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comments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530"/>
  <workbookPr defaultThemeVersion="166925"/>
  <mc:AlternateContent xmlns:mc="http://schemas.openxmlformats.org/markup-compatibility/2006">
    <mc:Choice Requires="x15">
      <x15ac:absPath xmlns:x15ac="http://schemas.microsoft.com/office/spreadsheetml/2010/11/ac" url="C:\Users\Steph\Documents\StephTurner\Business\H - Need Response\STTP tools\edited tools\"/>
    </mc:Choice>
  </mc:AlternateContent>
  <xr:revisionPtr revIDLastSave="0" documentId="13_ncr:1_{FBFB7217-D55F-4254-B356-14FCA43E260A}" xr6:coauthVersionLast="46" xr6:coauthVersionMax="46" xr10:uidLastSave="{00000000-0000-0000-0000-000000000000}"/>
  <bookViews>
    <workbookView xWindow="-108" yWindow="-108" windowWidth="23256" windowHeight="12576" xr2:uid="{00000000-000D-0000-FFFF-FFFF00000000}"/>
  </bookViews>
  <sheets>
    <sheet name="HP" sheetId="8" r:id="rId1"/>
    <sheet name="counselor" sheetId="12" r:id="rId2"/>
    <sheet name="advocacy" sheetId="13" r:id="rId3"/>
  </sheets>
  <definedNames>
    <definedName name="_xlnm.Print_Area" localSheetId="2">advocacy!$A$1:$N$1078</definedName>
    <definedName name="_xlnm.Print_Area" localSheetId="1">counselor!$A$1:$N$710</definedName>
    <definedName name="_xlnm.Print_Area" localSheetId="0">HP!$A$1:$N$1546</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I340" i="13" l="1"/>
  <c r="AI317" i="13"/>
  <c r="AI294" i="13"/>
  <c r="AI244" i="13"/>
  <c r="AI230" i="13"/>
  <c r="AI223" i="13"/>
  <c r="AI215" i="13"/>
  <c r="AI212" i="13"/>
  <c r="AI207" i="13"/>
  <c r="AI184" i="13"/>
  <c r="AI179" i="13"/>
  <c r="AI178" i="13"/>
  <c r="AI176" i="13"/>
  <c r="AI175" i="13"/>
  <c r="AI170" i="13"/>
  <c r="B1300" i="13"/>
  <c r="AM142" i="13" l="1"/>
  <c r="AM140" i="13"/>
  <c r="AI153" i="13"/>
  <c r="AN275" i="13"/>
  <c r="AO275" i="13"/>
  <c r="AM275" i="13" s="1"/>
  <c r="C50" i="13"/>
  <c r="C49" i="13"/>
  <c r="C51" i="13"/>
  <c r="C26" i="13"/>
  <c r="AK275" i="13" l="1"/>
  <c r="AL275" i="13"/>
  <c r="AJ275" i="13" s="1"/>
  <c r="C44" i="13"/>
  <c r="C43" i="13"/>
  <c r="C42" i="13"/>
  <c r="C41" i="13"/>
  <c r="AT1014" i="13"/>
  <c r="AJ1004" i="13"/>
  <c r="AL977" i="13"/>
  <c r="AL980" i="13"/>
  <c r="AL983" i="13"/>
  <c r="AL986" i="13"/>
  <c r="AL989" i="13"/>
  <c r="AL992" i="13"/>
  <c r="AL995" i="13"/>
  <c r="AL998" i="13"/>
  <c r="AL974" i="13"/>
  <c r="AJ972" i="13"/>
  <c r="AK972" i="13"/>
  <c r="AI972" i="13"/>
  <c r="AN1002" i="13" s="1"/>
  <c r="AI980" i="13"/>
  <c r="AI981" i="13" s="1"/>
  <c r="AI983" i="13"/>
  <c r="AI984" i="13" s="1"/>
  <c r="AI986" i="13"/>
  <c r="AI987" i="13" s="1"/>
  <c r="AI989" i="13"/>
  <c r="AI990" i="13" s="1"/>
  <c r="AI992" i="13"/>
  <c r="AI993" i="13" s="1"/>
  <c r="AI995" i="13"/>
  <c r="AI996" i="13" s="1"/>
  <c r="AI998" i="13"/>
  <c r="AI999" i="13" s="1"/>
  <c r="AI964" i="13"/>
  <c r="K964" i="13" s="1"/>
  <c r="AI962" i="13"/>
  <c r="B962" i="13" s="1"/>
  <c r="AK959" i="13"/>
  <c r="AK944" i="13"/>
  <c r="AP944" i="13"/>
  <c r="AR944" i="13" s="1"/>
  <c r="AT944" i="13" s="1"/>
  <c r="AV944" i="13" s="1"/>
  <c r="AP945" i="13"/>
  <c r="AK945" i="13" s="1"/>
  <c r="AP946" i="13"/>
  <c r="AR946" i="13" s="1"/>
  <c r="AT946" i="13" s="1"/>
  <c r="AV946" i="13" s="1"/>
  <c r="AP947" i="13"/>
  <c r="AR947" i="13" s="1"/>
  <c r="AT947" i="13" s="1"/>
  <c r="AV947" i="13" s="1"/>
  <c r="AK948" i="13" s="1"/>
  <c r="AP943" i="13"/>
  <c r="AR943" i="13" s="1"/>
  <c r="AK946" i="13" s="1"/>
  <c r="AK953" i="13"/>
  <c r="AK952" i="13"/>
  <c r="AK951" i="13"/>
  <c r="AK950" i="13"/>
  <c r="AK938" i="13"/>
  <c r="AJ937" i="13"/>
  <c r="AJ938" i="13" s="1"/>
  <c r="H937" i="13"/>
  <c r="AJ943" i="13" l="1"/>
  <c r="AN971" i="13"/>
  <c r="AM1002" i="13" s="1"/>
  <c r="AN1003" i="13" s="1"/>
  <c r="AM1003" i="13" s="1"/>
  <c r="AN1004" i="13" s="1"/>
  <c r="AM1004" i="13" s="1"/>
  <c r="AN1005" i="13" s="1"/>
  <c r="AM1005" i="13" s="1"/>
  <c r="AN1006" i="13" s="1"/>
  <c r="AM1006" i="13" s="1"/>
  <c r="AL1001" i="13"/>
  <c r="G1006" i="13" s="1"/>
  <c r="AR945" i="13"/>
  <c r="AT945" i="13" s="1"/>
  <c r="AT943" i="13"/>
  <c r="AV943" i="13" s="1"/>
  <c r="AR948" i="13"/>
  <c r="AJ946" i="13"/>
  <c r="AI946" i="13" s="1"/>
  <c r="K946" i="13" s="1"/>
  <c r="J946" i="13" s="1"/>
  <c r="AJ945" i="13"/>
  <c r="AI945" i="13" s="1"/>
  <c r="K945" i="13" s="1"/>
  <c r="J945" i="13" s="1"/>
  <c r="AJ947" i="13"/>
  <c r="AJ948" i="13"/>
  <c r="AI948" i="13" s="1"/>
  <c r="K948" i="13" s="1"/>
  <c r="J948" i="13" s="1"/>
  <c r="AJ944" i="13"/>
  <c r="AI944" i="13" s="1"/>
  <c r="K944" i="13" s="1"/>
  <c r="J944" i="13" s="1"/>
  <c r="AM938" i="13"/>
  <c r="AK937" i="13"/>
  <c r="AV945" i="13" l="1"/>
  <c r="AK947" i="13"/>
  <c r="AI947" i="13" s="1"/>
  <c r="K947" i="13" s="1"/>
  <c r="J947" i="13" s="1"/>
  <c r="AI937" i="13"/>
  <c r="AI938" i="13"/>
  <c r="I943" i="13" s="1"/>
  <c r="L937" i="13" l="1"/>
  <c r="G943" i="13"/>
  <c r="L938" i="13"/>
  <c r="K949" i="13"/>
  <c r="AJ950" i="13" l="1"/>
  <c r="AI950" i="13" s="1"/>
  <c r="K950" i="13" s="1"/>
  <c r="J950" i="13" s="1"/>
  <c r="AJ951" i="13"/>
  <c r="AJ952" i="13"/>
  <c r="AI952" i="13" s="1"/>
  <c r="K952" i="13" s="1"/>
  <c r="J952" i="13" s="1"/>
  <c r="AJ953" i="13"/>
  <c r="AI953" i="13" s="1"/>
  <c r="K953" i="13" s="1"/>
  <c r="J953" i="13" s="1"/>
  <c r="K943" i="13"/>
  <c r="AI951" i="13" l="1"/>
  <c r="K951" i="13" s="1"/>
  <c r="AJ955" i="13" s="1"/>
  <c r="AI955" i="13" s="1"/>
  <c r="K955" i="13" l="1"/>
  <c r="AI959" i="13" s="1"/>
  <c r="B959" i="13" s="1"/>
  <c r="J951" i="13"/>
  <c r="K957" i="13" l="1"/>
  <c r="AI957" i="13" s="1"/>
  <c r="J957" i="13" s="1"/>
  <c r="E649" i="13" l="1"/>
  <c r="E643" i="13"/>
  <c r="AK905" i="13" l="1"/>
  <c r="AI905" i="13" s="1"/>
  <c r="H906" i="13" s="1"/>
  <c r="AK903" i="13"/>
  <c r="AI903" i="13" s="1"/>
  <c r="H904" i="13" s="1"/>
  <c r="AK901" i="13"/>
  <c r="AI901" i="13" s="1"/>
  <c r="H902" i="13" s="1"/>
  <c r="E870" i="13" l="1"/>
  <c r="E865" i="13"/>
  <c r="B859" i="13"/>
  <c r="B869" i="13"/>
  <c r="G662" i="13" l="1"/>
  <c r="H640" i="13"/>
  <c r="G649" i="13"/>
  <c r="I646" i="13" s="1"/>
  <c r="E648" i="13"/>
  <c r="H646" i="13"/>
  <c r="D650" i="13" l="1"/>
  <c r="K648" i="13" s="1"/>
  <c r="K647" i="13" l="1"/>
  <c r="K649" i="13" s="1"/>
  <c r="M647" i="13" l="1"/>
  <c r="E887" i="13"/>
  <c r="E888" i="13" s="1"/>
  <c r="E889" i="13" s="1"/>
  <c r="E890" i="13" s="1"/>
  <c r="E860" i="13"/>
  <c r="G670" i="13"/>
  <c r="I667" i="13" s="1"/>
  <c r="H667" i="13"/>
  <c r="I659" i="13"/>
  <c r="H659" i="13"/>
  <c r="H656" i="13"/>
  <c r="H663" i="13" s="1"/>
  <c r="H671" i="13" s="1"/>
  <c r="H655" i="13"/>
  <c r="H662" i="13" s="1"/>
  <c r="H670" i="13" s="1"/>
  <c r="G655" i="13"/>
  <c r="I652" i="13" s="1"/>
  <c r="H654" i="13"/>
  <c r="H661" i="13" s="1"/>
  <c r="H669" i="13" s="1"/>
  <c r="H653" i="13"/>
  <c r="H660" i="13" s="1"/>
  <c r="H668" i="13" s="1"/>
  <c r="H652" i="13"/>
  <c r="G643" i="13"/>
  <c r="I640" i="13" s="1"/>
  <c r="AT1020" i="13" l="1"/>
  <c r="AT1019" i="13"/>
  <c r="AT1018" i="13"/>
  <c r="AT1017" i="13"/>
  <c r="AT1016" i="13"/>
  <c r="AT1015" i="13"/>
  <c r="AL839" i="13"/>
  <c r="AI839" i="13" s="1"/>
  <c r="AI840" i="13" s="1"/>
  <c r="B840" i="13" s="1"/>
  <c r="AL835" i="13"/>
  <c r="AI835" i="13" s="1"/>
  <c r="AI836" i="13" s="1"/>
  <c r="B836" i="13" s="1"/>
  <c r="AL831" i="13"/>
  <c r="AI831" i="13" s="1"/>
  <c r="AI832" i="13" s="1"/>
  <c r="B832" i="13" s="1"/>
  <c r="AI821" i="13"/>
  <c r="AK803" i="13"/>
  <c r="AK814" i="13" s="1"/>
  <c r="AI814" i="13" s="1"/>
  <c r="AI816" i="13" s="1"/>
  <c r="AK791" i="13"/>
  <c r="AK792" i="13"/>
  <c r="AK793" i="13"/>
  <c r="AK794" i="13"/>
  <c r="AK795" i="13"/>
  <c r="AK796" i="13"/>
  <c r="AK790" i="13"/>
  <c r="AL744" i="13"/>
  <c r="AP740" i="13"/>
  <c r="AN740" i="13"/>
  <c r="AI735" i="13"/>
  <c r="AI734" i="13"/>
  <c r="AI733" i="13"/>
  <c r="AI732" i="13"/>
  <c r="AL740" i="13"/>
  <c r="B816" i="13" l="1"/>
  <c r="J781" i="13"/>
  <c r="AM620" i="13" l="1"/>
  <c r="AO620" i="13"/>
  <c r="AQ620" i="13"/>
  <c r="AM621" i="13"/>
  <c r="AO621" i="13"/>
  <c r="AQ621" i="13"/>
  <c r="AM622" i="13"/>
  <c r="AO622" i="13"/>
  <c r="AQ622" i="13"/>
  <c r="AM623" i="13"/>
  <c r="AO623" i="13"/>
  <c r="AQ623" i="13"/>
  <c r="AQ619" i="13"/>
  <c r="AO619" i="13"/>
  <c r="AM619" i="13"/>
  <c r="AK620" i="13"/>
  <c r="AK621" i="13"/>
  <c r="AK622" i="13"/>
  <c r="AK623" i="13"/>
  <c r="AK619" i="13"/>
  <c r="AI620" i="13"/>
  <c r="AI621" i="13"/>
  <c r="AI622" i="13"/>
  <c r="AI623" i="13"/>
  <c r="AI619" i="13"/>
  <c r="AS623" i="13" l="1"/>
  <c r="AT623" i="13" s="1"/>
  <c r="A634" i="13" s="1"/>
  <c r="AS619" i="13"/>
  <c r="AT619" i="13" s="1"/>
  <c r="A630" i="13" s="1"/>
  <c r="AS622" i="13"/>
  <c r="AT622" i="13" s="1"/>
  <c r="A633" i="13" s="1"/>
  <c r="AS621" i="13"/>
  <c r="AT621" i="13" s="1"/>
  <c r="A632" i="13" s="1"/>
  <c r="AS620" i="13"/>
  <c r="AT620" i="13" s="1"/>
  <c r="A631" i="13" s="1"/>
  <c r="AI977" i="13" l="1"/>
  <c r="K980" i="13"/>
  <c r="AN980" i="13" s="1"/>
  <c r="M981" i="13" s="1"/>
  <c r="K983" i="13"/>
  <c r="AN983" i="13" s="1"/>
  <c r="M984" i="13" s="1"/>
  <c r="K986" i="13"/>
  <c r="AN986" i="13" s="1"/>
  <c r="M987" i="13" s="1"/>
  <c r="K989" i="13"/>
  <c r="AN989" i="13" s="1"/>
  <c r="M990" i="13" s="1"/>
  <c r="K992" i="13"/>
  <c r="AN992" i="13" s="1"/>
  <c r="M993" i="13" s="1"/>
  <c r="K995" i="13"/>
  <c r="AN995" i="13" s="1"/>
  <c r="M996" i="13" s="1"/>
  <c r="K998" i="13"/>
  <c r="AN998" i="13" s="1"/>
  <c r="M999" i="13" s="1"/>
  <c r="AI974" i="13"/>
  <c r="X1335" i="13"/>
  <c r="W1336" i="13" s="1"/>
  <c r="X1336" i="13" s="1"/>
  <c r="W1337" i="13" s="1"/>
  <c r="X1337" i="13" s="1"/>
  <c r="W1338" i="13" s="1"/>
  <c r="X1338" i="13" s="1"/>
  <c r="W1339" i="13" s="1"/>
  <c r="X1339" i="13" s="1"/>
  <c r="W1340" i="13" s="1"/>
  <c r="X1340" i="13" s="1"/>
  <c r="W1341" i="13" s="1"/>
  <c r="X1341" i="13" s="1"/>
  <c r="W1342" i="13" s="1"/>
  <c r="X1342" i="13" s="1"/>
  <c r="G1363" i="13"/>
  <c r="F1371" i="13" s="1"/>
  <c r="G1356" i="13"/>
  <c r="E1371" i="13" s="1"/>
  <c r="G1349" i="13"/>
  <c r="D1371" i="13" s="1"/>
  <c r="G1342" i="13"/>
  <c r="C1371" i="13" s="1"/>
  <c r="G1335" i="13"/>
  <c r="B1371" i="13" s="1"/>
  <c r="B1349" i="13"/>
  <c r="B1356" i="13"/>
  <c r="B1342" i="13"/>
  <c r="B1363" i="13"/>
  <c r="B1335" i="13"/>
  <c r="K974" i="13" l="1"/>
  <c r="AN974" i="13" s="1"/>
  <c r="AI975" i="13"/>
  <c r="K977" i="13"/>
  <c r="AN977" i="13" s="1"/>
  <c r="M978" i="13" s="1"/>
  <c r="AI978" i="13"/>
  <c r="H1342" i="13"/>
  <c r="H1349" i="13"/>
  <c r="H1356" i="13"/>
  <c r="H1335" i="13"/>
  <c r="H1363" i="13"/>
  <c r="M975" i="13" l="1"/>
  <c r="AI1001" i="13"/>
  <c r="H1370" i="13"/>
  <c r="G1371" i="13" s="1"/>
  <c r="U1335" i="13" s="1"/>
  <c r="AN561" i="13" s="1"/>
  <c r="AK1003" i="13" l="1"/>
  <c r="AK1002" i="13"/>
  <c r="AK1004" i="13"/>
  <c r="U1334" i="13"/>
  <c r="AL561" i="13" s="1"/>
  <c r="AI561" i="13" s="1"/>
  <c r="AI562" i="13" s="1"/>
  <c r="B561" i="13" s="1"/>
  <c r="AI1004" i="13" l="1"/>
  <c r="B1003" i="13" s="1"/>
  <c r="AI1002" i="13"/>
  <c r="I1002" i="13" s="1"/>
  <c r="AI1003" i="13"/>
  <c r="J1002" i="13" s="1"/>
  <c r="C40" i="13"/>
  <c r="C47" i="13"/>
  <c r="C48" i="13"/>
  <c r="C34" i="13"/>
  <c r="C31" i="13"/>
  <c r="C30" i="13"/>
  <c r="C29" i="13"/>
  <c r="AJ263" i="13"/>
  <c r="AJ264" i="13"/>
  <c r="AJ265" i="13"/>
  <c r="AJ266" i="13"/>
  <c r="AJ267" i="13"/>
  <c r="AJ268" i="13"/>
  <c r="AJ269" i="13"/>
  <c r="AJ270" i="13"/>
  <c r="AJ271" i="13"/>
  <c r="AJ272" i="13"/>
  <c r="AJ273" i="13"/>
  <c r="AJ262" i="13"/>
  <c r="AI120" i="13"/>
  <c r="AO120" i="13"/>
  <c r="AQ120" i="13"/>
  <c r="AI121" i="13"/>
  <c r="AI122" i="13"/>
  <c r="AO122" i="13"/>
  <c r="AQ122" i="13"/>
  <c r="AI123" i="13"/>
  <c r="AI124" i="13"/>
  <c r="AO124" i="13"/>
  <c r="AQ124" i="13"/>
  <c r="AI125" i="13"/>
  <c r="AK126" i="13"/>
  <c r="AK127" i="13"/>
  <c r="AK286" i="13"/>
  <c r="AS286" i="13"/>
  <c r="H287" i="13" s="1"/>
  <c r="AQ286" i="13"/>
  <c r="B287" i="13" s="1"/>
  <c r="AN235" i="13"/>
  <c r="AL235" i="13"/>
  <c r="AN233" i="13"/>
  <c r="AL233" i="13"/>
  <c r="AI316" i="13"/>
  <c r="AL239" i="13"/>
  <c r="AI239" i="13" s="1"/>
  <c r="AI182" i="13"/>
  <c r="AI680" i="13"/>
  <c r="H871" i="13" l="1"/>
  <c r="E861" i="13"/>
  <c r="H872" i="13" l="1"/>
  <c r="H873" i="13" s="1"/>
  <c r="H874" i="13" s="1"/>
  <c r="H875" i="13" s="1"/>
  <c r="H877" i="13" s="1"/>
  <c r="E862" i="13"/>
  <c r="E669" i="13"/>
  <c r="F887" i="13" s="1"/>
  <c r="F888" i="13" s="1"/>
  <c r="E661" i="13"/>
  <c r="F877" i="13" s="1"/>
  <c r="F878" i="13" s="1"/>
  <c r="F879" i="13" s="1"/>
  <c r="F880" i="13" s="1"/>
  <c r="F881" i="13" s="1"/>
  <c r="E655" i="13"/>
  <c r="G865" i="13" s="1"/>
  <c r="G866" i="13" s="1"/>
  <c r="G867" i="13" s="1"/>
  <c r="G868" i="13" s="1"/>
  <c r="G870" i="13" s="1"/>
  <c r="G871" i="13" s="1"/>
  <c r="E654" i="13"/>
  <c r="F865" i="13" s="1"/>
  <c r="F866" i="13" s="1"/>
  <c r="F867" i="13" s="1"/>
  <c r="F868" i="13" s="1"/>
  <c r="F870" i="13" s="1"/>
  <c r="F871" i="13" s="1"/>
  <c r="G860" i="13"/>
  <c r="E642" i="13"/>
  <c r="F860" i="13" s="1"/>
  <c r="F861" i="13" s="1"/>
  <c r="F862" i="13" s="1"/>
  <c r="F863" i="13" s="1"/>
  <c r="AI673" i="13"/>
  <c r="AI667" i="13"/>
  <c r="AI638" i="13"/>
  <c r="AI372" i="13"/>
  <c r="A1381" i="13"/>
  <c r="B1381" i="13"/>
  <c r="C1381" i="13"/>
  <c r="D1381" i="13"/>
  <c r="A1382" i="13"/>
  <c r="B1382" i="13"/>
  <c r="C1382" i="13"/>
  <c r="D1382" i="13"/>
  <c r="A1383" i="13"/>
  <c r="B1383" i="13"/>
  <c r="C1383" i="13"/>
  <c r="D1383" i="13"/>
  <c r="A1384" i="13"/>
  <c r="B1384" i="13"/>
  <c r="C1384" i="13"/>
  <c r="D1384" i="13"/>
  <c r="A1385" i="13"/>
  <c r="B1385" i="13"/>
  <c r="C1385" i="13"/>
  <c r="D1385" i="13"/>
  <c r="A1386" i="13"/>
  <c r="B1386" i="13"/>
  <c r="C1386" i="13"/>
  <c r="D1386" i="13"/>
  <c r="A1387" i="13"/>
  <c r="B1387" i="13"/>
  <c r="C1387" i="13"/>
  <c r="D1387" i="13"/>
  <c r="A1388" i="13"/>
  <c r="B1388" i="13"/>
  <c r="C1388" i="13"/>
  <c r="D1388" i="13"/>
  <c r="A1389" i="13"/>
  <c r="B1389" i="13"/>
  <c r="C1389" i="13"/>
  <c r="D1389" i="13"/>
  <c r="A1390" i="13"/>
  <c r="B1390" i="13"/>
  <c r="C1390" i="13"/>
  <c r="D1390" i="13"/>
  <c r="A1391" i="13"/>
  <c r="B1391" i="13"/>
  <c r="C1391" i="13"/>
  <c r="D1391" i="13"/>
  <c r="C1380" i="13"/>
  <c r="D1380" i="13"/>
  <c r="A1380" i="13"/>
  <c r="B1380" i="13"/>
  <c r="AI280" i="13"/>
  <c r="B280" i="13" s="1"/>
  <c r="AI307" i="13"/>
  <c r="AI275" i="13"/>
  <c r="AI434" i="13"/>
  <c r="AI226" i="13"/>
  <c r="F889" i="13" l="1"/>
  <c r="F890" i="13" s="1"/>
  <c r="F882" i="13"/>
  <c r="F883" i="13" s="1"/>
  <c r="F884" i="13" s="1"/>
  <c r="F885" i="13" s="1"/>
  <c r="F872" i="13"/>
  <c r="F873" i="13" s="1"/>
  <c r="F874" i="13" s="1"/>
  <c r="F875" i="13" s="1"/>
  <c r="G872" i="13"/>
  <c r="E863" i="13"/>
  <c r="E866" i="13"/>
  <c r="E867" i="13" s="1"/>
  <c r="E868" i="13" s="1"/>
  <c r="D644" i="13"/>
  <c r="G861" i="13"/>
  <c r="G862" i="13" s="1"/>
  <c r="G863" i="13" s="1"/>
  <c r="E656" i="13"/>
  <c r="E660" i="13"/>
  <c r="E877" i="13" s="1"/>
  <c r="AG1377" i="13"/>
  <c r="H358" i="13" s="1"/>
  <c r="J1377" i="13"/>
  <c r="P1377" i="13"/>
  <c r="AK359" i="13" s="1"/>
  <c r="T1377" i="13"/>
  <c r="W1377" i="13"/>
  <c r="B145" i="13" s="1"/>
  <c r="AA1377" i="13"/>
  <c r="H152" i="13" s="1"/>
  <c r="K1377" i="13"/>
  <c r="Q1377" i="13"/>
  <c r="U1377" i="13"/>
  <c r="X1377" i="13"/>
  <c r="B152" i="13" s="1"/>
  <c r="AD1377" i="13"/>
  <c r="B358" i="13" s="1"/>
  <c r="AH1377" i="13"/>
  <c r="H365" i="13" s="1"/>
  <c r="H1377" i="13"/>
  <c r="L1377" i="13"/>
  <c r="R1377" i="13"/>
  <c r="AI1377" i="13"/>
  <c r="H372" i="13" s="1"/>
  <c r="Y1377" i="13"/>
  <c r="H138" i="13" s="1"/>
  <c r="AE1377" i="13"/>
  <c r="B365" i="13" s="1"/>
  <c r="I1377" i="13"/>
  <c r="M1377" i="13"/>
  <c r="S1377" i="13"/>
  <c r="V1377" i="13"/>
  <c r="B138" i="13" s="1"/>
  <c r="Z1377" i="13"/>
  <c r="H145" i="13" s="1"/>
  <c r="AF1377" i="13"/>
  <c r="B372" i="13" s="1"/>
  <c r="C860" i="13"/>
  <c r="C861" i="13" s="1"/>
  <c r="C862" i="13" s="1"/>
  <c r="C863" i="13" s="1"/>
  <c r="C865" i="13" s="1"/>
  <c r="C866" i="13" s="1"/>
  <c r="C867" i="13" s="1"/>
  <c r="C868" i="13" s="1"/>
  <c r="C870" i="13" s="1"/>
  <c r="C871" i="13" s="1"/>
  <c r="B886" i="13"/>
  <c r="B876" i="13"/>
  <c r="B864" i="13"/>
  <c r="AK361" i="13" l="1"/>
  <c r="AI361" i="13" s="1"/>
  <c r="H359" i="13" s="1"/>
  <c r="AK375" i="13"/>
  <c r="AI375" i="13" s="1"/>
  <c r="H373" i="13" s="1"/>
  <c r="AK366" i="13"/>
  <c r="AI366" i="13" s="1"/>
  <c r="B366" i="13" s="1"/>
  <c r="AK368" i="13"/>
  <c r="AI368" i="13" s="1"/>
  <c r="H366" i="13" s="1"/>
  <c r="AK373" i="13"/>
  <c r="AI373" i="13" s="1"/>
  <c r="B373" i="13" s="1"/>
  <c r="AK154" i="13"/>
  <c r="AI154" i="13" s="1"/>
  <c r="B153" i="13" s="1"/>
  <c r="AK140" i="13"/>
  <c r="AI140" i="13" s="1"/>
  <c r="B139" i="13" s="1"/>
  <c r="AK149" i="13"/>
  <c r="AI149" i="13" s="1"/>
  <c r="H146" i="13" s="1"/>
  <c r="AK156" i="13"/>
  <c r="AI156" i="13" s="1"/>
  <c r="H153" i="13" s="1"/>
  <c r="AK147" i="13"/>
  <c r="AI147" i="13" s="1"/>
  <c r="B146" i="13" s="1"/>
  <c r="AK142" i="13"/>
  <c r="AI142" i="13" s="1"/>
  <c r="H139" i="13" s="1"/>
  <c r="AI359" i="13"/>
  <c r="B359" i="13" s="1"/>
  <c r="G873" i="13"/>
  <c r="C872" i="13"/>
  <c r="C873" i="13" s="1"/>
  <c r="C874" i="13" s="1"/>
  <c r="C875" i="13" s="1"/>
  <c r="C877" i="13" s="1"/>
  <c r="C878" i="13" s="1"/>
  <c r="C879" i="13" s="1"/>
  <c r="C880" i="13" s="1"/>
  <c r="C881" i="13" s="1"/>
  <c r="M648" i="13"/>
  <c r="M649" i="13" s="1"/>
  <c r="K650" i="13" s="1"/>
  <c r="M650" i="13" s="1"/>
  <c r="E672" i="13"/>
  <c r="I887" i="13" s="1"/>
  <c r="I888" i="13" s="1"/>
  <c r="I889" i="13" s="1"/>
  <c r="I890" i="13" s="1"/>
  <c r="K641" i="13"/>
  <c r="M641" i="13" s="1"/>
  <c r="K860" i="13"/>
  <c r="L860" i="13" s="1"/>
  <c r="E878" i="13"/>
  <c r="E879" i="13" s="1"/>
  <c r="E880" i="13" s="1"/>
  <c r="E881" i="13" s="1"/>
  <c r="E871" i="13"/>
  <c r="E872" i="13" s="1"/>
  <c r="E873" i="13" s="1"/>
  <c r="E874" i="13" s="1"/>
  <c r="K870" i="13"/>
  <c r="K863" i="13"/>
  <c r="K861" i="13"/>
  <c r="K862" i="13"/>
  <c r="D657" i="13"/>
  <c r="K654" i="13" s="1"/>
  <c r="H865" i="13"/>
  <c r="E671" i="13"/>
  <c r="H887" i="13" s="1"/>
  <c r="H888" i="13" s="1"/>
  <c r="H889" i="13" s="1"/>
  <c r="E662" i="13"/>
  <c r="G877" i="13" s="1"/>
  <c r="G878" i="13" s="1"/>
  <c r="G879" i="13" s="1"/>
  <c r="G880" i="13" s="1"/>
  <c r="G881" i="13" s="1"/>
  <c r="E670" i="13"/>
  <c r="G887" i="13" s="1"/>
  <c r="G888" i="13" s="1"/>
  <c r="E663" i="13"/>
  <c r="E664" i="13"/>
  <c r="I877" i="13" s="1"/>
  <c r="I878" i="13" s="1"/>
  <c r="I879" i="13" s="1"/>
  <c r="I880" i="13" s="1"/>
  <c r="I881" i="13" s="1"/>
  <c r="H890" i="13" l="1"/>
  <c r="G889" i="13"/>
  <c r="G890" i="13" s="1"/>
  <c r="I882" i="13"/>
  <c r="I883" i="13" s="1"/>
  <c r="I884" i="13" s="1"/>
  <c r="I885" i="13" s="1"/>
  <c r="K873" i="13"/>
  <c r="G874" i="13"/>
  <c r="E882" i="13"/>
  <c r="G882" i="13"/>
  <c r="G883" i="13" s="1"/>
  <c r="G884" i="13" s="1"/>
  <c r="G885" i="13" s="1"/>
  <c r="K872" i="13"/>
  <c r="C882" i="13"/>
  <c r="C883" i="13" s="1"/>
  <c r="C884" i="13" s="1"/>
  <c r="C885" i="13" s="1"/>
  <c r="C887" i="13" s="1"/>
  <c r="C888" i="13" s="1"/>
  <c r="C889" i="13" s="1"/>
  <c r="C890" i="13" s="1"/>
  <c r="K642" i="13"/>
  <c r="M642" i="13" s="1"/>
  <c r="K643" i="13"/>
  <c r="K653" i="13"/>
  <c r="M653" i="13" s="1"/>
  <c r="K655" i="13"/>
  <c r="L861" i="13"/>
  <c r="L862" i="13" s="1"/>
  <c r="L863" i="13" s="1"/>
  <c r="K871" i="13"/>
  <c r="K877" i="13"/>
  <c r="H878" i="13"/>
  <c r="H866" i="13"/>
  <c r="K865" i="13"/>
  <c r="D665" i="13"/>
  <c r="AR1314" i="13"/>
  <c r="AR1313" i="13"/>
  <c r="AR1312" i="13"/>
  <c r="AR1311" i="13"/>
  <c r="AR1310" i="13"/>
  <c r="AR1309" i="13"/>
  <c r="AR1308" i="13"/>
  <c r="AR1307" i="13"/>
  <c r="AR1306" i="13"/>
  <c r="AR1305" i="13"/>
  <c r="AR1304" i="13"/>
  <c r="AR1303" i="13"/>
  <c r="AQ1300" i="13"/>
  <c r="AP1300" i="13"/>
  <c r="AO1300" i="13"/>
  <c r="AN1300" i="13"/>
  <c r="AM1300" i="13"/>
  <c r="AL1300" i="13"/>
  <c r="AK1300" i="13"/>
  <c r="AJ1300" i="13"/>
  <c r="AI1300" i="13"/>
  <c r="AN302" i="13" s="1"/>
  <c r="AH1300" i="13"/>
  <c r="AN305" i="13" s="1"/>
  <c r="AG1300" i="13"/>
  <c r="AF1300" i="13"/>
  <c r="AI233" i="13" s="1"/>
  <c r="AE1300" i="13"/>
  <c r="AD1300" i="13"/>
  <c r="AA1300" i="13"/>
  <c r="Z1300" i="13"/>
  <c r="Y1300" i="13"/>
  <c r="X1300" i="13"/>
  <c r="W1300" i="13"/>
  <c r="V1300" i="13"/>
  <c r="U1300" i="13"/>
  <c r="AL255" i="13" s="1"/>
  <c r="T1300" i="13"/>
  <c r="AL252" i="13" s="1"/>
  <c r="S1300" i="13"/>
  <c r="AL215" i="13" s="1"/>
  <c r="R1300" i="13"/>
  <c r="AL212" i="13" s="1"/>
  <c r="Q1300" i="13"/>
  <c r="P1300" i="13"/>
  <c r="M1300" i="13"/>
  <c r="L1300" i="13"/>
  <c r="K1300" i="13"/>
  <c r="J1300" i="13"/>
  <c r="I1300" i="13"/>
  <c r="AQ167" i="13" s="1"/>
  <c r="H1300" i="13"/>
  <c r="G1300" i="13"/>
  <c r="F1300" i="13"/>
  <c r="D1300" i="13"/>
  <c r="AL129" i="13" s="1"/>
  <c r="C1300" i="13"/>
  <c r="AN160" i="13" s="1"/>
  <c r="I1293" i="13"/>
  <c r="H1293" i="13"/>
  <c r="I1292" i="13"/>
  <c r="H1292" i="13"/>
  <c r="I1291" i="13"/>
  <c r="H1291" i="13"/>
  <c r="I1290" i="13"/>
  <c r="H1290" i="13"/>
  <c r="I1289" i="13"/>
  <c r="H1289" i="13"/>
  <c r="I1288" i="13"/>
  <c r="H1288" i="13"/>
  <c r="I1287" i="13"/>
  <c r="H1287" i="13"/>
  <c r="I1286" i="13"/>
  <c r="H1286" i="13"/>
  <c r="A1286" i="13"/>
  <c r="A1287" i="13" s="1"/>
  <c r="A1288" i="13" s="1"/>
  <c r="A1289" i="13" s="1"/>
  <c r="A1290" i="13" s="1"/>
  <c r="A1291" i="13" s="1"/>
  <c r="A1292" i="13" s="1"/>
  <c r="A1293" i="13" s="1"/>
  <c r="I1285" i="13"/>
  <c r="H1285" i="13"/>
  <c r="I1284" i="13"/>
  <c r="H1284" i="13"/>
  <c r="I1283" i="13"/>
  <c r="H1283" i="13"/>
  <c r="I1282" i="13"/>
  <c r="H1282" i="13"/>
  <c r="A1282" i="13"/>
  <c r="A1281" i="13" s="1"/>
  <c r="A1280" i="13" s="1"/>
  <c r="A1279" i="13" s="1"/>
  <c r="A1278" i="13" s="1"/>
  <c r="A1277" i="13" s="1"/>
  <c r="A1276" i="13" s="1"/>
  <c r="I1281" i="13"/>
  <c r="H1281" i="13"/>
  <c r="I1280" i="13"/>
  <c r="H1280" i="13"/>
  <c r="I1279" i="13"/>
  <c r="H1279" i="13"/>
  <c r="I1278" i="13"/>
  <c r="H1278" i="13"/>
  <c r="I1277" i="13"/>
  <c r="H1277" i="13"/>
  <c r="I1276" i="13"/>
  <c r="H1276" i="13"/>
  <c r="B1272" i="13"/>
  <c r="B1270" i="13"/>
  <c r="AI970" i="13"/>
  <c r="AI714" i="13"/>
  <c r="AI751" i="13"/>
  <c r="AK128" i="13"/>
  <c r="AI119" i="13"/>
  <c r="AQ118" i="13"/>
  <c r="AO118" i="13"/>
  <c r="AI118" i="13"/>
  <c r="AI117" i="13"/>
  <c r="AQ116" i="13"/>
  <c r="AO116" i="13"/>
  <c r="AI116" i="13"/>
  <c r="AI115" i="13"/>
  <c r="AQ114" i="13"/>
  <c r="AO114" i="13"/>
  <c r="AI114" i="13"/>
  <c r="AI113" i="13"/>
  <c r="AQ112" i="13"/>
  <c r="AO112" i="13"/>
  <c r="AI112" i="13"/>
  <c r="AI111" i="13"/>
  <c r="AQ110" i="13"/>
  <c r="AQ126" i="13" s="1"/>
  <c r="AQ127" i="13" s="1"/>
  <c r="AO110" i="13"/>
  <c r="AO126" i="13" s="1"/>
  <c r="AO127" i="13" s="1"/>
  <c r="AI110" i="13"/>
  <c r="C52" i="13"/>
  <c r="C46" i="13"/>
  <c r="C45" i="13"/>
  <c r="C39" i="13"/>
  <c r="C38" i="13"/>
  <c r="C37" i="13"/>
  <c r="C36" i="13"/>
  <c r="C35" i="13"/>
  <c r="AL426" i="13" l="1"/>
  <c r="AI426" i="13" s="1"/>
  <c r="AI424" i="13" s="1"/>
  <c r="A424" i="13" s="1"/>
  <c r="AL349" i="13"/>
  <c r="AI349" i="13" s="1"/>
  <c r="B349" i="13" s="1"/>
  <c r="C33" i="13" s="1"/>
  <c r="AL1013" i="13"/>
  <c r="AL1021" i="13" s="1"/>
  <c r="AP160" i="13"/>
  <c r="AL160" i="13"/>
  <c r="AJ232" i="13"/>
  <c r="B230" i="13" s="1"/>
  <c r="K874" i="13"/>
  <c r="G875" i="13"/>
  <c r="K882" i="13"/>
  <c r="E883" i="13"/>
  <c r="E884" i="13" s="1"/>
  <c r="E885" i="13" s="1"/>
  <c r="M654" i="13"/>
  <c r="M655" i="13" s="1"/>
  <c r="K656" i="13" s="1"/>
  <c r="M656" i="13" s="1"/>
  <c r="K660" i="13"/>
  <c r="M660" i="13" s="1"/>
  <c r="K662" i="13"/>
  <c r="K661" i="13"/>
  <c r="M643" i="13"/>
  <c r="K644" i="13" s="1"/>
  <c r="M860" i="13" s="1"/>
  <c r="M861" i="13" s="1"/>
  <c r="M862" i="13" s="1"/>
  <c r="M863" i="13" s="1"/>
  <c r="AN340" i="13"/>
  <c r="AN744" i="13"/>
  <c r="AP230" i="13"/>
  <c r="AL167" i="13"/>
  <c r="AL312" i="13"/>
  <c r="AI312" i="13" s="1"/>
  <c r="B312" i="13" s="1"/>
  <c r="C32" i="13" s="1"/>
  <c r="AL385" i="13"/>
  <c r="AI385" i="13" s="1"/>
  <c r="AI126" i="13"/>
  <c r="AK95" i="13" s="1"/>
  <c r="B127" i="13" s="1"/>
  <c r="AN255" i="13"/>
  <c r="AI255" i="13" s="1"/>
  <c r="AN252" i="13"/>
  <c r="AI252" i="13" s="1"/>
  <c r="AN301" i="13"/>
  <c r="AN215" i="13"/>
  <c r="AL328" i="13"/>
  <c r="AN326" i="13"/>
  <c r="AL301" i="13"/>
  <c r="AI301" i="13" s="1"/>
  <c r="AL302" i="13"/>
  <c r="AI235" i="13"/>
  <c r="AJ234" i="13" s="1"/>
  <c r="AL326" i="13"/>
  <c r="AI326" i="13" s="1"/>
  <c r="AN328" i="13"/>
  <c r="AL304" i="13"/>
  <c r="AL305" i="13"/>
  <c r="AN304" i="13"/>
  <c r="AN212" i="13"/>
  <c r="AX340" i="13"/>
  <c r="AN332" i="13"/>
  <c r="AL332" i="13"/>
  <c r="AR340" i="13"/>
  <c r="AT244" i="13"/>
  <c r="AR317" i="13"/>
  <c r="AP317" i="13"/>
  <c r="AR308" i="13"/>
  <c r="AP308" i="13"/>
  <c r="AN308" i="13"/>
  <c r="AL308" i="13"/>
  <c r="AI129" i="13"/>
  <c r="B129" i="13" s="1"/>
  <c r="C27" i="13" s="1"/>
  <c r="AL191" i="13"/>
  <c r="AI191" i="13" s="1"/>
  <c r="K189" i="13" s="1"/>
  <c r="AL190" i="13"/>
  <c r="AI190" i="13" s="1"/>
  <c r="B189" i="13" s="1"/>
  <c r="AL380" i="13"/>
  <c r="L865" i="13"/>
  <c r="AQ128" i="13"/>
  <c r="AP91" i="13" s="1"/>
  <c r="AN89" i="13"/>
  <c r="A1272" i="13"/>
  <c r="E1272" i="13" s="1"/>
  <c r="E875" i="13"/>
  <c r="K878" i="13"/>
  <c r="H879" i="13"/>
  <c r="K866" i="13"/>
  <c r="H867" i="13"/>
  <c r="E673" i="13"/>
  <c r="J1282" i="13"/>
  <c r="A1270" i="13"/>
  <c r="E1270" i="13" s="1"/>
  <c r="AT207" i="13"/>
  <c r="AL170" i="13"/>
  <c r="AR223" i="13"/>
  <c r="AP207" i="13"/>
  <c r="AL223" i="13"/>
  <c r="AL197" i="13"/>
  <c r="AI197" i="13" s="1"/>
  <c r="B197" i="13" s="1"/>
  <c r="AR207" i="13"/>
  <c r="AS184" i="13"/>
  <c r="AI109" i="13"/>
  <c r="AK93" i="13" s="1"/>
  <c r="AL165" i="13"/>
  <c r="AI165" i="13" s="1"/>
  <c r="B165" i="13" s="1"/>
  <c r="C28" i="13" s="1"/>
  <c r="J1277" i="13"/>
  <c r="J1288" i="13"/>
  <c r="J1286" i="13"/>
  <c r="J1287" i="13"/>
  <c r="J1289" i="13"/>
  <c r="J1291" i="13"/>
  <c r="J1293" i="13"/>
  <c r="J1279" i="13"/>
  <c r="J1285" i="13"/>
  <c r="J1290" i="13"/>
  <c r="J1292" i="13"/>
  <c r="J1276" i="13"/>
  <c r="J1278" i="13"/>
  <c r="J1281" i="13"/>
  <c r="J1284" i="13"/>
  <c r="AI740" i="13"/>
  <c r="AI738" i="13" s="1"/>
  <c r="B740" i="13" s="1"/>
  <c r="J1280" i="13"/>
  <c r="J1283" i="13"/>
  <c r="E1170" i="12"/>
  <c r="E1165" i="12"/>
  <c r="AL1018" i="13" l="1"/>
  <c r="AI1018" i="13" s="1"/>
  <c r="B1018" i="13" s="1"/>
  <c r="AN380" i="13"/>
  <c r="AP380" i="13" s="1"/>
  <c r="AI328" i="13"/>
  <c r="J325" i="13" s="1"/>
  <c r="B251" i="13"/>
  <c r="K251" i="13"/>
  <c r="AI1013" i="13"/>
  <c r="AI1014" i="13" s="1"/>
  <c r="AN1021" i="13" s="1"/>
  <c r="AI1021" i="13" s="1"/>
  <c r="B1021" i="13" s="1"/>
  <c r="AI304" i="13"/>
  <c r="J300" i="13" s="1"/>
  <c r="AI305" i="13"/>
  <c r="J305" i="13" s="1"/>
  <c r="AL1027" i="13"/>
  <c r="AK1026" i="13" s="1"/>
  <c r="AI302" i="13"/>
  <c r="B305" i="13" s="1"/>
  <c r="AI332" i="13"/>
  <c r="B332" i="13" s="1"/>
  <c r="K875" i="13"/>
  <c r="M865" i="13"/>
  <c r="M866" i="13" s="1"/>
  <c r="M867" i="13" s="1"/>
  <c r="M868" i="13" s="1"/>
  <c r="M870" i="13" s="1"/>
  <c r="M871" i="13" s="1"/>
  <c r="M661" i="13"/>
  <c r="M662" i="13" s="1"/>
  <c r="K663" i="13" s="1"/>
  <c r="M644" i="13"/>
  <c r="L866" i="13"/>
  <c r="AI167" i="13"/>
  <c r="B167" i="13" s="1"/>
  <c r="AM1296" i="13"/>
  <c r="U1298" i="13"/>
  <c r="M230" i="13"/>
  <c r="Q1299" i="13"/>
  <c r="K1299" i="13"/>
  <c r="J1299" i="13"/>
  <c r="B300" i="13"/>
  <c r="B325" i="13"/>
  <c r="I214" i="13"/>
  <c r="C214" i="13"/>
  <c r="AI160" i="13"/>
  <c r="B160" i="13" s="1"/>
  <c r="AJ1299" i="13"/>
  <c r="V1299" i="13"/>
  <c r="AN244" i="13" s="1"/>
  <c r="AQ1299" i="13"/>
  <c r="AR294" i="13" s="1"/>
  <c r="AI1299" i="13"/>
  <c r="AN317" i="13" s="1"/>
  <c r="U1299" i="13"/>
  <c r="Y1299" i="13"/>
  <c r="AN91" i="13"/>
  <c r="G1270" i="13" s="1"/>
  <c r="I1270" i="13" s="1"/>
  <c r="AO128" i="13"/>
  <c r="AP89" i="13" s="1"/>
  <c r="AK89" i="13"/>
  <c r="Z1299" i="13"/>
  <c r="AN1299" i="13"/>
  <c r="AO1299" i="13"/>
  <c r="AS85" i="13"/>
  <c r="AO85" i="13" s="1"/>
  <c r="AK85" i="13" s="1"/>
  <c r="M1299" i="13"/>
  <c r="AL178" i="13" s="1"/>
  <c r="AF1299" i="13"/>
  <c r="AL230" i="13" s="1"/>
  <c r="I1299" i="13"/>
  <c r="AH1299" i="13"/>
  <c r="AL317" i="13" s="1"/>
  <c r="W1299" i="13"/>
  <c r="AR244" i="13" s="1"/>
  <c r="H1299" i="13"/>
  <c r="L1299" i="13"/>
  <c r="AL175" i="13" s="1"/>
  <c r="AP1299" i="13"/>
  <c r="AN294" i="13" s="1"/>
  <c r="AA1299" i="13"/>
  <c r="G1272" i="13"/>
  <c r="I1272" i="13" s="1"/>
  <c r="AK1299" i="13"/>
  <c r="T1299" i="13"/>
  <c r="AL244" i="13" s="1"/>
  <c r="AG1299" i="13"/>
  <c r="AN230" i="13" s="1"/>
  <c r="R1299" i="13"/>
  <c r="AL1299" i="13"/>
  <c r="S1299" i="13"/>
  <c r="AM1299" i="13"/>
  <c r="P1299" i="13"/>
  <c r="X1299" i="13"/>
  <c r="H880" i="13"/>
  <c r="K879" i="13"/>
  <c r="D674" i="13"/>
  <c r="J887" i="13"/>
  <c r="K867" i="13"/>
  <c r="H868" i="13"/>
  <c r="K868" i="13" s="1"/>
  <c r="B1296" i="13"/>
  <c r="AI308" i="13"/>
  <c r="AK1296" i="13"/>
  <c r="R1298" i="13"/>
  <c r="X1298" i="13"/>
  <c r="P1298" i="13"/>
  <c r="AH1298" i="13"/>
  <c r="AI1298" i="13"/>
  <c r="M1298" i="13"/>
  <c r="Q1298" i="13"/>
  <c r="AA1298" i="13"/>
  <c r="AL1298" i="13"/>
  <c r="L1298" i="13"/>
  <c r="AF1298" i="13"/>
  <c r="H1298" i="13"/>
  <c r="T1298" i="13"/>
  <c r="AO1298" i="13"/>
  <c r="AN1298" i="13"/>
  <c r="AG1298" i="13"/>
  <c r="I1298" i="13"/>
  <c r="AS86" i="13"/>
  <c r="AO86" i="13" s="1"/>
  <c r="AK86" i="13" s="1"/>
  <c r="AJ1296" i="13"/>
  <c r="V1298" i="13"/>
  <c r="AP1298" i="13"/>
  <c r="S1298" i="13"/>
  <c r="AM1298" i="13"/>
  <c r="J1294" i="13"/>
  <c r="K1294" i="13" s="1"/>
  <c r="AK1298" i="13"/>
  <c r="AJ1298" i="13"/>
  <c r="Y1298" i="13"/>
  <c r="AL1296" i="13"/>
  <c r="Z1298" i="13"/>
  <c r="W1298" i="13"/>
  <c r="AQ1298" i="13"/>
  <c r="BH664" i="12"/>
  <c r="BH662" i="12"/>
  <c r="BH660" i="12"/>
  <c r="BH658" i="12"/>
  <c r="BF590" i="12"/>
  <c r="BF585" i="12"/>
  <c r="BF575" i="12"/>
  <c r="E1160" i="12"/>
  <c r="BI580" i="12" s="1"/>
  <c r="BF580" i="12" s="1"/>
  <c r="B580" i="12" s="1"/>
  <c r="AP294" i="13" l="1"/>
  <c r="AP223" i="13"/>
  <c r="AL294" i="13"/>
  <c r="AN223" i="13"/>
  <c r="AO1014" i="13"/>
  <c r="B1027" i="13" s="1"/>
  <c r="AI1024" i="13"/>
  <c r="B1028" i="13" s="1"/>
  <c r="AI380" i="13"/>
  <c r="B380" i="13" s="1"/>
  <c r="D230" i="13"/>
  <c r="B317" i="13"/>
  <c r="AP170" i="13"/>
  <c r="AN175" i="13"/>
  <c r="AN184" i="13"/>
  <c r="AN178" i="13"/>
  <c r="AQ184" i="13"/>
  <c r="AP184" i="13" s="1"/>
  <c r="AL179" i="13"/>
  <c r="AU170" i="13"/>
  <c r="AT170" i="13" s="1"/>
  <c r="AL176" i="13"/>
  <c r="K887" i="13"/>
  <c r="J888" i="13"/>
  <c r="M872" i="13"/>
  <c r="M873" i="13" s="1"/>
  <c r="M874" i="13" s="1"/>
  <c r="M875" i="13" s="1"/>
  <c r="M877" i="13" s="1"/>
  <c r="K668" i="13"/>
  <c r="M668" i="13" s="1"/>
  <c r="K670" i="13"/>
  <c r="K669" i="13"/>
  <c r="M663" i="13"/>
  <c r="L867" i="13"/>
  <c r="L868" i="13" s="1"/>
  <c r="L870" i="13" s="1"/>
  <c r="L871" i="13" s="1"/>
  <c r="AL184" i="13"/>
  <c r="AV340" i="13"/>
  <c r="AN170" i="13"/>
  <c r="AT340" i="13"/>
  <c r="AL207" i="13"/>
  <c r="AP340" i="13"/>
  <c r="AN207" i="13"/>
  <c r="AL340" i="13"/>
  <c r="AP244" i="13"/>
  <c r="AK91" i="13"/>
  <c r="K880" i="13"/>
  <c r="AI665" i="13"/>
  <c r="AI849" i="13"/>
  <c r="AI846" i="13" s="1"/>
  <c r="AI744" i="13"/>
  <c r="AI742" i="13" s="1"/>
  <c r="B744" i="13" s="1"/>
  <c r="AN759" i="13"/>
  <c r="AL759" i="13"/>
  <c r="AI787" i="13"/>
  <c r="AI785" i="13" s="1"/>
  <c r="BI318" i="12"/>
  <c r="BF318" i="12" s="1"/>
  <c r="G1165" i="12"/>
  <c r="BH320" i="12" s="1"/>
  <c r="B207" i="13" l="1"/>
  <c r="B223" i="13"/>
  <c r="B340" i="13"/>
  <c r="B184" i="13"/>
  <c r="B294" i="13"/>
  <c r="B178" i="13"/>
  <c r="J175" i="13"/>
  <c r="AR170" i="13"/>
  <c r="B170" i="13" s="1"/>
  <c r="J178" i="13"/>
  <c r="B175" i="13"/>
  <c r="J889" i="13"/>
  <c r="K888" i="13"/>
  <c r="L872" i="13"/>
  <c r="L873" i="13" s="1"/>
  <c r="L874" i="13" s="1"/>
  <c r="L875" i="13" s="1"/>
  <c r="L877" i="13" s="1"/>
  <c r="L878" i="13" s="1"/>
  <c r="L879" i="13" s="1"/>
  <c r="L880" i="13" s="1"/>
  <c r="M878" i="13"/>
  <c r="M879" i="13" s="1"/>
  <c r="M880" i="13" s="1"/>
  <c r="M881" i="13" s="1"/>
  <c r="M882" i="13" s="1"/>
  <c r="M883" i="13" s="1"/>
  <c r="M884" i="13" s="1"/>
  <c r="M885" i="13" s="1"/>
  <c r="M887" i="13" s="1"/>
  <c r="M669" i="13"/>
  <c r="M670" i="13" s="1"/>
  <c r="B244" i="13"/>
  <c r="K881" i="13"/>
  <c r="AI759" i="13"/>
  <c r="AI757" i="13" s="1"/>
  <c r="C51" i="12"/>
  <c r="C50" i="12"/>
  <c r="C49" i="12"/>
  <c r="C48" i="12"/>
  <c r="C47" i="12"/>
  <c r="C46" i="12"/>
  <c r="C45" i="12"/>
  <c r="C44" i="12"/>
  <c r="C43" i="12"/>
  <c r="C42" i="12"/>
  <c r="C41" i="12"/>
  <c r="C40" i="12"/>
  <c r="C39" i="12"/>
  <c r="C38" i="12"/>
  <c r="C37" i="12"/>
  <c r="C36" i="12"/>
  <c r="C35" i="12"/>
  <c r="J890" i="13" l="1"/>
  <c r="K890" i="13" s="1"/>
  <c r="K889" i="13"/>
  <c r="K671" i="13"/>
  <c r="M888" i="13" s="1"/>
  <c r="M889" i="13" s="1"/>
  <c r="M890" i="13" s="1"/>
  <c r="L881" i="13"/>
  <c r="L882" i="13" s="1"/>
  <c r="BF116" i="12"/>
  <c r="BF117" i="12"/>
  <c r="BF118" i="12"/>
  <c r="BF119" i="12"/>
  <c r="BF120" i="12"/>
  <c r="BF121" i="12"/>
  <c r="BF122" i="12"/>
  <c r="BF115" i="12"/>
  <c r="BF108" i="12"/>
  <c r="BF109" i="12"/>
  <c r="BF110" i="12"/>
  <c r="BF111" i="12"/>
  <c r="BF112" i="12"/>
  <c r="BF113" i="12"/>
  <c r="BF114" i="12"/>
  <c r="BF107" i="12"/>
  <c r="BH125" i="12"/>
  <c r="BH124" i="12"/>
  <c r="BH123" i="12"/>
  <c r="BN121" i="12"/>
  <c r="BL121" i="12"/>
  <c r="BN119" i="12"/>
  <c r="BL119" i="12"/>
  <c r="BN117" i="12"/>
  <c r="BL117" i="12"/>
  <c r="BN115" i="12"/>
  <c r="BL115" i="12"/>
  <c r="BN113" i="12"/>
  <c r="BL113" i="12"/>
  <c r="BN111" i="12"/>
  <c r="BL111" i="12"/>
  <c r="BL109" i="12"/>
  <c r="BN109" i="12"/>
  <c r="BN107" i="12"/>
  <c r="BL107" i="12"/>
  <c r="BF380" i="12"/>
  <c r="BF463" i="12"/>
  <c r="BF388" i="12"/>
  <c r="BF354" i="12"/>
  <c r="M671" i="13" l="1"/>
  <c r="BF106" i="12"/>
  <c r="BF123" i="12"/>
  <c r="BN123" i="12"/>
  <c r="BL123" i="12"/>
  <c r="BL124" i="12" l="1"/>
  <c r="BK88" i="12" s="1"/>
  <c r="BL125" i="12"/>
  <c r="BM88" i="12" s="1"/>
  <c r="BN125" i="12"/>
  <c r="BM90" i="12" s="1"/>
  <c r="BN124" i="12"/>
  <c r="BH88" i="12" l="1"/>
  <c r="BH92" i="12" s="1"/>
  <c r="BK90" i="12"/>
  <c r="BH90" i="12" s="1"/>
  <c r="BH94" i="12" s="1"/>
  <c r="BF454" i="12" l="1"/>
  <c r="W1124" i="12"/>
  <c r="V1124" i="12"/>
  <c r="H883" i="13" l="1"/>
  <c r="BM204" i="12"/>
  <c r="H884" i="13" l="1"/>
  <c r="K883" i="13"/>
  <c r="BM205" i="12"/>
  <c r="E318" i="12"/>
  <c r="BK1124" i="12"/>
  <c r="BL1124" i="12"/>
  <c r="BM1124" i="12"/>
  <c r="BN1124" i="12"/>
  <c r="BO1128" i="12"/>
  <c r="BO1129" i="12"/>
  <c r="BO1130" i="12"/>
  <c r="BO1131" i="12"/>
  <c r="BO1132" i="12"/>
  <c r="BO1133" i="12"/>
  <c r="BO1134" i="12"/>
  <c r="BO1135" i="12"/>
  <c r="BO1136" i="12"/>
  <c r="BO1137" i="12"/>
  <c r="BO1138" i="12"/>
  <c r="BO1127" i="12"/>
  <c r="BF1124" i="12"/>
  <c r="BE1124" i="12"/>
  <c r="BJ1124" i="12"/>
  <c r="BI1124" i="12"/>
  <c r="BH1124" i="12"/>
  <c r="BG1124" i="12"/>
  <c r="I1101" i="12"/>
  <c r="I1102" i="12"/>
  <c r="I1103" i="12"/>
  <c r="I1104" i="12"/>
  <c r="I1105" i="12"/>
  <c r="I1106" i="12"/>
  <c r="I1107" i="12"/>
  <c r="I1108" i="12"/>
  <c r="I1109" i="12"/>
  <c r="I1110" i="12"/>
  <c r="I1111" i="12"/>
  <c r="I1112" i="12"/>
  <c r="I1113" i="12"/>
  <c r="I1114" i="12"/>
  <c r="I1115" i="12"/>
  <c r="I1116" i="12"/>
  <c r="I1117" i="12"/>
  <c r="I1100" i="12"/>
  <c r="H1101" i="12"/>
  <c r="H1102" i="12"/>
  <c r="H1103" i="12"/>
  <c r="H1104" i="12"/>
  <c r="H1105" i="12"/>
  <c r="H1106" i="12"/>
  <c r="H1107" i="12"/>
  <c r="H1108" i="12"/>
  <c r="H1109" i="12"/>
  <c r="H1110" i="12"/>
  <c r="H1111" i="12"/>
  <c r="H1112" i="12"/>
  <c r="H1113" i="12"/>
  <c r="H1114" i="12"/>
  <c r="H1115" i="12"/>
  <c r="H1116" i="12"/>
  <c r="H1117" i="12"/>
  <c r="H1100" i="12"/>
  <c r="BF139" i="12"/>
  <c r="BN175" i="12"/>
  <c r="F1124" i="12"/>
  <c r="G1124" i="12"/>
  <c r="H1124" i="12"/>
  <c r="I1124" i="12"/>
  <c r="J1124" i="12"/>
  <c r="K1124" i="12"/>
  <c r="L1124" i="12"/>
  <c r="M1124" i="12"/>
  <c r="P1124" i="12"/>
  <c r="Q1124" i="12"/>
  <c r="R1124" i="12"/>
  <c r="S1124" i="12"/>
  <c r="T1124" i="12"/>
  <c r="U1124" i="12"/>
  <c r="BA1124" i="12"/>
  <c r="BB1124" i="12"/>
  <c r="BC1124" i="12"/>
  <c r="BD1124" i="12"/>
  <c r="X1124" i="12"/>
  <c r="BK167" i="12" s="1"/>
  <c r="Y1124" i="12"/>
  <c r="Z1124" i="12"/>
  <c r="AA1124" i="12"/>
  <c r="C1124" i="12"/>
  <c r="BI249" i="12" s="1"/>
  <c r="D1124" i="12"/>
  <c r="BF143" i="12"/>
  <c r="B1096" i="12"/>
  <c r="B1169" i="12"/>
  <c r="B1164" i="12"/>
  <c r="B1159" i="12"/>
  <c r="B1124" i="12"/>
  <c r="B1094" i="12"/>
  <c r="A1110" i="12"/>
  <c r="A1111" i="12" s="1"/>
  <c r="A1106" i="12"/>
  <c r="A1105" i="12" s="1"/>
  <c r="A1104" i="12" s="1"/>
  <c r="L883" i="13" l="1"/>
  <c r="H885" i="13"/>
  <c r="K885" i="13" s="1"/>
  <c r="K884" i="13"/>
  <c r="BM270" i="12"/>
  <c r="BI270" i="12"/>
  <c r="BK270" i="12"/>
  <c r="BI515" i="12"/>
  <c r="BO398" i="12"/>
  <c r="BJ472" i="12"/>
  <c r="BI472" i="12"/>
  <c r="BI235" i="12"/>
  <c r="BI411" i="12"/>
  <c r="BI404" i="12"/>
  <c r="BK411" i="12"/>
  <c r="BO203" i="12"/>
  <c r="BM231" i="12"/>
  <c r="BI231" i="12"/>
  <c r="BK231" i="12"/>
  <c r="BF515" i="12"/>
  <c r="B515" i="12" s="1"/>
  <c r="BI207" i="12"/>
  <c r="BM494" i="12"/>
  <c r="BM418" i="12"/>
  <c r="BO418" i="12" s="1"/>
  <c r="BM447" i="12"/>
  <c r="BM430" i="12"/>
  <c r="BK430" i="12"/>
  <c r="BK153" i="12"/>
  <c r="BI244" i="12"/>
  <c r="J1117" i="12"/>
  <c r="J1116" i="12"/>
  <c r="J1112" i="12"/>
  <c r="J1108" i="12"/>
  <c r="J1104" i="12"/>
  <c r="J1113" i="12"/>
  <c r="J1109" i="12"/>
  <c r="J1105" i="12"/>
  <c r="J1101" i="12"/>
  <c r="BM167" i="12"/>
  <c r="J1115" i="12"/>
  <c r="J1111" i="12"/>
  <c r="J1107" i="12"/>
  <c r="J1103" i="12"/>
  <c r="J1100" i="12"/>
  <c r="J1114" i="12"/>
  <c r="J1110" i="12"/>
  <c r="J1106" i="12"/>
  <c r="J1102" i="12"/>
  <c r="BI138" i="12"/>
  <c r="BF138" i="12" s="1"/>
  <c r="B139" i="12" s="1"/>
  <c r="BI175" i="12"/>
  <c r="BI167" i="12"/>
  <c r="BM175" i="12"/>
  <c r="BK175" i="12"/>
  <c r="BI153" i="12"/>
  <c r="A1103" i="12"/>
  <c r="A1112" i="12"/>
  <c r="A1113" i="12" s="1"/>
  <c r="A1114" i="12" s="1"/>
  <c r="A1115" i="12" s="1"/>
  <c r="A1116" i="12" s="1"/>
  <c r="A1117" i="12" s="1"/>
  <c r="L884" i="13" l="1"/>
  <c r="L885" i="13" s="1"/>
  <c r="L887" i="13" s="1"/>
  <c r="L888" i="13" s="1"/>
  <c r="L889" i="13" s="1"/>
  <c r="L890" i="13" s="1"/>
  <c r="BF472" i="12"/>
  <c r="B472" i="12" s="1"/>
  <c r="BM405" i="12"/>
  <c r="BF270" i="12"/>
  <c r="B270" i="12" s="1"/>
  <c r="BF153" i="12"/>
  <c r="B153" i="12" s="1"/>
  <c r="BO249" i="12"/>
  <c r="BO250" i="12"/>
  <c r="BI250" i="12"/>
  <c r="BM250" i="12"/>
  <c r="BI214" i="12"/>
  <c r="BI221" i="12" s="1"/>
  <c r="BF167" i="12"/>
  <c r="B167" i="12" s="1"/>
  <c r="J1118" i="12"/>
  <c r="K1118" i="12" s="1"/>
  <c r="BF175" i="12"/>
  <c r="B175" i="12" s="1"/>
  <c r="A1102" i="12"/>
  <c r="A1101" i="12" s="1"/>
  <c r="A1100" i="12" s="1"/>
  <c r="A1096" i="12"/>
  <c r="E1096" i="12" s="1"/>
  <c r="BN1123" i="12" l="1"/>
  <c r="BJ1123" i="12"/>
  <c r="BM1123" i="12"/>
  <c r="BI1123" i="12"/>
  <c r="BK1123" i="12"/>
  <c r="BL1123" i="12"/>
  <c r="BH1123" i="12"/>
  <c r="BG1123" i="12"/>
  <c r="I1123" i="12"/>
  <c r="H1123" i="12"/>
  <c r="A1094" i="12"/>
  <c r="E1094" i="12" s="1"/>
  <c r="BE1122" i="12" s="1"/>
  <c r="BP84" i="12"/>
  <c r="G1096" i="12"/>
  <c r="I1096" i="12" s="1"/>
  <c r="BF411" i="12"/>
  <c r="B411" i="12" s="1"/>
  <c r="V1123" i="12"/>
  <c r="W1123" i="12"/>
  <c r="T1123" i="12"/>
  <c r="BF221" i="12"/>
  <c r="B221" i="12" s="1"/>
  <c r="BK214" i="12"/>
  <c r="BF235" i="12"/>
  <c r="B235" i="12" s="1"/>
  <c r="R1123" i="12"/>
  <c r="BF1123" i="12"/>
  <c r="BM325" i="12" s="1"/>
  <c r="Y1123" i="12"/>
  <c r="S1123" i="12"/>
  <c r="M1123" i="12"/>
  <c r="Z1123" i="12"/>
  <c r="P1123" i="12"/>
  <c r="X1123" i="12"/>
  <c r="L1123" i="12"/>
  <c r="U1123" i="12"/>
  <c r="AA1123" i="12"/>
  <c r="BD1123" i="12"/>
  <c r="Q1123" i="12"/>
  <c r="BE1123" i="12"/>
  <c r="BI325" i="12" s="1"/>
  <c r="BC1123" i="12"/>
  <c r="BF231" i="12"/>
  <c r="B231" i="12" s="1"/>
  <c r="BD1122" i="12" l="1"/>
  <c r="BK494" i="12" s="1"/>
  <c r="BH1122" i="12"/>
  <c r="BI1122" i="12"/>
  <c r="BK1122" i="12"/>
  <c r="BM344" i="12" s="1"/>
  <c r="BH1120" i="12"/>
  <c r="BM343" i="12" s="1"/>
  <c r="T1122" i="12"/>
  <c r="BJ337" i="12" s="1"/>
  <c r="BF1122" i="12"/>
  <c r="BM478" i="12" s="1"/>
  <c r="X1122" i="12"/>
  <c r="BI504" i="12" s="1"/>
  <c r="BI1120" i="12"/>
  <c r="BK343" i="12" s="1"/>
  <c r="V1122" i="12"/>
  <c r="BL337" i="12" s="1"/>
  <c r="BL1122" i="12"/>
  <c r="BI362" i="12" s="1"/>
  <c r="Z1122" i="12"/>
  <c r="BK504" i="12" s="1"/>
  <c r="BG1120" i="12"/>
  <c r="BI343" i="12" s="1"/>
  <c r="W1122" i="12"/>
  <c r="BQ337" i="12" s="1"/>
  <c r="BM1122" i="12"/>
  <c r="BK477" i="12" s="1"/>
  <c r="BG1122" i="12"/>
  <c r="BH659" i="12" s="1"/>
  <c r="K659" i="12" s="1"/>
  <c r="BJ1120" i="12"/>
  <c r="U1122" i="12"/>
  <c r="BO337" i="12" s="1"/>
  <c r="BC1122" i="12"/>
  <c r="BI494" i="12" s="1"/>
  <c r="BN1122" i="12"/>
  <c r="BM489" i="12" s="1"/>
  <c r="BJ1122" i="12"/>
  <c r="BH665" i="12" s="1"/>
  <c r="K667" i="12" s="1"/>
  <c r="BN337" i="12"/>
  <c r="BI418" i="12"/>
  <c r="BL84" i="12"/>
  <c r="BH84" i="12" s="1"/>
  <c r="B116" i="12" s="1"/>
  <c r="Y1122" i="12"/>
  <c r="M1122" i="12"/>
  <c r="BM249" i="12" s="1"/>
  <c r="I1122" i="12"/>
  <c r="BM244" i="12" s="1"/>
  <c r="S1122" i="12"/>
  <c r="BK448" i="12" s="1"/>
  <c r="L1122" i="12"/>
  <c r="BK249" i="12" s="1"/>
  <c r="H1122" i="12"/>
  <c r="BK244" i="12" s="1"/>
  <c r="P1122" i="12"/>
  <c r="BI332" i="12" s="1"/>
  <c r="AA1122" i="12"/>
  <c r="R1122" i="12"/>
  <c r="Q1122" i="12"/>
  <c r="BK256" i="12" s="1"/>
  <c r="BM256" i="12" s="1"/>
  <c r="BM504" i="12"/>
  <c r="G1094" i="12"/>
  <c r="I1094" i="12" s="1"/>
  <c r="BO343" i="12"/>
  <c r="BO211" i="12"/>
  <c r="BM207" i="12" s="1"/>
  <c r="BI337" i="12"/>
  <c r="BP85" i="12"/>
  <c r="B1120" i="12"/>
  <c r="BI133" i="12" s="1"/>
  <c r="BF133" i="12" s="1"/>
  <c r="B133" i="12" s="1"/>
  <c r="BO326" i="12"/>
  <c r="BK325" i="12"/>
  <c r="BF337" i="12" l="1"/>
  <c r="BF335" i="12" s="1"/>
  <c r="B337" i="12" s="1"/>
  <c r="BK332" i="12"/>
  <c r="BK418" i="12"/>
  <c r="BF418" i="12" s="1"/>
  <c r="BF416" i="12" s="1"/>
  <c r="B418" i="12" s="1"/>
  <c r="BI505" i="12"/>
  <c r="BI510" i="12"/>
  <c r="BF510" i="12" s="1"/>
  <c r="B510" i="12" s="1"/>
  <c r="BL85" i="12"/>
  <c r="BH85" i="12" s="1"/>
  <c r="H116" i="12" s="1"/>
  <c r="BF578" i="12"/>
  <c r="BF513" i="12"/>
  <c r="BF409" i="12"/>
  <c r="BF470" i="12"/>
  <c r="BI488" i="12"/>
  <c r="BH663" i="12"/>
  <c r="H665" i="12" s="1"/>
  <c r="BM505" i="12"/>
  <c r="BH661" i="12"/>
  <c r="H661" i="12" s="1"/>
  <c r="BO325" i="12"/>
  <c r="BM326" i="12" s="1"/>
  <c r="BK250" i="12"/>
  <c r="BI477" i="12"/>
  <c r="BF244" i="12"/>
  <c r="B244" i="12" s="1"/>
  <c r="BK362" i="12"/>
  <c r="BF362" i="12" s="1"/>
  <c r="BF360" i="12" s="1"/>
  <c r="B362" i="12" s="1"/>
  <c r="BI256" i="12"/>
  <c r="BO256" i="12" s="1"/>
  <c r="BF256" i="12" s="1"/>
  <c r="B256" i="12" s="1"/>
  <c r="BK478" i="12"/>
  <c r="BN207" i="12"/>
  <c r="BI375" i="12"/>
  <c r="BG250" i="12"/>
  <c r="BI398" i="12"/>
  <c r="BM214" i="12"/>
  <c r="BF214" i="12" s="1"/>
  <c r="B214" i="12" s="1"/>
  <c r="BK489" i="12"/>
  <c r="BM398" i="12"/>
  <c r="BM429" i="12"/>
  <c r="BK404" i="12"/>
  <c r="BO332" i="12"/>
  <c r="BI429" i="12"/>
  <c r="BO404" i="12"/>
  <c r="BK505" i="12"/>
  <c r="BF494" i="12"/>
  <c r="BF492" i="12" s="1"/>
  <c r="B494" i="12" s="1"/>
  <c r="BI448" i="12"/>
  <c r="BM488" i="12"/>
  <c r="BK375" i="12"/>
  <c r="BI405" i="12"/>
  <c r="BM477" i="12"/>
  <c r="BO344" i="12"/>
  <c r="BF343" i="12" s="1"/>
  <c r="BF341" i="12" s="1"/>
  <c r="B343" i="12" s="1"/>
  <c r="BP203" i="12"/>
  <c r="BL208" i="12"/>
  <c r="BO207" i="12"/>
  <c r="BI489" i="12"/>
  <c r="BP207" i="12"/>
  <c r="BK405" i="12"/>
  <c r="BK488" i="12"/>
  <c r="BN203" i="12"/>
  <c r="BM203" i="12"/>
  <c r="BK398" i="12"/>
  <c r="BK429" i="12"/>
  <c r="BI447" i="12"/>
  <c r="BK447" i="12"/>
  <c r="BM332" i="12"/>
  <c r="BM404" i="12"/>
  <c r="BF254" i="12" l="1"/>
  <c r="BF398" i="12"/>
  <c r="BF396" i="12" s="1"/>
  <c r="B398" i="12" s="1"/>
  <c r="BF325" i="12"/>
  <c r="BF323" i="12" s="1"/>
  <c r="B325" i="12" s="1"/>
  <c r="BF249" i="12"/>
  <c r="BF247" i="12" s="1"/>
  <c r="B249" i="12" s="1"/>
  <c r="BF375" i="12"/>
  <c r="BF373" i="12" s="1"/>
  <c r="B375" i="12" s="1"/>
  <c r="BF508" i="12"/>
  <c r="BF504" i="12"/>
  <c r="BF502" i="12" s="1"/>
  <c r="B504" i="12" s="1"/>
  <c r="BF477" i="12"/>
  <c r="BF475" i="12" s="1"/>
  <c r="B477" i="12" s="1"/>
  <c r="BF429" i="12"/>
  <c r="BF427" i="12" s="1"/>
  <c r="B429" i="12" s="1"/>
  <c r="BF332" i="12"/>
  <c r="BF330" i="12" s="1"/>
  <c r="B332" i="12" s="1"/>
  <c r="BF488" i="12"/>
  <c r="BF486" i="12" s="1"/>
  <c r="B488" i="12" s="1"/>
  <c r="BF404" i="12"/>
  <c r="BF402" i="12" s="1"/>
  <c r="B404" i="12" s="1"/>
  <c r="BK208" i="12"/>
  <c r="BK207" i="12" s="1"/>
  <c r="BF447" i="12"/>
  <c r="BF445" i="12" s="1"/>
  <c r="B447" i="12" s="1"/>
  <c r="B1233" i="8"/>
  <c r="BL1224" i="8" s="1"/>
  <c r="BB200" i="8"/>
  <c r="B199" i="8" s="1"/>
  <c r="BF207" i="12" l="1"/>
  <c r="B207" i="12" s="1"/>
  <c r="BL1216" i="8"/>
  <c r="BL1220" i="8"/>
  <c r="BB1474" i="8" l="1"/>
  <c r="BB1475" i="8"/>
  <c r="BB1476" i="8"/>
  <c r="BB1477" i="8"/>
  <c r="BB1478" i="8"/>
  <c r="BB1473" i="8"/>
  <c r="BB1295" i="8"/>
  <c r="BB1296" i="8"/>
  <c r="BB1297" i="8"/>
  <c r="BB1294" i="8"/>
  <c r="BB1165" i="8"/>
  <c r="BB1166" i="8"/>
  <c r="BB1167" i="8"/>
  <c r="BB1164" i="8"/>
  <c r="BB1123" i="8"/>
  <c r="BB1124" i="8"/>
  <c r="BB1125" i="8"/>
  <c r="BB1126" i="8"/>
  <c r="BB1127" i="8"/>
  <c r="BB1128" i="8"/>
  <c r="BB1129" i="8"/>
  <c r="BB1130" i="8"/>
  <c r="BB1131" i="8"/>
  <c r="BB1132" i="8"/>
  <c r="BB1133" i="8"/>
  <c r="BB1134" i="8"/>
  <c r="BB1135" i="8"/>
  <c r="BB1122" i="8"/>
  <c r="BB1094" i="8"/>
  <c r="BB1093" i="8"/>
  <c r="BB1092" i="8"/>
  <c r="BB1091" i="8"/>
  <c r="BB1087" i="8"/>
  <c r="BB1088" i="8"/>
  <c r="BB1089" i="8"/>
  <c r="BB1086" i="8"/>
  <c r="BB1080" i="8"/>
  <c r="BB1079" i="8"/>
  <c r="BB1056" i="8"/>
  <c r="BB1055" i="8"/>
  <c r="BS205" i="8"/>
  <c r="BS207" i="8"/>
  <c r="BS209" i="8"/>
  <c r="BS211" i="8"/>
  <c r="BS213" i="8"/>
  <c r="BS215" i="8"/>
  <c r="BS217" i="8"/>
  <c r="BS219" i="8"/>
  <c r="BS221" i="8"/>
  <c r="BS203" i="8"/>
  <c r="BF1182" i="8" l="1"/>
  <c r="BI102" i="8" l="1"/>
  <c r="BQ102" i="8" s="1"/>
  <c r="BI101" i="8"/>
  <c r="BQ101" i="8" s="1"/>
  <c r="BF102" i="8"/>
  <c r="BN102" i="8" s="1"/>
  <c r="BF101" i="8"/>
  <c r="BN101" i="8" s="1"/>
  <c r="B86" i="8" l="1"/>
  <c r="BE1522" i="8"/>
  <c r="BE1521" i="8"/>
  <c r="BE1520" i="8"/>
  <c r="BE1518" i="8"/>
  <c r="BB1524" i="8" l="1"/>
  <c r="BF126" i="8" l="1"/>
  <c r="BE126" i="8"/>
  <c r="BN145" i="8"/>
  <c r="BE123" i="8" s="1"/>
  <c r="BB126" i="8" l="1"/>
  <c r="B126" i="8" s="1"/>
  <c r="BF160" i="8"/>
  <c r="BF161" i="8" s="1"/>
  <c r="BG123" i="8"/>
  <c r="BB123" i="8" s="1"/>
  <c r="B123" i="8" s="1"/>
  <c r="BJ1252" i="8"/>
  <c r="BJ1273" i="8" s="1"/>
  <c r="BJ1248" i="8" l="1"/>
  <c r="BJ1269" i="8" s="1"/>
  <c r="BH1337" i="8"/>
  <c r="BH1431" i="8"/>
  <c r="BJ1244" i="8"/>
  <c r="BJ1265" i="8" s="1"/>
  <c r="BH1244" i="8"/>
  <c r="BJ1256" i="8" s="1"/>
  <c r="BJ1277" i="8" s="1"/>
  <c r="BF1307" i="8"/>
  <c r="BF1421" i="8" s="1"/>
  <c r="BH1256" i="8"/>
  <c r="BH1277" i="8" s="1"/>
  <c r="BB985" i="8"/>
  <c r="B996" i="8" s="1"/>
  <c r="BB983" i="8"/>
  <c r="B989" i="8" s="1"/>
  <c r="BB982" i="8"/>
  <c r="B984" i="8" s="1"/>
  <c r="BB984" i="8"/>
  <c r="B993" i="8" s="1"/>
  <c r="BB981" i="8"/>
  <c r="B981" i="8" s="1"/>
  <c r="BB1185" i="8"/>
  <c r="B1186" i="8" s="1"/>
  <c r="BD1178" i="8"/>
  <c r="BF1180" i="8"/>
  <c r="BE1180" i="8"/>
  <c r="BF1178" i="8"/>
  <c r="BH1178" i="8" s="1"/>
  <c r="BF1173" i="8"/>
  <c r="BD1173" i="8" s="1"/>
  <c r="BD1179" i="8" s="1"/>
  <c r="BE1147" i="8"/>
  <c r="BD1147" i="8"/>
  <c r="BH1252" i="8" l="1"/>
  <c r="BH1273" i="8" s="1"/>
  <c r="BE1273" i="8" s="1"/>
  <c r="BH1265" i="8"/>
  <c r="BF1507" i="8"/>
  <c r="BH1248" i="8"/>
  <c r="BH1260" i="8" s="1"/>
  <c r="BH1281" i="8" s="1"/>
  <c r="BF1310" i="8"/>
  <c r="BC1310" i="8" s="1"/>
  <c r="BF1308" i="8"/>
  <c r="BC1308" i="8" s="1"/>
  <c r="BF1174" i="8"/>
  <c r="BD1180" i="8"/>
  <c r="BB1180" i="8" s="1"/>
  <c r="B1178" i="8" s="1"/>
  <c r="BI1104" i="8"/>
  <c r="BG1104" i="8"/>
  <c r="BE1104" i="8"/>
  <c r="BB1105" i="8"/>
  <c r="BC1104" i="8"/>
  <c r="BE1077" i="8"/>
  <c r="BG1147" i="8" s="1"/>
  <c r="BH1269" i="8" l="1"/>
  <c r="BD1174" i="8"/>
  <c r="BF1175" i="8"/>
  <c r="BI1147" i="8"/>
  <c r="BB1147" i="8" s="1"/>
  <c r="BB1104" i="8"/>
  <c r="B1106" i="8" s="1"/>
  <c r="BB1077" i="8"/>
  <c r="H1077" i="8" s="1"/>
  <c r="BE1500" i="8"/>
  <c r="BE1499" i="8"/>
  <c r="BE1498" i="8"/>
  <c r="BG1497" i="8"/>
  <c r="BH1497" i="8" s="1"/>
  <c r="BI1497" i="8" s="1"/>
  <c r="BJ1497" i="8" s="1"/>
  <c r="BK1497" i="8" s="1"/>
  <c r="BG1411" i="8"/>
  <c r="BH1411" i="8" s="1"/>
  <c r="BI1411" i="8" s="1"/>
  <c r="BJ1411" i="8" s="1"/>
  <c r="BK1411" i="8" s="1"/>
  <c r="BE1414" i="8"/>
  <c r="BE1413" i="8"/>
  <c r="BE1412" i="8"/>
  <c r="BG1315" i="8"/>
  <c r="BH1315" i="8" s="1"/>
  <c r="BI1315" i="8" s="1"/>
  <c r="BJ1315" i="8" s="1"/>
  <c r="BK1315" i="8" s="1"/>
  <c r="BE1319" i="8"/>
  <c r="BE1318" i="8"/>
  <c r="BE1317" i="8"/>
  <c r="BF1176" i="8" l="1"/>
  <c r="BD1175" i="8"/>
  <c r="BB1148" i="8"/>
  <c r="B1144" i="8" s="1"/>
  <c r="BH1326" i="8"/>
  <c r="BE1501" i="8"/>
  <c r="BE1415" i="8"/>
  <c r="BE1320" i="8"/>
  <c r="BF1177" i="8" l="1"/>
  <c r="BD1177" i="8" s="1"/>
  <c r="BD1176" i="8"/>
  <c r="BF1324" i="8"/>
  <c r="BC1324" i="8" s="1"/>
  <c r="BH1419" i="8"/>
  <c r="BF1326" i="8"/>
  <c r="BC1326" i="8" s="1"/>
  <c r="BH1421" i="8"/>
  <c r="BC1421" i="8" s="1"/>
  <c r="BH1507" i="8"/>
  <c r="BF1325" i="8"/>
  <c r="BF1402" i="8"/>
  <c r="BF1403" i="8" s="1"/>
  <c r="BC1403" i="8" s="1"/>
  <c r="BI1418" i="8"/>
  <c r="BI1323" i="8"/>
  <c r="BF1419" i="8"/>
  <c r="BF1505" i="8"/>
  <c r="BC1505" i="8" s="1"/>
  <c r="BH1325" i="8"/>
  <c r="BF1420" i="8"/>
  <c r="BC1420" i="8" s="1"/>
  <c r="BI1504" i="8"/>
  <c r="BF1506" i="8"/>
  <c r="BC1506" i="8" s="1"/>
  <c r="BE1502" i="8"/>
  <c r="BF1504" i="8" s="1"/>
  <c r="BE1416" i="8"/>
  <c r="BF1418" i="8" s="1"/>
  <c r="BF1309" i="8"/>
  <c r="BC1309" i="8" s="1"/>
  <c r="B1317" i="8"/>
  <c r="BE1321" i="8"/>
  <c r="BF1323" i="8" s="1"/>
  <c r="BC1419" i="8" l="1"/>
  <c r="BC1507" i="8"/>
  <c r="BC1418" i="8"/>
  <c r="BC1504" i="8"/>
  <c r="BC1508" i="8" s="1"/>
  <c r="BC1325" i="8"/>
  <c r="BF1490" i="8"/>
  <c r="BF1491" i="8" s="1"/>
  <c r="BF1404" i="8"/>
  <c r="B1411" i="8"/>
  <c r="BC1323" i="8"/>
  <c r="B1319" i="8"/>
  <c r="BF1405" i="8" l="1"/>
  <c r="BC1404" i="8"/>
  <c r="B1413" i="8" s="1"/>
  <c r="BF1492" i="8"/>
  <c r="BC1492" i="8" s="1"/>
  <c r="B1504" i="8" s="1"/>
  <c r="BC1491" i="8"/>
  <c r="B1502" i="8" s="1"/>
  <c r="BC1509" i="8"/>
  <c r="B1509" i="8" s="1"/>
  <c r="BC1422" i="8"/>
  <c r="BC1423" i="8" s="1"/>
  <c r="B1418" i="8" s="1"/>
  <c r="BC1327" i="8"/>
  <c r="BC1329" i="8" s="1"/>
  <c r="B1324" i="8" s="1"/>
  <c r="B1321" i="8"/>
  <c r="BF1493" i="8" l="1"/>
  <c r="BC1493" i="8" s="1"/>
  <c r="B1506" i="8" s="1"/>
  <c r="BC1405" i="8"/>
  <c r="B1415" i="8" s="1"/>
  <c r="BE610" i="8"/>
  <c r="B615" i="8" s="1"/>
  <c r="BE605" i="8"/>
  <c r="BE607" i="8"/>
  <c r="BE606" i="8"/>
  <c r="BB1139" i="8" l="1"/>
  <c r="BB1138" i="8"/>
  <c r="BB1137" i="8"/>
  <c r="BB1070" i="8"/>
  <c r="BB1069" i="8"/>
  <c r="BB1066" i="8"/>
  <c r="BB1065" i="8"/>
  <c r="BB1060" i="8"/>
  <c r="BB1059" i="8"/>
  <c r="B1059" i="8" s="1"/>
  <c r="BB180" i="8"/>
  <c r="BB179" i="8"/>
  <c r="BB178" i="8"/>
  <c r="BB177" i="8"/>
  <c r="BB176" i="8"/>
  <c r="BB175" i="8"/>
  <c r="BB173" i="8"/>
  <c r="BB172" i="8"/>
  <c r="BB170" i="8"/>
  <c r="BB169" i="8"/>
  <c r="BB168" i="8"/>
  <c r="BB167" i="8"/>
  <c r="BB161" i="8"/>
  <c r="BH160" i="8"/>
  <c r="BB157" i="8"/>
  <c r="BB156" i="8"/>
  <c r="BB155" i="8"/>
  <c r="BB154" i="8"/>
  <c r="BB153" i="8"/>
  <c r="BB152" i="8"/>
  <c r="BL151" i="8"/>
  <c r="BK151" i="8"/>
  <c r="BJ151" i="8"/>
  <c r="BI151" i="8"/>
  <c r="BH151" i="8"/>
  <c r="BG151" i="8"/>
  <c r="BF151" i="8"/>
  <c r="BE151" i="8"/>
  <c r="BB151" i="8" s="1"/>
  <c r="BB150" i="8"/>
  <c r="H132" i="8" s="1"/>
  <c r="BB149" i="8"/>
  <c r="BB148" i="8"/>
  <c r="BB147" i="8"/>
  <c r="BB146" i="8"/>
  <c r="BL145" i="8"/>
  <c r="BK145" i="8"/>
  <c r="BJ145" i="8"/>
  <c r="BI145" i="8"/>
  <c r="BH145" i="8"/>
  <c r="BG145" i="8"/>
  <c r="BF145" i="8"/>
  <c r="BE145" i="8"/>
  <c r="BL102" i="8" l="1"/>
  <c r="BL101" i="8"/>
  <c r="BJ160" i="8"/>
  <c r="BL160" i="8" s="1"/>
  <c r="BH1182" i="8" l="1"/>
  <c r="BD1182" i="8" s="1"/>
  <c r="BB1182" i="8" s="1"/>
  <c r="B1182" i="8" s="1"/>
  <c r="BB160" i="8"/>
  <c r="E1171" i="8" l="1"/>
  <c r="B1170" i="8"/>
  <c r="K1163" i="8" s="1"/>
  <c r="B1055" i="8"/>
  <c r="B1137" i="8"/>
  <c r="L1130" i="8"/>
  <c r="F1130" i="8"/>
  <c r="H1128" i="8"/>
  <c r="B1128" i="8"/>
  <c r="H1096" i="8"/>
  <c r="B1091" i="8"/>
  <c r="H1079" i="8"/>
  <c r="B1069" i="8"/>
  <c r="H1065" i="8"/>
  <c r="C1497" i="8"/>
  <c r="C1494" i="8"/>
  <c r="C1491" i="8"/>
  <c r="C1487" i="8"/>
  <c r="C1484" i="8"/>
  <c r="C1481" i="8"/>
  <c r="BM1468" i="8"/>
  <c r="BM1464" i="8"/>
  <c r="BM1460" i="8"/>
  <c r="BM1456" i="8"/>
  <c r="BM1452" i="8"/>
  <c r="BM1447" i="8"/>
  <c r="BM1443" i="8"/>
  <c r="BM1439" i="8"/>
  <c r="BM1435" i="8"/>
  <c r="BM1431" i="8"/>
  <c r="BH1452" i="8"/>
  <c r="BH1392" i="8"/>
  <c r="BG1392" i="8"/>
  <c r="BF1392" i="8"/>
  <c r="BE1392" i="8"/>
  <c r="BB1392" i="8" s="1"/>
  <c r="BH1391" i="8"/>
  <c r="BG1391" i="8"/>
  <c r="BF1391" i="8"/>
  <c r="BE1391" i="8"/>
  <c r="BB1391" i="8" s="1"/>
  <c r="BH1390" i="8"/>
  <c r="BG1390" i="8"/>
  <c r="BF1390" i="8"/>
  <c r="BE1390" i="8"/>
  <c r="BB1390" i="8" s="1"/>
  <c r="BH1389" i="8"/>
  <c r="BG1389" i="8"/>
  <c r="BF1389" i="8"/>
  <c r="BE1389" i="8"/>
  <c r="BB1389" i="8" s="1"/>
  <c r="BM1374" i="8"/>
  <c r="BM1370" i="8"/>
  <c r="BM1366" i="8"/>
  <c r="BM1362" i="8"/>
  <c r="BM1358" i="8"/>
  <c r="BM1353" i="8"/>
  <c r="BM1349" i="8"/>
  <c r="BM1345" i="8"/>
  <c r="BM1341" i="8"/>
  <c r="BM1337" i="8"/>
  <c r="BH1358" i="8"/>
  <c r="I1307" i="8"/>
  <c r="I1294" i="8"/>
  <c r="B1307" i="8"/>
  <c r="B1294" i="8"/>
  <c r="BE1225" i="8"/>
  <c r="J1222" i="8" s="1"/>
  <c r="BJ1224" i="8"/>
  <c r="BE1221" i="8"/>
  <c r="F1222" i="8" s="1"/>
  <c r="BJ1220" i="8"/>
  <c r="BE1217" i="8"/>
  <c r="B1222" i="8" s="1"/>
  <c r="BJ1216" i="8"/>
  <c r="BH1216" i="8" s="1"/>
  <c r="BT829" i="8"/>
  <c r="BT826" i="8"/>
  <c r="BD770" i="8"/>
  <c r="BB770" i="8"/>
  <c r="BD769" i="8"/>
  <c r="BB769" i="8"/>
  <c r="BD768" i="8"/>
  <c r="BB768" i="8"/>
  <c r="BD767" i="8"/>
  <c r="BB767" i="8"/>
  <c r="BD766" i="8"/>
  <c r="BB766" i="8"/>
  <c r="BD765" i="8"/>
  <c r="BB765" i="8"/>
  <c r="BD764" i="8"/>
  <c r="BB764" i="8"/>
  <c r="BD763" i="8"/>
  <c r="BB763" i="8"/>
  <c r="BD762" i="8"/>
  <c r="BB762" i="8"/>
  <c r="BD761" i="8"/>
  <c r="BB761" i="8"/>
  <c r="BD760" i="8"/>
  <c r="BB760" i="8"/>
  <c r="BL1171" i="8"/>
  <c r="BK1171" i="8"/>
  <c r="BJ1171" i="8"/>
  <c r="BI1171" i="8"/>
  <c r="BH1171" i="8"/>
  <c r="BG1171" i="8"/>
  <c r="BF1171" i="8"/>
  <c r="BE1171" i="8"/>
  <c r="BB1171" i="8" s="1"/>
  <c r="BL1170" i="8"/>
  <c r="BK1170" i="8"/>
  <c r="BJ1170" i="8"/>
  <c r="BI1170" i="8"/>
  <c r="BH1170" i="8"/>
  <c r="BG1170" i="8"/>
  <c r="BF1170" i="8"/>
  <c r="BE1170" i="8"/>
  <c r="BB1170" i="8" s="1"/>
  <c r="BL1169" i="8"/>
  <c r="BK1169" i="8"/>
  <c r="BJ1169" i="8"/>
  <c r="BI1169" i="8"/>
  <c r="BH1169" i="8"/>
  <c r="BG1169" i="8"/>
  <c r="BF1169" i="8"/>
  <c r="BE1169" i="8"/>
  <c r="BB1169" i="8" s="1"/>
  <c r="BL1168" i="8"/>
  <c r="BK1168" i="8"/>
  <c r="BJ1168" i="8"/>
  <c r="BI1168" i="8"/>
  <c r="BH1168" i="8"/>
  <c r="BG1168" i="8"/>
  <c r="BF1168" i="8"/>
  <c r="BE1168" i="8"/>
  <c r="BB1168" i="8" s="1"/>
  <c r="E1163" i="8"/>
  <c r="H1170" i="8" s="1"/>
  <c r="B1164" i="8"/>
  <c r="K1171" i="8" s="1"/>
  <c r="J1137" i="8"/>
  <c r="F1137" i="8"/>
  <c r="J1130" i="8"/>
  <c r="H1130" i="8"/>
  <c r="D1130" i="8"/>
  <c r="B1130" i="8"/>
  <c r="L1128" i="8"/>
  <c r="J1128" i="8"/>
  <c r="F1128" i="8"/>
  <c r="D1128" i="8"/>
  <c r="H1091" i="8"/>
  <c r="B1096" i="8"/>
  <c r="M1090" i="8"/>
  <c r="K1086" i="8"/>
  <c r="H1087" i="8"/>
  <c r="E1087" i="8"/>
  <c r="B1086" i="8"/>
  <c r="M1085" i="8"/>
  <c r="B1079" i="8"/>
  <c r="M1078" i="8"/>
  <c r="H1069" i="8"/>
  <c r="BX1068" i="8"/>
  <c r="M1068" i="8"/>
  <c r="B1065" i="8"/>
  <c r="BX1064" i="8"/>
  <c r="M1064" i="8"/>
  <c r="H1059" i="8"/>
  <c r="BL1058" i="8"/>
  <c r="BL1064" i="8" s="1"/>
  <c r="BL1068" i="8" s="1"/>
  <c r="BL1078" i="8" s="1"/>
  <c r="BL1085" i="8" s="1"/>
  <c r="BL1090" i="8" s="1"/>
  <c r="BL1120" i="8" s="1"/>
  <c r="BL1163" i="8" s="1"/>
  <c r="BL1293" i="8" s="1"/>
  <c r="BL1388" i="8" s="1"/>
  <c r="BL1472" i="8" s="1"/>
  <c r="BK1058" i="8"/>
  <c r="BK1064" i="8" s="1"/>
  <c r="BK1068" i="8" s="1"/>
  <c r="BK1078" i="8" s="1"/>
  <c r="BK1085" i="8" s="1"/>
  <c r="BK1090" i="8" s="1"/>
  <c r="BK1120" i="8" s="1"/>
  <c r="BK1163" i="8" s="1"/>
  <c r="BK1293" i="8" s="1"/>
  <c r="BK1388" i="8" s="1"/>
  <c r="BK1472" i="8" s="1"/>
  <c r="BJ1058" i="8"/>
  <c r="BJ1064" i="8" s="1"/>
  <c r="BJ1068" i="8" s="1"/>
  <c r="BJ1078" i="8" s="1"/>
  <c r="BJ1085" i="8" s="1"/>
  <c r="BJ1090" i="8" s="1"/>
  <c r="BJ1120" i="8" s="1"/>
  <c r="BJ1163" i="8" s="1"/>
  <c r="BJ1293" i="8" s="1"/>
  <c r="BJ1388" i="8" s="1"/>
  <c r="BJ1472" i="8" s="1"/>
  <c r="BI1058" i="8"/>
  <c r="BI1064" i="8" s="1"/>
  <c r="BI1068" i="8" s="1"/>
  <c r="BI1078" i="8" s="1"/>
  <c r="BI1085" i="8" s="1"/>
  <c r="BI1090" i="8" s="1"/>
  <c r="BI1120" i="8" s="1"/>
  <c r="BI1163" i="8" s="1"/>
  <c r="BI1293" i="8" s="1"/>
  <c r="BI1388" i="8" s="1"/>
  <c r="BI1472" i="8" s="1"/>
  <c r="BH1058" i="8"/>
  <c r="BH1064" i="8" s="1"/>
  <c r="BH1068" i="8" s="1"/>
  <c r="BH1078" i="8" s="1"/>
  <c r="BH1085" i="8" s="1"/>
  <c r="BH1090" i="8" s="1"/>
  <c r="BH1120" i="8" s="1"/>
  <c r="BH1163" i="8" s="1"/>
  <c r="BH1293" i="8" s="1"/>
  <c r="BH1388" i="8" s="1"/>
  <c r="BH1472" i="8" s="1"/>
  <c r="BG1058" i="8"/>
  <c r="BG1064" i="8" s="1"/>
  <c r="BG1068" i="8" s="1"/>
  <c r="BG1078" i="8" s="1"/>
  <c r="BG1085" i="8" s="1"/>
  <c r="BG1090" i="8" s="1"/>
  <c r="BG1120" i="8" s="1"/>
  <c r="BG1163" i="8" s="1"/>
  <c r="BG1293" i="8" s="1"/>
  <c r="BG1388" i="8" s="1"/>
  <c r="BG1472" i="8" s="1"/>
  <c r="BF1058" i="8"/>
  <c r="BF1064" i="8" s="1"/>
  <c r="BF1068" i="8" s="1"/>
  <c r="BF1078" i="8" s="1"/>
  <c r="BF1085" i="8" s="1"/>
  <c r="BF1090" i="8" s="1"/>
  <c r="BF1120" i="8" s="1"/>
  <c r="BF1163" i="8" s="1"/>
  <c r="BF1293" i="8" s="1"/>
  <c r="BF1388" i="8" s="1"/>
  <c r="BF1472" i="8" s="1"/>
  <c r="BE1058" i="8"/>
  <c r="BE1064" i="8" s="1"/>
  <c r="BE1068" i="8" s="1"/>
  <c r="BE1078" i="8" s="1"/>
  <c r="BE1085" i="8" s="1"/>
  <c r="BE1090" i="8" s="1"/>
  <c r="BE1120" i="8" s="1"/>
  <c r="BE1163" i="8" s="1"/>
  <c r="BE1293" i="8" s="1"/>
  <c r="BE1388" i="8" s="1"/>
  <c r="BE1472" i="8" s="1"/>
  <c r="M1058" i="8"/>
  <c r="CA1057" i="8"/>
  <c r="BX1057" i="8"/>
  <c r="CA1056" i="8"/>
  <c r="BX1056" i="8"/>
  <c r="H1055" i="8"/>
  <c r="H1164" i="8" l="1"/>
  <c r="B1388" i="8"/>
  <c r="B1401" i="8"/>
  <c r="I1388" i="8"/>
  <c r="I1401" i="8"/>
  <c r="BE1244" i="8"/>
  <c r="I1244" i="8" s="1"/>
  <c r="BJ1337" i="8"/>
  <c r="BE1337" i="8" s="1"/>
  <c r="I1337" i="8" s="1"/>
  <c r="BE1265" i="8"/>
  <c r="I1265" i="8" s="1"/>
  <c r="BH1341" i="8"/>
  <c r="BH1345" i="8" s="1"/>
  <c r="BV1056" i="8"/>
  <c r="BW1061" i="8" s="1"/>
  <c r="BV1057" i="8"/>
  <c r="BW1062" i="8" s="1"/>
  <c r="BH1435" i="8"/>
  <c r="BJ1435" i="8" s="1"/>
  <c r="BE1435" i="8" s="1"/>
  <c r="I1435" i="8" s="1"/>
  <c r="BJ1431" i="8"/>
  <c r="BE1431" i="8" s="1"/>
  <c r="I1431" i="8" s="1"/>
  <c r="BD772" i="8"/>
  <c r="BB772" i="8"/>
  <c r="BH1220" i="8"/>
  <c r="BE1216" i="8"/>
  <c r="B1216" i="8" s="1"/>
  <c r="BH1362" i="8"/>
  <c r="BH1456" i="8"/>
  <c r="BJ1452" i="8"/>
  <c r="BE1452" i="8" s="1"/>
  <c r="I1452" i="8" s="1"/>
  <c r="BJ1358" i="8"/>
  <c r="BE1358" i="8" s="1"/>
  <c r="I1358" i="8" s="1"/>
  <c r="M268" i="8"/>
  <c r="B268" i="8"/>
  <c r="BF109" i="8"/>
  <c r="BF113" i="8"/>
  <c r="BU264" i="8"/>
  <c r="BU261" i="8"/>
  <c r="BU258" i="8"/>
  <c r="BU255" i="8"/>
  <c r="BU252" i="8"/>
  <c r="BU249" i="8"/>
  <c r="BU246" i="8"/>
  <c r="BU243" i="8"/>
  <c r="BX270" i="8"/>
  <c r="BY270" i="8"/>
  <c r="BZ270" i="8"/>
  <c r="BW270" i="8"/>
  <c r="N66" i="8"/>
  <c r="A66" i="8"/>
  <c r="BB660" i="8"/>
  <c r="BB659" i="8"/>
  <c r="BB658" i="8"/>
  <c r="BB657" i="8"/>
  <c r="BB214" i="8"/>
  <c r="BB213" i="8"/>
  <c r="BB212" i="8"/>
  <c r="BB211" i="8"/>
  <c r="BT273" i="8"/>
  <c r="BT276" i="8"/>
  <c r="BQ205" i="8"/>
  <c r="BQ207" i="8"/>
  <c r="BQ209" i="8"/>
  <c r="BQ211" i="8"/>
  <c r="BQ213" i="8"/>
  <c r="BQ215" i="8"/>
  <c r="BQ217" i="8"/>
  <c r="BQ219" i="8"/>
  <c r="BQ221" i="8"/>
  <c r="BQ203" i="8"/>
  <c r="BT205" i="8"/>
  <c r="BT207" i="8"/>
  <c r="BT209" i="8"/>
  <c r="BT211" i="8"/>
  <c r="BT213" i="8"/>
  <c r="BT215" i="8"/>
  <c r="BT217" i="8"/>
  <c r="BT219" i="8"/>
  <c r="BT221" i="8"/>
  <c r="BT203" i="8"/>
  <c r="BB775" i="8" l="1"/>
  <c r="B772" i="8" s="1"/>
  <c r="BE1269" i="8"/>
  <c r="I1269" i="8" s="1"/>
  <c r="BH1439" i="8"/>
  <c r="BH1443" i="8" s="1"/>
  <c r="BJ1341" i="8"/>
  <c r="BE1341" i="8" s="1"/>
  <c r="I1341" i="8" s="1"/>
  <c r="BE106" i="8"/>
  <c r="BB182" i="8" s="1"/>
  <c r="B180" i="8" s="1"/>
  <c r="BE107" i="8"/>
  <c r="E753" i="8"/>
  <c r="E749" i="8"/>
  <c r="B756" i="8"/>
  <c r="B752" i="8"/>
  <c r="B748" i="8"/>
  <c r="E756" i="8"/>
  <c r="E752" i="8"/>
  <c r="E748" i="8"/>
  <c r="B755" i="8"/>
  <c r="B751" i="8"/>
  <c r="B747" i="8"/>
  <c r="E754" i="8"/>
  <c r="B749" i="8"/>
  <c r="E755" i="8"/>
  <c r="E751" i="8"/>
  <c r="E747" i="8"/>
  <c r="B754" i="8"/>
  <c r="B750" i="8"/>
  <c r="E750" i="8"/>
  <c r="B753" i="8"/>
  <c r="L753" i="8"/>
  <c r="L752" i="8"/>
  <c r="L755" i="8"/>
  <c r="L751" i="8"/>
  <c r="I755" i="8"/>
  <c r="I751" i="8"/>
  <c r="L747" i="8"/>
  <c r="L754" i="8"/>
  <c r="L750" i="8"/>
  <c r="I754" i="8"/>
  <c r="I750" i="8"/>
  <c r="I756" i="8"/>
  <c r="L749" i="8"/>
  <c r="I753" i="8"/>
  <c r="I749" i="8"/>
  <c r="I748" i="8"/>
  <c r="L756" i="8"/>
  <c r="I752" i="8"/>
  <c r="L748" i="8"/>
  <c r="I747" i="8"/>
  <c r="BH1460" i="8"/>
  <c r="BJ1456" i="8"/>
  <c r="BE1248" i="8"/>
  <c r="I1248" i="8" s="1"/>
  <c r="BH1366" i="8"/>
  <c r="BJ1362" i="8"/>
  <c r="BE1362" i="8" s="1"/>
  <c r="I1362" i="8" s="1"/>
  <c r="BH1349" i="8"/>
  <c r="BJ1345" i="8"/>
  <c r="BE1345" i="8" s="1"/>
  <c r="I1345" i="8" s="1"/>
  <c r="BH1224" i="8"/>
  <c r="BE1224" i="8" s="1"/>
  <c r="J1216" i="8" s="1"/>
  <c r="BE1220" i="8"/>
  <c r="F1216" i="8" s="1"/>
  <c r="BU268" i="8"/>
  <c r="BQ224" i="8"/>
  <c r="BX227" i="8"/>
  <c r="BW227" i="8"/>
  <c r="BS224" i="8"/>
  <c r="BJ620" i="8" l="1"/>
  <c r="BL620" i="8"/>
  <c r="BE1456" i="8"/>
  <c r="I1456" i="8" s="1"/>
  <c r="BJ1439" i="8"/>
  <c r="BE1439" i="8" s="1"/>
  <c r="I1439" i="8" s="1"/>
  <c r="BH1353" i="8"/>
  <c r="BE1353" i="8" s="1"/>
  <c r="I1353" i="8" s="1"/>
  <c r="BJ1349" i="8"/>
  <c r="BE1349" i="8" s="1"/>
  <c r="I1349" i="8" s="1"/>
  <c r="BH1464" i="8"/>
  <c r="BJ1460" i="8"/>
  <c r="BE1460" i="8" s="1"/>
  <c r="I1460" i="8" s="1"/>
  <c r="BH1370" i="8"/>
  <c r="BJ1366" i="8"/>
  <c r="BE1366" i="8" s="1"/>
  <c r="I1366" i="8" s="1"/>
  <c r="BH1447" i="8"/>
  <c r="BE1447" i="8" s="1"/>
  <c r="I1447" i="8" s="1"/>
  <c r="BJ1443" i="8"/>
  <c r="BE1443" i="8" s="1"/>
  <c r="I1443" i="8" s="1"/>
  <c r="BE1252" i="8"/>
  <c r="I1252" i="8" s="1"/>
  <c r="BX266" i="8"/>
  <c r="BT266" i="8" s="1"/>
  <c r="C268" i="8" s="1"/>
  <c r="BY227" i="8"/>
  <c r="BF76" i="8"/>
  <c r="BF75" i="8"/>
  <c r="I1273" i="8" l="1"/>
  <c r="BF67" i="8"/>
  <c r="B66" i="8" s="1"/>
  <c r="BF70" i="8"/>
  <c r="B68" i="8" s="1"/>
  <c r="BF72" i="8"/>
  <c r="B80" i="8" s="1"/>
  <c r="BF71" i="8"/>
  <c r="B74" i="8" s="1"/>
  <c r="BH620" i="8"/>
  <c r="BE612" i="8" s="1"/>
  <c r="B619" i="8" s="1"/>
  <c r="BH1374" i="8"/>
  <c r="BE1374" i="8" s="1"/>
  <c r="I1374" i="8" s="1"/>
  <c r="BJ1370" i="8"/>
  <c r="BE1370" i="8" s="1"/>
  <c r="I1370" i="8" s="1"/>
  <c r="BE1281" i="8"/>
  <c r="I1282" i="8" s="1"/>
  <c r="BH1468" i="8"/>
  <c r="BE1468" i="8" s="1"/>
  <c r="I1468" i="8" s="1"/>
  <c r="BJ1464" i="8"/>
  <c r="BE1464" i="8" s="1"/>
  <c r="I1464" i="8" s="1"/>
  <c r="BE1256" i="8"/>
  <c r="I1256" i="8" s="1"/>
  <c r="BE1260" i="8"/>
  <c r="I1260" i="8" s="1"/>
  <c r="BD102" i="8"/>
  <c r="B164" i="8"/>
  <c r="CA227" i="8"/>
  <c r="BT224" i="8" s="1"/>
  <c r="BZ227" i="8"/>
  <c r="BD101" i="8"/>
  <c r="K144" i="8"/>
  <c r="H144" i="8"/>
  <c r="K140" i="8"/>
  <c r="H140" i="8"/>
  <c r="K136" i="8"/>
  <c r="H136" i="8"/>
  <c r="B145" i="8"/>
  <c r="B141" i="8"/>
  <c r="B137" i="8"/>
  <c r="B133" i="8"/>
  <c r="BE656" i="8"/>
  <c r="BB215" i="8"/>
  <c r="BB216" i="8"/>
  <c r="BB217" i="8"/>
  <c r="BB218" i="8"/>
  <c r="BL656" i="8"/>
  <c r="BG656" i="8"/>
  <c r="BH656" i="8"/>
  <c r="BI656" i="8"/>
  <c r="BJ656" i="8"/>
  <c r="BK656" i="8"/>
  <c r="BF656" i="8"/>
  <c r="BE1277" i="8" l="1"/>
  <c r="I1277" i="8" s="1"/>
  <c r="BT225" i="8"/>
  <c r="K132" i="8"/>
  <c r="BW260" i="8"/>
  <c r="BW248" i="8"/>
  <c r="BW257" i="8"/>
  <c r="BW245" i="8"/>
  <c r="BW242" i="8"/>
  <c r="BW263" i="8"/>
  <c r="BW254" i="8"/>
  <c r="BW251" i="8"/>
  <c r="BY263" i="8"/>
  <c r="BY251" i="8"/>
  <c r="BY260" i="8"/>
  <c r="BY248" i="8"/>
  <c r="BY257" i="8"/>
  <c r="BY245" i="8"/>
  <c r="BY254" i="8"/>
  <c r="B160" i="8"/>
  <c r="BY242" i="8"/>
  <c r="BX228" i="8"/>
  <c r="BT251" i="8" l="1"/>
  <c r="B254" i="8" s="1"/>
  <c r="BT245" i="8"/>
  <c r="B248" i="8" s="1"/>
  <c r="BT257" i="8"/>
  <c r="B260" i="8" s="1"/>
  <c r="BT254" i="8"/>
  <c r="B257" i="8" s="1"/>
  <c r="BT263" i="8"/>
  <c r="B266" i="8" s="1"/>
  <c r="BT248" i="8"/>
  <c r="B251" i="8" s="1"/>
  <c r="BT242" i="8"/>
  <c r="B245" i="8" s="1"/>
  <c r="BT260" i="8"/>
  <c r="B263" i="8" s="1"/>
  <c r="BZ228" i="8"/>
  <c r="BT228" i="8" s="1"/>
  <c r="C223" i="8" s="1"/>
  <c r="BX229" i="8"/>
  <c r="BT229" i="8" s="1"/>
  <c r="B228" i="8"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M1543" authorId="0" shapeId="0" xr:uid="{155A5AB2-9B5A-41E7-8AE4-CA6576FDA0BB}">
      <text>
        <r>
          <rPr>
            <b/>
            <sz val="12"/>
            <color indexed="81"/>
            <rFont val="Tahoma"/>
            <family val="2"/>
          </rPr>
          <t>How to save your personalized version of this to a PDF</t>
        </r>
        <r>
          <rPr>
            <sz val="9"/>
            <color indexed="81"/>
            <rFont val="Tahoma"/>
            <family val="2"/>
          </rPr>
          <t xml:space="preserve">
</t>
        </r>
        <r>
          <rPr>
            <sz val="11"/>
            <color indexed="81"/>
            <rFont val="Tahoma"/>
            <family val="2"/>
          </rPr>
          <t xml:space="preserve">1. Click the File menu (upper left).
2. Click Save As (in the list of options).
3. Click Browse to choose a location to keep your saved PDF.
4. Click on the file name highlighted in blue to change the name of this personalized version.
5. Click on Excel Workbook below the file name, then select PDF from the dropdown list.
6. Click on the Save button (lower right, to the left of the Cancel button).
That's all there is to it. Now you have a saved copy of how you answered the Interactives. Now you can change the Interactives again, and save those to another file name. </t>
        </r>
        <r>
          <rPr>
            <sz val="9"/>
            <color indexed="81"/>
            <rFont val="Tahoma"/>
            <family val="2"/>
          </rPr>
          <t xml:space="preserve">
</t>
        </r>
        <r>
          <rPr>
            <sz val="9"/>
            <color indexed="20"/>
            <rFont val="Tahoma"/>
            <family val="2"/>
          </rPr>
          <t>[NOTE: these instructions sit outside the print area, so will not be included.]</t>
        </r>
        <r>
          <rPr>
            <sz val="9"/>
            <color indexed="81"/>
            <rFont val="Tahoma"/>
            <family val="2"/>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N90" authorId="0" shapeId="0" xr:uid="{E6E4F092-FC8D-4730-9526-4AF610D40AE8}">
      <text>
        <r>
          <rPr>
            <sz val="9"/>
            <color indexed="81"/>
            <rFont val="Tahoma"/>
            <family val="2"/>
          </rPr>
          <t xml:space="preserve">
</t>
        </r>
      </text>
    </comment>
    <comment ref="AB127" authorId="0" shapeId="0" xr:uid="{EA436527-07BF-4F4D-B7E6-A1C94137F4C3}">
      <text>
        <r>
          <rPr>
            <sz val="9"/>
            <color indexed="81"/>
            <rFont val="Tahoma"/>
            <family val="2"/>
          </rPr>
          <t xml:space="preserve">
</t>
        </r>
      </text>
    </comment>
    <comment ref="A157" authorId="0" shapeId="0" xr:uid="{CF9F4A3F-1ACD-467F-992B-000BE6362D15}">
      <text>
        <r>
          <rPr>
            <b/>
            <sz val="9"/>
            <color indexed="81"/>
            <rFont val="Tahoma"/>
            <family val="2"/>
          </rPr>
          <t xml:space="preserve">NOTE: </t>
        </r>
        <r>
          <rPr>
            <sz val="9"/>
            <color indexed="81"/>
            <rFont val="Tahoma"/>
            <family val="2"/>
          </rPr>
          <t xml:space="preserve">
Sprangler et al. observed that “In managing any countertransference, gaining awareness is the first step, specifically by recognizing our political hot button topics and the triggers for them.” Ethical dilemmas may arise when a patient’s political or religious views are so deeply offensive to the clinician’s own that the therapeutic alliance becomes almost impossible to sustain. Sprangler et al. opined that “while we may not impose our own views, we must not condone others’ prejudicial activities. The dilemma arises when a client presents a bigoted view that is integral to the client’s political identity.”
</t>
        </r>
      </text>
    </comment>
    <comment ref="AB164" authorId="0" shapeId="0" xr:uid="{F6320BE5-FC04-4EEC-92FF-F080DFDAEF17}">
      <text/>
    </comment>
    <comment ref="AB204" authorId="0" shapeId="0" xr:uid="{27327B76-1FF3-4D19-A990-5B691FCA9952}">
      <text/>
    </comment>
    <comment ref="N642" authorId="0" shapeId="0" xr:uid="{9EC2F3EA-2105-4771-AEFA-1750661043C4}">
      <text/>
    </comment>
    <comment ref="AB677" authorId="0" shapeId="0" xr:uid="{2F5399FB-F367-439C-9004-206FC57DDFFC}">
      <text/>
    </comment>
    <comment ref="T1126" authorId="0" shapeId="0" xr:uid="{21A89615-F6D8-4B01-A694-BEF8754542D8}">
      <text>
        <r>
          <rPr>
            <b/>
            <sz val="9"/>
            <color indexed="81"/>
            <rFont val="Tahoma"/>
            <family val="2"/>
          </rPr>
          <t>outrage that Republicans ___</t>
        </r>
      </text>
    </comment>
    <comment ref="U1126" authorId="0" shapeId="0" xr:uid="{1443E2CF-D52C-4AB3-B6D5-4CE4F0E1CB9A}">
      <text>
        <r>
          <rPr>
            <b/>
            <sz val="9"/>
            <color indexed="81"/>
            <rFont val="Tahoma"/>
            <family val="2"/>
          </rPr>
          <t>outrage that Democrats ___</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AB57" authorId="0" shapeId="0" xr:uid="{E91625A9-0686-435D-8A29-D2D95FFC57CE}">
      <text>
        <r>
          <rPr>
            <sz val="9"/>
            <color indexed="81"/>
            <rFont val="Tahoma"/>
            <family val="2"/>
          </rPr>
          <t xml:space="preserve">
</t>
        </r>
      </text>
    </comment>
    <comment ref="N91" authorId="0" shapeId="0" xr:uid="{72650BC1-0D4B-4780-A8F8-20B75B588909}">
      <text>
        <r>
          <rPr>
            <sz val="9"/>
            <color indexed="81"/>
            <rFont val="Tahoma"/>
            <family val="2"/>
          </rPr>
          <t xml:space="preserve">
</t>
        </r>
      </text>
    </comment>
    <comment ref="AB91" authorId="0" shapeId="0" xr:uid="{A83E23CD-AD4E-4C0C-BA45-96C0EB692E1D}">
      <text>
        <r>
          <rPr>
            <sz val="9"/>
            <color indexed="81"/>
            <rFont val="Tahoma"/>
            <family val="2"/>
          </rPr>
          <t xml:space="preserve">
</t>
        </r>
      </text>
    </comment>
    <comment ref="AB130" authorId="0" shapeId="0" xr:uid="{28517FEB-D810-403F-A687-7AE6263F9229}">
      <text>
        <r>
          <rPr>
            <sz val="9"/>
            <color indexed="81"/>
            <rFont val="Tahoma"/>
            <family val="2"/>
          </rPr>
          <t xml:space="preserve">
</t>
        </r>
      </text>
    </comment>
    <comment ref="AB166" authorId="0" shapeId="0" xr:uid="{666796AF-E4B8-46FE-B226-3412B08899FA}">
      <text>
        <r>
          <rPr>
            <sz val="9"/>
            <color indexed="81"/>
            <rFont val="Tahoma"/>
            <family val="2"/>
          </rPr>
          <t xml:space="preserve">
</t>
        </r>
      </text>
    </comment>
    <comment ref="AB203" authorId="0" shapeId="0" xr:uid="{8A4E37B0-8F26-4407-8B96-B65BCF23341E}">
      <text>
        <r>
          <rPr>
            <sz val="9"/>
            <color indexed="81"/>
            <rFont val="Tahoma"/>
            <family val="2"/>
          </rPr>
          <t xml:space="preserve">
</t>
        </r>
      </text>
    </comment>
    <comment ref="AB240" authorId="0" shapeId="0" xr:uid="{E6A1F36B-1519-4824-94E5-C17892BA4123}">
      <text>
        <r>
          <rPr>
            <sz val="9"/>
            <color indexed="81"/>
            <rFont val="Tahoma"/>
            <family val="2"/>
          </rPr>
          <t xml:space="preserve">
</t>
        </r>
      </text>
    </comment>
    <comment ref="AB276" authorId="0" shapeId="0" xr:uid="{5408FAAB-3A67-4EBD-B7D6-281BCC675C07}">
      <text>
        <r>
          <rPr>
            <sz val="9"/>
            <color indexed="81"/>
            <rFont val="Tahoma"/>
            <family val="2"/>
          </rPr>
          <t xml:space="preserve">
</t>
        </r>
      </text>
    </comment>
    <comment ref="AB313" authorId="0" shapeId="0" xr:uid="{95AEE191-9C3E-4EAC-ABAA-8ABE72E164AA}">
      <text/>
    </comment>
    <comment ref="AB350" authorId="0" shapeId="0" xr:uid="{7CFE9A49-66B0-4861-A9F7-3B806C66600A}">
      <text>
        <r>
          <rPr>
            <sz val="9"/>
            <color indexed="81"/>
            <rFont val="Tahoma"/>
            <family val="2"/>
          </rPr>
          <t xml:space="preserve">
</t>
        </r>
      </text>
    </comment>
    <comment ref="B380" authorId="0" shapeId="0" xr:uid="{18BC230F-763E-43E1-8BC2-762A3DD3E1B2}">
      <text>
        <r>
          <rPr>
            <b/>
            <sz val="14"/>
            <color indexed="9"/>
            <rFont val="Tahoma"/>
            <family val="2"/>
          </rPr>
          <t>It's your turn to be the moral leader</t>
        </r>
        <r>
          <rPr>
            <sz val="9"/>
            <color indexed="9"/>
            <rFont val="Tahoma"/>
            <family val="2"/>
          </rPr>
          <t xml:space="preserve">
</t>
        </r>
        <r>
          <rPr>
            <sz val="11"/>
            <color indexed="9"/>
            <rFont val="Tahoma"/>
            <family val="2"/>
          </rPr>
          <t>Love shifts your focus away from your needs to empathizing with their needs. Love lets us transition from pain perpetuating generalizations to need resolving specifics. Love transforms you from their lower authority of easing pain to the higher authority of resolved needs. While no one sits above the law, no law sits above the needs it exists to serve. There is no greater authority than resolved needs.</t>
        </r>
      </text>
    </comment>
    <comment ref="AB386" authorId="0" shapeId="0" xr:uid="{6FE3B636-B8E1-4DEC-AC7C-0C3E459091A2}">
      <text>
        <r>
          <rPr>
            <sz val="9"/>
            <color indexed="81"/>
            <rFont val="Tahoma"/>
            <family val="2"/>
          </rPr>
          <t xml:space="preserve">
</t>
        </r>
      </text>
    </comment>
    <comment ref="AB423" authorId="0" shapeId="0" xr:uid="{784BA459-F58F-4DC8-AFD5-DB820F8653C8}">
      <text/>
    </comment>
    <comment ref="AB463" authorId="0" shapeId="0" xr:uid="{5A64E541-F50E-45A4-8BE2-64BCDF258196}">
      <text/>
    </comment>
    <comment ref="AB494" authorId="0" shapeId="0" xr:uid="{BEA61F6E-FC72-4E93-AA22-C8CE0D843463}">
      <text/>
    </comment>
    <comment ref="AB531" authorId="0" shapeId="0" xr:uid="{221D07D0-11A2-4589-9D77-204E42972133}">
      <text/>
    </comment>
    <comment ref="AB561" authorId="0" shapeId="0" xr:uid="{5A1955BB-33B5-45B7-8032-9314BFE92129}">
      <text/>
    </comment>
    <comment ref="AB569" authorId="0" shapeId="0" xr:uid="{CAAD2388-F1FD-454F-B8A4-8BD2BAC44803}">
      <text/>
    </comment>
    <comment ref="AB603" authorId="0" shapeId="0" xr:uid="{9E76C1B4-D2A6-4F2E-9B8F-02F8C786D710}">
      <text/>
    </comment>
    <comment ref="F629" authorId="0" shapeId="0" xr:uid="{583FB129-4082-4F6C-B955-27DB0D9129DB}">
      <text>
        <r>
          <rPr>
            <b/>
            <sz val="10"/>
            <color indexed="81"/>
            <rFont val="Tahoma"/>
            <family val="2"/>
          </rPr>
          <t>SELECT WHICH BEST CHARACTERIZES THIS ASCRIBED IMPACTOR</t>
        </r>
        <r>
          <rPr>
            <b/>
            <sz val="9"/>
            <color indexed="81"/>
            <rFont val="Tahoma"/>
            <family val="2"/>
          </rPr>
          <t xml:space="preserve">
accessible</t>
        </r>
        <r>
          <rPr>
            <sz val="9"/>
            <color indexed="81"/>
            <rFont val="Tahoma"/>
            <family val="2"/>
          </rPr>
          <t xml:space="preserve">: AI can be contacted at will for this process.
</t>
        </r>
        <r>
          <rPr>
            <b/>
            <sz val="9"/>
            <color indexed="81"/>
            <rFont val="Tahoma"/>
            <family val="2"/>
          </rPr>
          <t>potentially</t>
        </r>
        <r>
          <rPr>
            <sz val="9"/>
            <color indexed="81"/>
            <rFont val="Tahoma"/>
            <family val="2"/>
          </rPr>
          <t xml:space="preserve">: AI can be contacted by going through some channels.
</t>
        </r>
        <r>
          <rPr>
            <b/>
            <sz val="9"/>
            <color indexed="81"/>
            <rFont val="Tahoma"/>
            <family val="2"/>
          </rPr>
          <t>unaccessible</t>
        </r>
        <r>
          <rPr>
            <sz val="9"/>
            <color indexed="81"/>
            <rFont val="Tahoma"/>
            <family val="2"/>
          </rPr>
          <t>: AI cannot currently be contacted for this.</t>
        </r>
      </text>
    </comment>
    <comment ref="H629" authorId="0" shapeId="0" xr:uid="{E4C40240-6D33-40BA-9BC9-30BCC6CE1D75}">
      <text>
        <r>
          <rPr>
            <b/>
            <sz val="10"/>
            <color indexed="81"/>
            <rFont val="Tahoma"/>
            <family val="2"/>
          </rPr>
          <t>SELECT WHICH BEST CHARACTERIZES THIS ASCRIBED IMPACTOR</t>
        </r>
        <r>
          <rPr>
            <b/>
            <sz val="9"/>
            <color indexed="81"/>
            <rFont val="Tahoma"/>
            <family val="2"/>
          </rPr>
          <t xml:space="preserve">
direct impact</t>
        </r>
        <r>
          <rPr>
            <sz val="9"/>
            <color indexed="81"/>
            <rFont val="Tahoma"/>
            <family val="2"/>
          </rPr>
          <t xml:space="preserve">: affected needs cannot resolve without this person's direction.
</t>
        </r>
        <r>
          <rPr>
            <b/>
            <sz val="9"/>
            <color indexed="81"/>
            <rFont val="Tahoma"/>
            <family val="2"/>
          </rPr>
          <t>indirect impact</t>
        </r>
        <r>
          <rPr>
            <sz val="9"/>
            <color indexed="81"/>
            <rFont val="Tahoma"/>
            <family val="2"/>
          </rPr>
          <t xml:space="preserve">: affected needs may not resolve without this person's cooperation.
</t>
        </r>
        <r>
          <rPr>
            <b/>
            <sz val="9"/>
            <color indexed="81"/>
            <rFont val="Tahoma"/>
            <family val="2"/>
          </rPr>
          <t>peripheral impact</t>
        </r>
        <r>
          <rPr>
            <sz val="9"/>
            <color indexed="81"/>
            <rFont val="Tahoma"/>
            <family val="2"/>
          </rPr>
          <t>: affected needs can more satisfactorily resolve with this person's input.</t>
        </r>
      </text>
    </comment>
    <comment ref="J629" authorId="0" shapeId="0" xr:uid="{D6624AE8-9CB9-4FDC-A1C3-3F3917373729}">
      <text>
        <r>
          <rPr>
            <b/>
            <sz val="10"/>
            <color indexed="81"/>
            <rFont val="Tahoma"/>
            <family val="2"/>
          </rPr>
          <t>SELECT WHICH BEST CHARACTERIZES THIS ASCRIBED IMPACTOR</t>
        </r>
        <r>
          <rPr>
            <b/>
            <sz val="9"/>
            <color indexed="81"/>
            <rFont val="Tahoma"/>
            <family val="2"/>
          </rPr>
          <t xml:space="preserve">
downchain</t>
        </r>
        <r>
          <rPr>
            <sz val="9"/>
            <color indexed="81"/>
            <rFont val="Tahoma"/>
            <family val="2"/>
          </rPr>
          <t xml:space="preserve">: AI delegates authority to those of lower rank.
</t>
        </r>
        <r>
          <rPr>
            <b/>
            <sz val="9"/>
            <color indexed="81"/>
            <rFont val="Tahoma"/>
            <family val="2"/>
          </rPr>
          <t>sidechain</t>
        </r>
        <r>
          <rPr>
            <sz val="9"/>
            <color indexed="81"/>
            <rFont val="Tahoma"/>
            <family val="2"/>
          </rPr>
          <t xml:space="preserve">: AI shares authority with coequal powerholders.
</t>
        </r>
        <r>
          <rPr>
            <b/>
            <sz val="9"/>
            <color indexed="81"/>
            <rFont val="Tahoma"/>
            <family val="2"/>
          </rPr>
          <t>upchain</t>
        </r>
        <r>
          <rPr>
            <sz val="9"/>
            <color indexed="81"/>
            <rFont val="Tahoma"/>
            <family val="2"/>
          </rPr>
          <t>: AI must check with authority of higher rank.</t>
        </r>
      </text>
    </comment>
    <comment ref="L629" authorId="0" shapeId="0" xr:uid="{CADCCDD1-92C2-4DA2-BBDD-BF5A20C96588}">
      <text>
        <r>
          <rPr>
            <b/>
            <sz val="10"/>
            <color indexed="81"/>
            <rFont val="Tahoma"/>
            <family val="2"/>
          </rPr>
          <t>SELECT WHICH BEST CHARACTERIZES THIS ASCRIBED IMPACTOR</t>
        </r>
        <r>
          <rPr>
            <b/>
            <sz val="9"/>
            <color indexed="81"/>
            <rFont val="Tahoma"/>
            <family val="2"/>
          </rPr>
          <t xml:space="preserve">
unresponsive</t>
        </r>
        <r>
          <rPr>
            <sz val="9"/>
            <color indexed="81"/>
            <rFont val="Tahoma"/>
            <family val="2"/>
          </rPr>
          <t>: AI shows no interest or fails to reply within a reasonable time.</t>
        </r>
        <r>
          <rPr>
            <b/>
            <sz val="9"/>
            <color indexed="81"/>
            <rFont val="Tahoma"/>
            <family val="2"/>
          </rPr>
          <t xml:space="preserve">
responsive</t>
        </r>
        <r>
          <rPr>
            <sz val="9"/>
            <color indexed="81"/>
            <rFont val="Tahoma"/>
            <family val="2"/>
          </rPr>
          <t xml:space="preserve">: AI demonstrates responsiveness to invitation to process.
</t>
        </r>
        <r>
          <rPr>
            <b/>
            <sz val="9"/>
            <color indexed="81"/>
            <rFont val="Tahoma"/>
            <family val="2"/>
          </rPr>
          <t>supportive</t>
        </r>
        <r>
          <rPr>
            <sz val="9"/>
            <color indexed="81"/>
            <rFont val="Tahoma"/>
            <family val="2"/>
          </rPr>
          <t xml:space="preserve">: AI ready to actively support RI's </t>
        </r>
        <r>
          <rPr>
            <b/>
            <i/>
            <sz val="9"/>
            <color indexed="81"/>
            <rFont val="Tahoma"/>
            <family val="2"/>
          </rPr>
          <t>cause</t>
        </r>
        <r>
          <rPr>
            <sz val="9"/>
            <color indexed="81"/>
            <rFont val="Tahoma"/>
            <family val="2"/>
          </rPr>
          <t xml:space="preserve"> with intangible &amp; tangible resources.
</t>
        </r>
        <r>
          <rPr>
            <b/>
            <sz val="9"/>
            <color indexed="81"/>
            <rFont val="Tahoma"/>
            <family val="2"/>
          </rPr>
          <t>investing</t>
        </r>
        <r>
          <rPr>
            <sz val="9"/>
            <color indexed="81"/>
            <rFont val="Tahoma"/>
            <family val="2"/>
          </rPr>
          <t xml:space="preserve">: AI expresses willingness to financially support RI's </t>
        </r>
        <r>
          <rPr>
            <b/>
            <i/>
            <sz val="9"/>
            <color indexed="81"/>
            <rFont val="Tahoma"/>
            <family val="2"/>
          </rPr>
          <t>cause</t>
        </r>
        <r>
          <rPr>
            <sz val="9"/>
            <color indexed="81"/>
            <rFont val="Tahoma"/>
            <family val="2"/>
          </rPr>
          <t xml:space="preserve"> to resolve identified need(s).</t>
        </r>
      </text>
    </comment>
    <comment ref="AK629" authorId="0" shapeId="0" xr:uid="{CA8B8A48-3626-4A0F-82D3-7E61B4888F1A}">
      <text>
        <r>
          <rPr>
            <b/>
            <sz val="10"/>
            <color indexed="81"/>
            <rFont val="Tahoma"/>
            <family val="2"/>
          </rPr>
          <t>SELECT WHICH BEST CHARACTERIZES THIS ASCRIBED IMPACTOR</t>
        </r>
        <r>
          <rPr>
            <b/>
            <sz val="9"/>
            <color indexed="81"/>
            <rFont val="Tahoma"/>
            <family val="2"/>
          </rPr>
          <t xml:space="preserve">
accessible</t>
        </r>
        <r>
          <rPr>
            <sz val="9"/>
            <color indexed="81"/>
            <rFont val="Tahoma"/>
            <family val="2"/>
          </rPr>
          <t xml:space="preserve">: AI can be contacted at will for this process.
</t>
        </r>
        <r>
          <rPr>
            <b/>
            <sz val="9"/>
            <color indexed="81"/>
            <rFont val="Tahoma"/>
            <family val="2"/>
          </rPr>
          <t>potentially</t>
        </r>
        <r>
          <rPr>
            <sz val="9"/>
            <color indexed="81"/>
            <rFont val="Tahoma"/>
            <family val="2"/>
          </rPr>
          <t xml:space="preserve">: AI can be contacted by going through some channels.
</t>
        </r>
        <r>
          <rPr>
            <b/>
            <sz val="9"/>
            <color indexed="81"/>
            <rFont val="Tahoma"/>
            <family val="2"/>
          </rPr>
          <t>unaccessible</t>
        </r>
        <r>
          <rPr>
            <sz val="9"/>
            <color indexed="81"/>
            <rFont val="Tahoma"/>
            <family val="2"/>
          </rPr>
          <t>: AI cannot currently be contated for this.</t>
        </r>
      </text>
    </comment>
    <comment ref="AM629" authorId="0" shapeId="0" xr:uid="{1400670E-25F7-416D-AC3A-5F30123C9F3D}">
      <text>
        <r>
          <rPr>
            <b/>
            <sz val="10"/>
            <color indexed="81"/>
            <rFont val="Tahoma"/>
            <family val="2"/>
          </rPr>
          <t>SELECT WHICH BEST CHARACTERIZES THIS ASCRIBED IMPACTOR</t>
        </r>
        <r>
          <rPr>
            <b/>
            <sz val="9"/>
            <color indexed="81"/>
            <rFont val="Tahoma"/>
            <family val="2"/>
          </rPr>
          <t xml:space="preserve">
direct impact</t>
        </r>
        <r>
          <rPr>
            <sz val="9"/>
            <color indexed="81"/>
            <rFont val="Tahoma"/>
            <family val="2"/>
          </rPr>
          <t xml:space="preserve">: affected needs cannot resolve without this person's direction.
</t>
        </r>
        <r>
          <rPr>
            <b/>
            <sz val="9"/>
            <color indexed="81"/>
            <rFont val="Tahoma"/>
            <family val="2"/>
          </rPr>
          <t>moderate impact</t>
        </r>
        <r>
          <rPr>
            <sz val="9"/>
            <color indexed="81"/>
            <rFont val="Tahoma"/>
            <family val="2"/>
          </rPr>
          <t xml:space="preserve">: affected needs may not resolve without this person's cooperation.
</t>
        </r>
        <r>
          <rPr>
            <b/>
            <sz val="9"/>
            <color indexed="81"/>
            <rFont val="Tahoma"/>
            <family val="2"/>
          </rPr>
          <t>peripheral impact</t>
        </r>
        <r>
          <rPr>
            <sz val="9"/>
            <color indexed="81"/>
            <rFont val="Tahoma"/>
            <family val="2"/>
          </rPr>
          <t>: affected needs can more satisfactorily resolve with this person's input.</t>
        </r>
      </text>
    </comment>
    <comment ref="AO629" authorId="0" shapeId="0" xr:uid="{C3964655-36EA-4AE5-BA47-5801A75FDC2C}">
      <text>
        <r>
          <rPr>
            <b/>
            <sz val="10"/>
            <color indexed="81"/>
            <rFont val="Tahoma"/>
            <family val="2"/>
          </rPr>
          <t>SELECT WHICH BEST CHARACTERIZES THIS ASCRIBED IMPACTOR</t>
        </r>
        <r>
          <rPr>
            <b/>
            <sz val="9"/>
            <color indexed="81"/>
            <rFont val="Tahoma"/>
            <family val="2"/>
          </rPr>
          <t xml:space="preserve">
downchain</t>
        </r>
        <r>
          <rPr>
            <sz val="9"/>
            <color indexed="81"/>
            <rFont val="Tahoma"/>
            <family val="2"/>
          </rPr>
          <t xml:space="preserve">: AI delegates authority to those of lower rank.
</t>
        </r>
        <r>
          <rPr>
            <b/>
            <sz val="9"/>
            <color indexed="81"/>
            <rFont val="Tahoma"/>
            <family val="2"/>
          </rPr>
          <t>sidechain</t>
        </r>
        <r>
          <rPr>
            <sz val="9"/>
            <color indexed="81"/>
            <rFont val="Tahoma"/>
            <family val="2"/>
          </rPr>
          <t xml:space="preserve">: AI shares authority with coequal powerholders.
</t>
        </r>
        <r>
          <rPr>
            <b/>
            <sz val="9"/>
            <color indexed="81"/>
            <rFont val="Tahoma"/>
            <family val="2"/>
          </rPr>
          <t>upchain</t>
        </r>
        <r>
          <rPr>
            <sz val="9"/>
            <color indexed="81"/>
            <rFont val="Tahoma"/>
            <family val="2"/>
          </rPr>
          <t>: AI must check with authority of higher rank.</t>
        </r>
      </text>
    </comment>
    <comment ref="AQ629" authorId="0" shapeId="0" xr:uid="{2BFEDD1D-BB4B-4A9C-9020-12587AB4E68E}">
      <text>
        <r>
          <rPr>
            <b/>
            <sz val="10"/>
            <color indexed="81"/>
            <rFont val="Tahoma"/>
            <family val="2"/>
          </rPr>
          <t>SELECT WHICH BEST CHARACTERIZES THIS ASCRIBED IMPACTOR</t>
        </r>
        <r>
          <rPr>
            <b/>
            <sz val="9"/>
            <color indexed="81"/>
            <rFont val="Tahoma"/>
            <family val="2"/>
          </rPr>
          <t xml:space="preserve">
unresonsive</t>
        </r>
        <r>
          <rPr>
            <sz val="9"/>
            <color indexed="81"/>
            <rFont val="Tahoma"/>
            <family val="2"/>
          </rPr>
          <t>: AI shows no interest or fails to reply within a reasonable time.</t>
        </r>
        <r>
          <rPr>
            <b/>
            <sz val="9"/>
            <color indexed="81"/>
            <rFont val="Tahoma"/>
            <family val="2"/>
          </rPr>
          <t xml:space="preserve">
responsive</t>
        </r>
        <r>
          <rPr>
            <sz val="9"/>
            <color indexed="81"/>
            <rFont val="Tahoma"/>
            <family val="2"/>
          </rPr>
          <t xml:space="preserve">: AI demonstrates responsiveness to invitation to process.
</t>
        </r>
        <r>
          <rPr>
            <b/>
            <sz val="9"/>
            <color indexed="81"/>
            <rFont val="Tahoma"/>
            <family val="2"/>
          </rPr>
          <t>supportive</t>
        </r>
        <r>
          <rPr>
            <sz val="9"/>
            <color indexed="81"/>
            <rFont val="Tahoma"/>
            <family val="2"/>
          </rPr>
          <t xml:space="preserve">: AI ready to actively support RI's </t>
        </r>
        <r>
          <rPr>
            <b/>
            <i/>
            <sz val="9"/>
            <color indexed="81"/>
            <rFont val="Tahoma"/>
            <family val="2"/>
          </rPr>
          <t>cause</t>
        </r>
        <r>
          <rPr>
            <sz val="9"/>
            <color indexed="81"/>
            <rFont val="Tahoma"/>
            <family val="2"/>
          </rPr>
          <t xml:space="preserve"> with tangible resources.
</t>
        </r>
        <r>
          <rPr>
            <b/>
            <sz val="9"/>
            <color indexed="81"/>
            <rFont val="Tahoma"/>
            <family val="2"/>
          </rPr>
          <t>investing</t>
        </r>
        <r>
          <rPr>
            <sz val="9"/>
            <color indexed="81"/>
            <rFont val="Tahoma"/>
            <family val="2"/>
          </rPr>
          <t xml:space="preserve">: AI expresses willingness to support RI's </t>
        </r>
        <r>
          <rPr>
            <b/>
            <i/>
            <sz val="9"/>
            <color indexed="81"/>
            <rFont val="Tahoma"/>
            <family val="2"/>
          </rPr>
          <t>cause</t>
        </r>
        <r>
          <rPr>
            <sz val="9"/>
            <color indexed="81"/>
            <rFont val="Tahoma"/>
            <family val="2"/>
          </rPr>
          <t xml:space="preserve"> to resolve identified need(s).</t>
        </r>
      </text>
    </comment>
    <comment ref="G640" authorId="0" shapeId="0" xr:uid="{872C6115-67C3-4E48-9FBF-E1B37344F9EE}">
      <text>
        <r>
          <rPr>
            <b/>
            <sz val="8"/>
            <color indexed="21"/>
            <rFont val="Verdana"/>
            <family val="2"/>
          </rPr>
          <t>10% of the total weekly payment goes to the platform providing this service. The remainder is split by percentages as set by Value Relating.</t>
        </r>
        <r>
          <rPr>
            <b/>
            <sz val="9"/>
            <color indexed="81"/>
            <rFont val="Tahoma"/>
            <family val="2"/>
          </rPr>
          <t xml:space="preserve">
$4.50 is your weekly billing during this initial phase</t>
        </r>
        <r>
          <rPr>
            <sz val="9"/>
            <color indexed="81"/>
            <rFont val="Tahoma"/>
            <family val="2"/>
          </rPr>
          <t xml:space="preserve">
All goes to your new advocate, who sets up your campaign. Anything left over goes to your campaign account.</t>
        </r>
      </text>
    </comment>
    <comment ref="G646" authorId="0" shapeId="0" xr:uid="{8939DA5D-896E-43F8-8679-00500FC86305}">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$45.00 is your weekly billing during base phase</t>
        </r>
        <r>
          <rPr>
            <sz val="9"/>
            <color indexed="81"/>
            <rFont val="Tahoma"/>
            <family val="2"/>
          </rPr>
          <t xml:space="preserve">
$18.00 goes to your advocate to set up your campaign.
$27.00 goes to your guide to ensure your success.
Anything left over goes into your campaign account.
When current support level drops below $45, services are prorated until levels meet the weekly billed amount.</t>
        </r>
      </text>
    </comment>
    <comment ref="G652" authorId="0" shapeId="0" xr:uid="{E0D10A54-7B16-4C7C-8D2E-1F1D605BEF88}">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$90.00 is your weekly billing during launch phase</t>
        </r>
        <r>
          <rPr>
            <sz val="9"/>
            <color indexed="81"/>
            <rFont val="Tahoma"/>
            <family val="2"/>
          </rPr>
          <t xml:space="preserve">
$36.00 goes to your advocate to ground your campaign.
$54.00 goes to your guide to ensure your success.
Anything left over goes into your campaign account.
When current support level drops below $45, services are prorated until levels meet the weekly billed amount.</t>
        </r>
      </text>
    </comment>
    <comment ref="G659" authorId="0" shapeId="0" xr:uid="{1B6DB8B2-D667-4AFA-8874-6DBF4C4A33E2}">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$180.00 is your weekly billing during launch phase</t>
        </r>
        <r>
          <rPr>
            <sz val="9"/>
            <color indexed="81"/>
            <rFont val="Tahoma"/>
            <family val="2"/>
          </rPr>
          <t xml:space="preserve">
$63.00 goes to your advocate to ground your campaign.
$117.00 goes to your guide to ensure your success.
Anything left over goes into your campaign account.
When current support level drops below $45, services are prorated until levels meet the weekly billed amount.</t>
        </r>
      </text>
    </comment>
    <comment ref="G667" authorId="0" shapeId="0" xr:uid="{A8014975-66CF-481E-849A-8566FE54B747}">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$180.00 is your weekly billing during launch phase</t>
        </r>
        <r>
          <rPr>
            <sz val="9"/>
            <color indexed="81"/>
            <rFont val="Tahoma"/>
            <family val="2"/>
          </rPr>
          <t xml:space="preserve">
$108.00 goes to your advocate to ground your campaign.
$252.00 goes to your guide to ensure your success.
Anything left over goes into your campaign account.
When current support level drops below $45, services are prorated until levels meet the weekly billed amount.</t>
        </r>
      </text>
    </comment>
    <comment ref="AB677" authorId="0" shapeId="0" xr:uid="{C8D1ACC0-7B19-4317-BB1C-416478F4A862}">
      <text/>
    </comment>
    <comment ref="AB715" authorId="0" shapeId="0" xr:uid="{AEFBCFBA-0B35-45CF-8870-A01A718DADB5}">
      <text/>
    </comment>
    <comment ref="AB739" authorId="0" shapeId="0" xr:uid="{F2ECC101-5DAD-4A89-A5A5-50F516043A6D}">
      <text/>
    </comment>
    <comment ref="AB750" authorId="0" shapeId="0" xr:uid="{F94C97E5-2F6E-47B7-8E22-4B4D23F7C34D}">
      <text/>
    </comment>
    <comment ref="AB784" authorId="0" shapeId="0" xr:uid="{8377E406-409C-44E8-809B-56C62B0DC8D5}">
      <text/>
    </comment>
    <comment ref="AB820" authorId="0" shapeId="0" xr:uid="{95209C1A-9A4C-4D30-A89E-DBF608D2B2E9}">
      <text/>
    </comment>
    <comment ref="B835" authorId="0" shapeId="0" xr:uid="{71FA0AD6-847E-430F-B045-CA54F8492CF7}">
      <text>
        <r>
          <rPr>
            <b/>
            <sz val="11"/>
            <color indexed="81"/>
            <rFont val="Tahoma"/>
            <family val="2"/>
          </rPr>
          <t>Description for some of these adversarial options</t>
        </r>
        <r>
          <rPr>
            <sz val="9"/>
            <color indexed="81"/>
            <rFont val="Tahoma"/>
            <family val="2"/>
          </rPr>
          <t xml:space="preserve">
</t>
        </r>
        <r>
          <rPr>
            <b/>
            <sz val="9"/>
            <color indexed="16"/>
            <rFont val="Tahoma"/>
            <family val="2"/>
          </rPr>
          <t>SLAPP</t>
        </r>
        <r>
          <rPr>
            <sz val="9"/>
            <color indexed="16"/>
            <rFont val="Tahoma"/>
            <family val="2"/>
          </rPr>
          <t xml:space="preserve"> = strategic lawsuit against public participation, or optimizing your due process rights to confront Impactor.
“</t>
        </r>
        <r>
          <rPr>
            <b/>
            <sz val="9"/>
            <color indexed="16"/>
            <rFont val="Tahoma"/>
            <family val="2"/>
          </rPr>
          <t>confront revenue sources</t>
        </r>
        <r>
          <rPr>
            <sz val="9"/>
            <color indexed="16"/>
            <rFont val="Tahoma"/>
            <family val="2"/>
          </rPr>
          <t>” = challenge legitimacy of funding an idenfiable &amp; unaccountable damaging outcome.
“</t>
        </r>
        <r>
          <rPr>
            <b/>
            <sz val="9"/>
            <color indexed="16"/>
            <rFont val="Tahoma"/>
            <family val="2"/>
          </rPr>
          <t>strategic noncooperation</t>
        </r>
        <r>
          <rPr>
            <sz val="9"/>
            <color indexed="16"/>
            <rFont val="Tahoma"/>
            <family val="2"/>
          </rPr>
          <t>” = your support team builds consensus to cut off all relations with Impactor.
“</t>
        </r>
        <r>
          <rPr>
            <b/>
            <sz val="9"/>
            <color indexed="16"/>
            <rFont val="Tahoma"/>
            <family val="2"/>
          </rPr>
          <t>public vilification</t>
        </r>
        <r>
          <rPr>
            <sz val="9"/>
            <color indexed="16"/>
            <rFont val="Tahoma"/>
            <family val="2"/>
          </rPr>
          <t>” = your support actively denounces Impactor on social and other media for its nefarious behavior.
“</t>
        </r>
        <r>
          <rPr>
            <b/>
            <sz val="9"/>
            <color indexed="16"/>
            <rFont val="Tahoma"/>
            <family val="2"/>
          </rPr>
          <t>comprehensive ostracization</t>
        </r>
        <r>
          <rPr>
            <sz val="9"/>
            <color indexed="16"/>
            <rFont val="Tahoma"/>
            <family val="2"/>
          </rPr>
          <t>” = you build a movement to denunciate Impactor; short of mortification.
“</t>
        </r>
        <r>
          <rPr>
            <b/>
            <sz val="9"/>
            <color indexed="16"/>
            <rFont val="Tahoma"/>
            <family val="2"/>
          </rPr>
          <t>avowed mortification</t>
        </r>
        <r>
          <rPr>
            <sz val="9"/>
            <color indexed="16"/>
            <rFont val="Tahoma"/>
            <family val="2"/>
          </rPr>
          <t>” = you build consensus to consider Impactor socially dead, and avow to defend resolving needs even if you must resist their violence with a firm stand; your most severe adversarial option.</t>
        </r>
      </text>
    </comment>
    <comment ref="AB840" authorId="0" shapeId="0" xr:uid="{E6713D94-F469-4A52-BF72-B613D95187B4}">
      <text/>
    </comment>
    <comment ref="M859" authorId="0" shapeId="0" xr:uid="{5BDDEDE6-51FA-4961-96E0-0358532E548A}">
      <text>
        <r>
          <rPr>
            <b/>
            <sz val="9"/>
            <color indexed="81"/>
            <rFont val="Tahoma"/>
            <family val="2"/>
          </rPr>
          <t>CC = campaign cause</t>
        </r>
        <r>
          <rPr>
            <sz val="9"/>
            <color indexed="81"/>
            <rFont val="Tahoma"/>
            <family val="2"/>
          </rPr>
          <t xml:space="preserve">
This illustrates the accumalitive weekly revenue raised at the given levels of support for your campaign as provided above.</t>
        </r>
      </text>
    </comment>
    <comment ref="C860" authorId="0" shapeId="0" xr:uid="{78EDD55E-7F00-46CA-95C6-A8743A96B643}">
      <text>
        <r>
          <rPr>
            <b/>
            <sz val="9"/>
            <color indexed="81"/>
            <rFont val="Tahoma"/>
            <family val="2"/>
          </rPr>
          <t xml:space="preserve">Edit this date field. </t>
        </r>
        <r>
          <rPr>
            <sz val="9"/>
            <color indexed="81"/>
            <rFont val="Tahoma"/>
            <family val="2"/>
          </rPr>
          <t>Change this default starting date to see how this could fit your schedule.</t>
        </r>
      </text>
    </comment>
    <comment ref="M869" authorId="0" shapeId="0" xr:uid="{57EFABB6-3DD2-4736-8E61-00CCF4035A1E}">
      <text>
        <r>
          <rPr>
            <b/>
            <sz val="9"/>
            <color indexed="81"/>
            <rFont val="Tahoma"/>
            <family val="2"/>
          </rPr>
          <t>CC = campaign cause</t>
        </r>
        <r>
          <rPr>
            <sz val="9"/>
            <color indexed="81"/>
            <rFont val="Tahoma"/>
            <family val="2"/>
          </rPr>
          <t xml:space="preserve">
This illustrates the accumalitive weekly revenue raised at the given levels of support for your campaign as provided above.</t>
        </r>
      </text>
    </comment>
    <comment ref="AA901" authorId="0" shapeId="0" xr:uid="{D8793E14-0E75-422E-98EB-29155DB6CFD9}">
      <text/>
    </comment>
    <comment ref="J908" authorId="0" shapeId="0" xr:uid="{FC52B9AC-C56C-47EB-846C-45BFAD7B5EDD}">
      <text>
        <r>
          <rPr>
            <b/>
            <sz val="16"/>
            <color indexed="17"/>
            <rFont val="Tahoma"/>
            <family val="2"/>
          </rPr>
          <t>Relating Terms of Interaction</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ANNOUNCE</t>
        </r>
        <r>
          <rPr>
            <sz val="12"/>
            <color indexed="81"/>
            <rFont val="Cambria"/>
            <family val="1"/>
          </rPr>
          <t xml:space="preserve"> – I INVITE you to replace divisive politics with all its hateful hostilities, with Harmony Politics. Demonstrate the higher authority of resolved needs via love. </t>
        </r>
        <r>
          <rPr>
            <b/>
            <sz val="12"/>
            <color indexed="54"/>
            <rFont val="Cambria"/>
            <family val="1"/>
          </rPr>
          <t>Terms of Interaction</t>
        </r>
        <r>
          <rPr>
            <sz val="12"/>
            <color indexed="81"/>
            <rFont val="Cambria"/>
            <family val="1"/>
          </rPr>
          <t xml:space="preserve">. </t>
        </r>
        <r>
          <rPr>
            <sz val="10"/>
            <color indexed="81"/>
            <rFont val="Times New Roman"/>
            <family val="1"/>
          </rPr>
          <t xml:space="preserve">
</t>
        </r>
        <r>
          <rPr>
            <sz val="12"/>
            <color indexed="81"/>
            <rFont val="Cambria"/>
            <family val="1"/>
          </rPr>
          <t>You are INVITED to replace our previous reliance upon impersonal laws with personal need-responsiveness to guide our interactions from this point forward.</t>
        </r>
      </text>
    </comment>
    <comment ref="L908" authorId="0" shapeId="0" xr:uid="{B9164C04-4B50-4015-BE18-20E2D6C14DEF}">
      <text>
        <r>
          <rPr>
            <b/>
            <sz val="16"/>
            <color indexed="20"/>
            <rFont val="Tahoma"/>
            <family val="2"/>
          </rPr>
          <t>Relating Terms of Interaction</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 xml:space="preserve">These are my set </t>
        </r>
        <r>
          <rPr>
            <b/>
            <sz val="11"/>
            <color indexed="81"/>
            <rFont val="Times New Roman"/>
            <family val="1"/>
          </rPr>
          <t>need-responsive</t>
        </r>
        <r>
          <rPr>
            <sz val="11"/>
            <color indexed="81"/>
            <rFont val="Times New Roman"/>
            <family val="1"/>
          </rPr>
          <t xml:space="preserve"> standards for our interaction with each other. </t>
        </r>
        <r>
          <rPr>
            <sz val="10"/>
            <color indexed="81"/>
            <rFont val="Times New Roman"/>
            <family val="1"/>
          </rPr>
          <t xml:space="preserve">
</t>
        </r>
        <r>
          <rPr>
            <b/>
            <sz val="16"/>
            <color indexed="17"/>
            <rFont val="Tahoma"/>
            <family val="2"/>
          </rPr>
          <t xml:space="preserve">I publicly declare myself as </t>
        </r>
        <r>
          <rPr>
            <b/>
            <i/>
            <sz val="16"/>
            <color indexed="17"/>
            <rFont val="Tahoma"/>
            <family val="2"/>
          </rPr>
          <t>need-responsive</t>
        </r>
        <r>
          <rPr>
            <b/>
            <sz val="16"/>
            <color indexed="17"/>
            <rFont val="Tahoma"/>
            <family val="2"/>
          </rPr>
          <t>.</t>
        </r>
        <r>
          <rPr>
            <sz val="10"/>
            <color indexed="81"/>
            <rFont val="Times New Roman"/>
            <family val="1"/>
          </rPr>
          <t xml:space="preserve">
</t>
        </r>
        <r>
          <rPr>
            <sz val="12"/>
            <color indexed="81"/>
            <rFont val="Times New Roman"/>
            <family val="1"/>
          </rPr>
          <t xml:space="preserve">This is the first in five progressing stages presenting my need-responsiveness. </t>
        </r>
        <r>
          <rPr>
            <sz val="10"/>
            <color indexed="81"/>
            <rFont val="Times New Roman"/>
            <family val="1"/>
          </rPr>
          <t xml:space="preserve">
Welcome to need-response, a new professional field applying anankelogy, the new disciplined study of need. Learn more about need-response and anankelogy at </t>
        </r>
        <r>
          <rPr>
            <sz val="8"/>
            <color indexed="17"/>
            <rFont val="Arial Black"/>
            <family val="2"/>
          </rPr>
          <t>Value</t>
        </r>
        <r>
          <rPr>
            <sz val="8"/>
            <color indexed="81"/>
            <rFont val="Arial Black"/>
            <family val="2"/>
          </rPr>
          <t xml:space="preserve"> </t>
        </r>
        <r>
          <rPr>
            <sz val="8"/>
            <color indexed="20"/>
            <rFont val="Arial Black"/>
            <family val="2"/>
          </rPr>
          <t>Relating</t>
        </r>
        <r>
          <rPr>
            <sz val="10"/>
            <color indexed="81"/>
            <rFont val="Times New Roman"/>
            <family val="1"/>
          </rPr>
          <t xml:space="preserve">. This stage announces my committed responsiveness to mutually affected needs.
_____________________________________________________________________________________
Welcome to a better way to relate to each other. These terms define and potentially enhance our relation to each other. As entities rely on stated terms for interactions, these terms introduce you to new parameters for your formal interaction with me.
</t>
        </r>
        <r>
          <rPr>
            <b/>
            <sz val="12"/>
            <color indexed="81"/>
            <rFont val="Tahoma"/>
            <family val="2"/>
          </rPr>
          <t>Summary</t>
        </r>
        <r>
          <rPr>
            <sz val="12"/>
            <color indexed="81"/>
            <rFont val="Tahoma"/>
            <family val="2"/>
          </rPr>
          <t>: You are INVITED to replace our previous reliance upon impersonal laws with personal need-responsiveness to guide our interactions from this point forward.</t>
        </r>
        <r>
          <rPr>
            <sz val="10"/>
            <color indexed="81"/>
            <rFont val="Times New Roman"/>
            <family val="1"/>
          </rPr>
          <t xml:space="preserve">
</t>
        </r>
        <r>
          <rPr>
            <b/>
            <sz val="14"/>
            <color indexed="20"/>
            <rFont val="Tahoma"/>
            <family val="2"/>
          </rPr>
          <t>Reintroduction</t>
        </r>
        <r>
          <rPr>
            <sz val="10"/>
            <color indexed="81"/>
            <rFont val="Times New Roman"/>
            <family val="1"/>
          </rPr>
          <t xml:space="preserve">
Whether you know me well, or know me from a distance, I reintroduce myself to you on fresh terms. Old assumptions about me and our relation are to be questioned, to improve outcomes for us both. And to improve out impacts upon others, including those we do not even personally know.
As these terms reset any presumed expectations between us, you are welcome to reply with your own set terms. The less your given terms accord with anankelogy principles, the more distant we are to remain from each other. We can continue to dialogue how best to respect each other’s affected needs, starting with this first step in our realignment. 
</t>
        </r>
        <r>
          <rPr>
            <b/>
            <sz val="14"/>
            <color indexed="20"/>
            <rFont val="Tahoma"/>
            <family val="2"/>
          </rPr>
          <t>Realignment</t>
        </r>
        <r>
          <rPr>
            <sz val="10"/>
            <color indexed="81"/>
            <rFont val="Times New Roman"/>
            <family val="1"/>
          </rPr>
          <t xml:space="preserve">
Please read these assertions to appreciate this realignment of our interactions, to accountably resolve our mutually affected needs. All prior interactions presume our interactions shall be guided primarily by impersonal norms.
Prior interactions leaned heavily on impersonal laws to guide our assumptions and actions. From this point forward, the standard is set higher than the law’s harm-reducing and pain-relieving standards.
I can only maintain need-responsiveness as others are responsive to my affected needs. The less I can resolve my needs due to limits imposed by others, especially from those with the influential power to limit my access to necessary resources, the less I can be sustainably need-responsive to you or to others.
</t>
        </r>
        <r>
          <rPr>
            <b/>
            <sz val="14"/>
            <color indexed="20"/>
            <rFont val="Tahoma"/>
            <family val="2"/>
          </rPr>
          <t xml:space="preserve">Anankelogy </t>
        </r>
        <r>
          <rPr>
            <sz val="10"/>
            <color indexed="81"/>
            <rFont val="Times New Roman"/>
            <family val="1"/>
          </rPr>
          <t xml:space="preserve">
These terms rely heavily upon anankelogy, the disciplined study of need. These terms integrate a more thorough understanding of our less obvious impacts on each other’s needs. Without these proactive terms, our formal relation risks remaining constrained by limiting norms that routinely prevent full resolution of needs. These terms apply anankelogy in the form of need-response.
</t>
        </r>
        <r>
          <rPr>
            <b/>
            <sz val="14"/>
            <color indexed="20"/>
            <rFont val="Tahoma"/>
            <family val="2"/>
          </rPr>
          <t>Need-response</t>
        </r>
        <r>
          <rPr>
            <sz val="10"/>
            <color indexed="81"/>
            <rFont val="Times New Roman"/>
            <family val="1"/>
          </rPr>
          <t xml:space="preserve">
BE INFORMED that, from now on, all our interactions shall be guided by need-responsiveness—a higher standard than arbitrary human law. You acknowledge any previous agreement between us not prioritizing resolution of needs sits at a lower standard than need-responsiveness. 
By continuing any formal relation with me, you acknowledge my need to operate under a higher standard of need-responsiveness. Any failure to respond to expressed needs warrants a reexamination of our professional rapport. You then risk being targeted as opposing resolution of needs, as being need-unresponsive. Once targeted and determined as unresponsive, our relation will likely be terminated—at whatever cost to all parties involved.
By continuing any formal relation with me, you acknowledge these ten need-response principles to maintain need-responsiveness, including each assertion made within. You are free to question any statement, and have me identify its essential basis for need-responsiveness. You are free to terminate our formal relation, with a risk of your professional reputation as widely viewed as unresponsive to affected needs. You are encouraged to see how each of these higher standards can benefit you.
</t>
        </r>
        <r>
          <rPr>
            <b/>
            <sz val="11"/>
            <color indexed="17"/>
            <rFont val="Tahoma"/>
            <family val="2"/>
          </rPr>
          <t xml:space="preserve">1. </t>
        </r>
        <r>
          <rPr>
            <b/>
            <sz val="11"/>
            <color indexed="58"/>
            <rFont val="Tahoma"/>
            <family val="2"/>
          </rPr>
          <t>Knowing your impact on needs</t>
        </r>
        <r>
          <rPr>
            <sz val="10"/>
            <color indexed="81"/>
            <rFont val="Times New Roman"/>
            <family val="1"/>
          </rPr>
          <t xml:space="preserve">
You admit you do not know what you do not know, nor can you possibly independently know all the ways you impact others. You acknowledge the possibility of unknowingly harming others of relatively less influential power than you. You recognize you can improve your awareness of impacts with proper reporting tools that can provide scientifically sound data to guide your decision-making. In short, you humbly admit your lack of full scientific legitimacy.
</t>
        </r>
        <r>
          <rPr>
            <b/>
            <sz val="11"/>
            <color indexed="81"/>
            <rFont val="Tahoma"/>
            <family val="2"/>
          </rPr>
          <t xml:space="preserve">
</t>
        </r>
        <r>
          <rPr>
            <b/>
            <sz val="11"/>
            <color indexed="17"/>
            <rFont val="Tahoma"/>
            <family val="2"/>
          </rPr>
          <t xml:space="preserve">2. </t>
        </r>
        <r>
          <rPr>
            <b/>
            <sz val="11"/>
            <color indexed="58"/>
            <rFont val="Tahoma"/>
            <family val="2"/>
          </rPr>
          <t>Your democratic responsiveness</t>
        </r>
        <r>
          <rPr>
            <sz val="10"/>
            <color indexed="81"/>
            <rFont val="Times New Roman"/>
            <family val="1"/>
          </rPr>
          <t xml:space="preserve">
You admit it is against the grain of law to fully resolve needs, that laws themselves do not resolve needs. You acknowledge human laws are kept vague for diverse applicability, and therefore easily overlook each other’s specific needs when routinely applied. You admit the institutions of law and democracy can be manipulated by elites to serve their interests at the expense of the relatively less powerful. You further acknowledge representative democracy can only be as good as the options powerful elites offer on the ballot. You recognize we can transition from the general rule of law, and from overgeneralizing representative democracy, to the specifics of mutual need-responsiveness. In short, you humbly admit your lack of full legal and democratic legitimacy.
</t>
        </r>
        <r>
          <rPr>
            <b/>
            <sz val="11"/>
            <color indexed="17"/>
            <rFont val="Tahoma"/>
            <family val="2"/>
          </rPr>
          <t xml:space="preserve">3. </t>
        </r>
        <r>
          <rPr>
            <b/>
            <sz val="11"/>
            <color indexed="58"/>
            <rFont val="Tahoma"/>
            <family val="2"/>
          </rPr>
          <t>Your constitutional responsiveness</t>
        </r>
        <r>
          <rPr>
            <sz val="10"/>
            <color indexed="81"/>
            <rFont val="Times New Roman"/>
            <family val="1"/>
          </rPr>
          <t xml:space="preserve">
You admit all core needs sit equal before nature, that no one can healthily choose to submit their needs to serve laws nor institutions created to serve those needs. You acknowledge the risk for harm when institutions shift their focus from serving large-scale needs, for which they exist and remain commissioned to serve, to serving their own needs at the expense of the relatively less powerful. You recognize the standard to measure each other’s behavior by how well they help result in resolving needs. In short, you humbly admit your lack of full constitutional legitimacy.
</t>
        </r>
        <r>
          <rPr>
            <b/>
            <sz val="11"/>
            <color indexed="17"/>
            <rFont val="Tahoma"/>
            <family val="2"/>
          </rPr>
          <t xml:space="preserve">4. </t>
        </r>
        <r>
          <rPr>
            <b/>
            <sz val="11"/>
            <color indexed="58"/>
            <rFont val="Tahoma"/>
            <family val="2"/>
          </rPr>
          <t>Your inspirational responsiveness</t>
        </r>
        <r>
          <rPr>
            <sz val="10"/>
            <color indexed="81"/>
            <rFont val="Times New Roman"/>
            <family val="1"/>
          </rPr>
          <t xml:space="preserve">
You admit while no one sits above the law, no law sits above the needs it exists to serve, that the point of law is to serve needs and not for law to force service to itself or to law enforcement. You acknowledge the “legal leverage” of those with greater resources to compel compliance from the relatively less powerful, who often acquiesce by seeking meaning for their inability to access the same level of legal, executive, judicial or legislative privilege. You recognize humanity’s diverse religious traditions have variously provided for the human need for meaning and purpose in ways we can now aspire through need-responsiveness. In short, you humbly admit your lack of full scriptural legitimacy.
</t>
        </r>
        <r>
          <rPr>
            <b/>
            <sz val="11"/>
            <color indexed="17"/>
            <rFont val="Tahoma"/>
            <family val="2"/>
          </rPr>
          <t xml:space="preserve">5. </t>
        </r>
        <r>
          <rPr>
            <b/>
            <sz val="11"/>
            <color indexed="58"/>
            <rFont val="Tahoma"/>
            <family val="2"/>
          </rPr>
          <t>Our wisdom to resolve needs</t>
        </r>
        <r>
          <rPr>
            <sz val="10"/>
            <color indexed="81"/>
            <rFont val="Times New Roman"/>
            <family val="1"/>
          </rPr>
          <t xml:space="preserve">
You admit we cannot solve our specific problems from the level of generalizing that created them, that avoiding specifics has an inverse correlation with resolving needs. You acknowledge your risk for harm if acting on unchecked generalizing about the relatively less powerful you impact. You recognize the wisdom to relying only upon the generalizations of universal principles, and the wisdom to know specifics for resolving needs together. In short, you humbly admit your lack of full wisdom legitimacy.
</t>
        </r>
        <r>
          <rPr>
            <b/>
            <sz val="11"/>
            <color indexed="17"/>
            <rFont val="Tahoma"/>
            <family val="2"/>
          </rPr>
          <t xml:space="preserve">6. </t>
        </r>
        <r>
          <rPr>
            <b/>
            <sz val="11"/>
            <color indexed="58"/>
            <rFont val="Tahoma"/>
            <family val="2"/>
          </rPr>
          <t>Our love to resolve needs</t>
        </r>
        <r>
          <rPr>
            <sz val="10"/>
            <color indexed="81"/>
            <rFont val="Times New Roman"/>
            <family val="1"/>
          </rPr>
          <t xml:space="preserve">
You admit there is no greater mortal authority than resolving needs in love, that when someone resolves their needs in ways resolving the needs of others, they express the highest authority mortally possible. You acknowledge the risk for harm when powerholders prioritize their needs over the relatively less powerful in the name of authority. You further acknowledge this hindering of need-resolving reinforces powerholders’ views that the relatively less powerful must be under the authority of powerholders privileged by impersonal law. You recognize the legitimacy of authority is best earned when all can freely resolve their needs in their incentivized mutual respect for each other, and how such love fulfills the reason authority exists. In short, you humbly admit you fall short of a full love legitimacy.
</t>
        </r>
        <r>
          <rPr>
            <b/>
            <sz val="11"/>
            <color indexed="17"/>
            <rFont val="Tahoma"/>
            <family val="2"/>
          </rPr>
          <t xml:space="preserve">7. </t>
        </r>
        <r>
          <rPr>
            <b/>
            <sz val="11"/>
            <color indexed="58"/>
            <rFont val="Tahoma"/>
            <family val="2"/>
          </rPr>
          <t>Your power accountability</t>
        </r>
        <r>
          <rPr>
            <sz val="10"/>
            <color indexed="81"/>
            <rFont val="Times New Roman"/>
            <family val="1"/>
          </rPr>
          <t xml:space="preserve">
You admit no mortal person nor institution has authority over any individual person’s needs, that the needs themselves exist by the higher authority of nature. You acknowledge powerholders knowingly or unknowingly coerce the relatively less powerful to serve powerholder interests at odds with the needs of the relatively powerless. You further acknowledge impersonal methods to hold powerholders accountable can be abused with little if any consequence to powerholders. You recognize human authority is most legitimate when accountable to its impacts on individual needs in a conciliatory manner. In short, you humbly admit you fall short of a full accountability standard.
</t>
        </r>
        <r>
          <rPr>
            <b/>
            <sz val="11"/>
            <color indexed="17"/>
            <rFont val="Tahoma"/>
            <family val="2"/>
          </rPr>
          <t xml:space="preserve">8. </t>
        </r>
        <r>
          <rPr>
            <b/>
            <sz val="11"/>
            <color indexed="58"/>
            <rFont val="Tahoma"/>
            <family val="2"/>
          </rPr>
          <t>Your support opportunity</t>
        </r>
        <r>
          <rPr>
            <sz val="10"/>
            <color indexed="81"/>
            <rFont val="Times New Roman"/>
            <family val="1"/>
          </rPr>
          <t xml:space="preserve">
You admit there is no such thing as pain apart from unresolved needs, that supporting all sides to an issue to resolve their affected needs remove cause for pain. You acknowledge powerholders needlessly cause pain and harm when hindering the support necessary to resolve needs. You recognize powerholders’ potential to support the relatively less powerful to resolve needs and you recognize as powerholders support the powerless to resolve more of their needs that this creates value for all. In short, you humbly admit you fall short of a full supportive standard.
</t>
        </r>
        <r>
          <rPr>
            <b/>
            <sz val="11"/>
            <color indexed="17"/>
            <rFont val="Tahoma"/>
            <family val="2"/>
          </rPr>
          <t xml:space="preserve">9. </t>
        </r>
        <r>
          <rPr>
            <b/>
            <sz val="11"/>
            <color indexed="58"/>
            <rFont val="Tahoma"/>
            <family val="2"/>
          </rPr>
          <t>Your power responsiveness</t>
        </r>
        <r>
          <rPr>
            <sz val="10"/>
            <color indexed="81"/>
            <rFont val="Times New Roman"/>
            <family val="1"/>
          </rPr>
          <t xml:space="preserve">
You admit “power” is not actually power unless it resolves needs, that otherwise it is merely coercive force. You acknowledge the capacity to influence the beliefs and actions of others can detract from needs, sometimes painfully and even lethally. You recognize the capacity to influence the beliefs and actions of others is best applied toward resolving needs on all sides. In short, you humbly admit you fall short of a full responsive standard.
</t>
        </r>
        <r>
          <rPr>
            <b/>
            <sz val="11"/>
            <color indexed="17"/>
            <rFont val="Tahoma"/>
            <family val="2"/>
          </rPr>
          <t>10.</t>
        </r>
        <r>
          <rPr>
            <b/>
            <sz val="11"/>
            <color indexed="58"/>
            <rFont val="Tahoma"/>
            <family val="2"/>
          </rPr>
          <t xml:space="preserve"> Your impact validation</t>
        </r>
        <r>
          <rPr>
            <sz val="10"/>
            <color indexed="81"/>
            <rFont val="Times New Roman"/>
            <family val="1"/>
          </rPr>
          <t xml:space="preserve">
You admit unresolved needs result in higher rates of mental health deficits, and that the relatively less powerful face many barriers to resolve their needs from the influentially powerful. If powerfully impacting the relatively less powerful, you acknowledge your potential culpability for the prevalence of severe anxiety, major depression, coping addictions, suicidal ideation and acts, and other injurious maladjustments to your damaging power relations. You recognize wellness outcomes can improve the more each other’s needs fully resolve. In short, you humbly admit you fall short of a full impact standard.
</t>
        </r>
        <r>
          <rPr>
            <b/>
            <sz val="14"/>
            <color indexed="20"/>
            <rFont val="Tahoma"/>
            <family val="2"/>
          </rPr>
          <t>Progressive terms</t>
        </r>
        <r>
          <rPr>
            <sz val="10"/>
            <color indexed="81"/>
            <rFont val="Times New Roman"/>
            <family val="1"/>
          </rPr>
          <t xml:space="preserve">
After these terms form the foundation for our relating on a higher standard, another set of need-responsive standards is to build upon these. They do not replace these standards, but will add depth to this new orientation to resolving all power relations impacted needs.
</t>
        </r>
        <r>
          <rPr>
            <b/>
            <sz val="14"/>
            <color indexed="20"/>
            <rFont val="Tahoma"/>
            <family val="2"/>
          </rPr>
          <t>Adjustments to these terms</t>
        </r>
        <r>
          <rPr>
            <sz val="10"/>
            <color indexed="81"/>
            <rFont val="Times New Roman"/>
            <family val="1"/>
          </rPr>
          <t xml:space="preserve">
As needed, these terms may change to fit evolving situations. Being need-responsive requires vigilant understanding of each other’s impacted needs. These terms are provided as only one of many tools to ensure we help each other resolve needs.</t>
        </r>
      </text>
    </comment>
    <comment ref="J912" authorId="0" shapeId="0" xr:uid="{AF63B5B4-4601-44BC-AA4D-21DAADE6985F}">
      <text>
        <r>
          <rPr>
            <b/>
            <sz val="16"/>
            <color indexed="17"/>
            <rFont val="Tahoma"/>
            <family val="2"/>
          </rPr>
          <t>Relating Terms of Exchange</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ASSESS</t>
        </r>
        <r>
          <rPr>
            <sz val="12"/>
            <color indexed="81"/>
            <rFont val="Cambria"/>
            <family val="1"/>
          </rPr>
          <t xml:space="preserve"> – BE INFORMED your responsiveness to our politicized needs is being assessed, measured by the higher standard of demonstrated love, via Harmony Politics. </t>
        </r>
        <r>
          <rPr>
            <b/>
            <sz val="12"/>
            <color indexed="54"/>
            <rFont val="Cambria"/>
            <family val="1"/>
          </rPr>
          <t>Terms of Exchange</t>
        </r>
        <r>
          <rPr>
            <sz val="12"/>
            <color indexed="81"/>
            <rFont val="Cambria"/>
            <family val="1"/>
          </rPr>
          <t xml:space="preserve">. </t>
        </r>
        <r>
          <rPr>
            <sz val="10"/>
            <color indexed="81"/>
            <rFont val="Times New Roman"/>
            <family val="1"/>
          </rPr>
          <t xml:space="preserve">
</t>
        </r>
        <r>
          <rPr>
            <sz val="12"/>
            <color indexed="81"/>
            <rFont val="Cambria"/>
            <family val="1"/>
          </rPr>
          <t>BE NOTIFIED these terms aim to balance the value we contribute to each other in our formal interactions.</t>
        </r>
      </text>
    </comment>
    <comment ref="L912" authorId="0" shapeId="0" xr:uid="{D034CB14-7BF4-4E0B-B418-FB95EF239073}">
      <text>
        <r>
          <rPr>
            <b/>
            <sz val="16"/>
            <color indexed="20"/>
            <rFont val="Tahoma"/>
            <family val="2"/>
          </rPr>
          <t>Relating Terms of Exchange</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 xml:space="preserve">These are my set need-responsive standards for ____. </t>
        </r>
        <r>
          <rPr>
            <sz val="10"/>
            <color indexed="81"/>
            <rFont val="Times New Roman"/>
            <family val="1"/>
          </rPr>
          <t xml:space="preserve">
While no one sits above the law, no law sits above the needs it exists to serve. 
</t>
        </r>
        <r>
          <rPr>
            <b/>
            <sz val="10"/>
            <color indexed="81"/>
            <rFont val="Tahoma"/>
            <family val="2"/>
          </rPr>
          <t>Relation to pain</t>
        </r>
        <r>
          <rPr>
            <sz val="10"/>
            <color indexed="81"/>
            <rFont val="Times New Roman"/>
            <family val="1"/>
          </rPr>
          <t xml:space="preserve">
</t>
        </r>
        <r>
          <rPr>
            <b/>
            <sz val="10"/>
            <color indexed="81"/>
            <rFont val="Tahoma"/>
            <family val="2"/>
          </rPr>
          <t>Relation to generalizing</t>
        </r>
        <r>
          <rPr>
            <sz val="10"/>
            <color indexed="81"/>
            <rFont val="Times New Roman"/>
            <family val="1"/>
          </rPr>
          <t xml:space="preserve">
</t>
        </r>
        <r>
          <rPr>
            <b/>
            <sz val="10"/>
            <color indexed="81"/>
            <rFont val="Tahoma"/>
            <family val="2"/>
          </rPr>
          <t>Establishing mutuality</t>
        </r>
        <r>
          <rPr>
            <sz val="10"/>
            <color indexed="81"/>
            <rFont val="Times New Roman"/>
            <family val="1"/>
          </rPr>
          <t xml:space="preserve">
</t>
        </r>
        <r>
          <rPr>
            <b/>
            <sz val="10"/>
            <color indexed="81"/>
            <rFont val="Tahoma"/>
            <family val="2"/>
          </rPr>
          <t>Addressing structural exaction</t>
        </r>
        <r>
          <rPr>
            <sz val="10"/>
            <color indexed="81"/>
            <rFont val="Times New Roman"/>
            <family val="1"/>
          </rPr>
          <t xml:space="preserve">
</t>
        </r>
      </text>
    </comment>
    <comment ref="J916" authorId="0" shapeId="0" xr:uid="{83393C05-5997-456D-A5C0-2F7A6FF5D993}">
      <text>
        <r>
          <rPr>
            <b/>
            <sz val="16"/>
            <color indexed="17"/>
            <rFont val="Tahoma"/>
            <family val="2"/>
          </rPr>
          <t>Relating Terms of Engagement</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AUDIT</t>
        </r>
        <r>
          <rPr>
            <sz val="12"/>
            <color indexed="81"/>
            <rFont val="Cambria"/>
            <family val="1"/>
          </rPr>
          <t xml:space="preserve"> – WE FIND your responsiveness to our politicized needs [RATING LEVEL], as measured by [LOVE-BASED CRITERIA]. [COMMENDATIONS or RECOMMENDATIONS]. </t>
        </r>
        <r>
          <rPr>
            <b/>
            <sz val="12"/>
            <color indexed="54"/>
            <rFont val="Cambria"/>
            <family val="1"/>
          </rPr>
          <t>Terms of Engagement</t>
        </r>
        <r>
          <rPr>
            <sz val="12"/>
            <color indexed="81"/>
            <rFont val="Cambria"/>
            <family val="1"/>
          </rPr>
          <t>.</t>
        </r>
        <r>
          <rPr>
            <sz val="10"/>
            <color indexed="81"/>
            <rFont val="Times New Roman"/>
            <family val="1"/>
          </rPr>
          <t xml:space="preserve">
</t>
        </r>
        <r>
          <rPr>
            <sz val="12"/>
            <color indexed="81"/>
            <rFont val="Cambria"/>
            <family val="1"/>
          </rPr>
          <t>WE ASSERT the universal need to engage each other beyond institutional binary opposites, to ensure a path toward mutual resolution of impacted needs.</t>
        </r>
        <r>
          <rPr>
            <sz val="10"/>
            <color indexed="81"/>
            <rFont val="Times New Roman"/>
            <family val="1"/>
          </rPr>
          <t xml:space="preserve">
</t>
        </r>
      </text>
    </comment>
    <comment ref="L916" authorId="0" shapeId="0" xr:uid="{32994F9A-4186-4ACE-8FA4-F05A0F177145}">
      <text>
        <r>
          <rPr>
            <b/>
            <sz val="16"/>
            <color indexed="20"/>
            <rFont val="Tahoma"/>
            <family val="2"/>
          </rPr>
          <t>Relating Terms of Engagement</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These are my set need-responsive standards for professionally engaging with me.</t>
        </r>
        <r>
          <rPr>
            <sz val="10"/>
            <color indexed="81"/>
            <rFont val="Times New Roman"/>
            <family val="1"/>
          </rPr>
          <t xml:space="preserve"> 
</t>
        </r>
        <r>
          <rPr>
            <b/>
            <sz val="10"/>
            <color indexed="81"/>
            <rFont val="Tahoma"/>
            <family val="2"/>
          </rPr>
          <t>Contested terminology</t>
        </r>
        <r>
          <rPr>
            <sz val="10"/>
            <color indexed="81"/>
            <rFont val="Times New Roman"/>
            <family val="1"/>
          </rPr>
          <t xml:space="preserve">
</t>
        </r>
        <r>
          <rPr>
            <b/>
            <sz val="10"/>
            <color indexed="81"/>
            <rFont val="Tahoma"/>
            <family val="2"/>
          </rPr>
          <t>Generalizing</t>
        </r>
        <r>
          <rPr>
            <sz val="10"/>
            <color indexed="81"/>
            <rFont val="Times New Roman"/>
            <family val="1"/>
          </rPr>
          <t xml:space="preserve">
</t>
        </r>
        <r>
          <rPr>
            <b/>
            <sz val="10"/>
            <color indexed="81"/>
            <rFont val="Tahoma"/>
            <family val="2"/>
          </rPr>
          <t>Power</t>
        </r>
        <r>
          <rPr>
            <sz val="10"/>
            <color indexed="81"/>
            <rFont val="Times New Roman"/>
            <family val="1"/>
          </rPr>
          <t xml:space="preserve">
</t>
        </r>
      </text>
    </comment>
    <comment ref="J920" authorId="0" shapeId="0" xr:uid="{33980155-B68E-4174-B2F2-4691610E5C98}">
      <text>
        <r>
          <rPr>
            <b/>
            <sz val="16"/>
            <color indexed="17"/>
            <rFont val="Tahoma"/>
            <family val="2"/>
          </rPr>
          <t>Relating Terms of Results</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AVOW</t>
        </r>
        <r>
          <rPr>
            <sz val="12"/>
            <color indexed="81"/>
            <rFont val="Cambria"/>
            <family val="1"/>
          </rPr>
          <t xml:space="preserve"> – WE DECLARE the liberty to resolve our PO needs, with or without your cooperation &amp; support, by asserting love to resolve needs of a higher authority than any institutional authority resoling only in relief of pain of unmet mission needs. </t>
        </r>
        <r>
          <rPr>
            <b/>
            <sz val="12"/>
            <color indexed="54"/>
            <rFont val="Cambria"/>
            <family val="1"/>
          </rPr>
          <t>Terms of Results</t>
        </r>
        <r>
          <rPr>
            <sz val="12"/>
            <color indexed="81"/>
            <rFont val="Cambria"/>
            <family val="1"/>
          </rPr>
          <t xml:space="preserve">. </t>
        </r>
        <r>
          <rPr>
            <sz val="10"/>
            <color indexed="81"/>
            <rFont val="Times New Roman"/>
            <family val="1"/>
          </rPr>
          <t xml:space="preserve">
</t>
        </r>
        <r>
          <rPr>
            <sz val="12"/>
            <color indexed="81"/>
            <rFont val="Cambria"/>
            <family val="1"/>
          </rPr>
          <t>WE DECLARE the liberty to resolve needs, to ensure higher functioning and sustainable pain removal, for all aligned to mutual need-responsiveness.</t>
        </r>
      </text>
    </comment>
    <comment ref="L920" authorId="0" shapeId="0" xr:uid="{74C7F1FF-D84E-4D37-8B41-70917F787F32}">
      <text>
        <r>
          <rPr>
            <b/>
            <sz val="16"/>
            <color indexed="20"/>
            <rFont val="Tahoma"/>
            <family val="2"/>
          </rPr>
          <t>Relating Terms of Results</t>
        </r>
        <r>
          <rPr>
            <b/>
            <sz val="16"/>
            <color indexed="81"/>
            <rFont val="Tahoma"/>
            <family val="2"/>
          </rPr>
          <t xml:space="preserve"> </t>
        </r>
        <r>
          <rPr>
            <b/>
            <sz val="16"/>
            <color indexed="55"/>
            <rFont val="Tahoma"/>
            <family val="2"/>
          </rPr>
          <t>(example)</t>
        </r>
        <r>
          <rPr>
            <sz val="9"/>
            <color indexed="55"/>
            <rFont val="Tahoma"/>
            <family val="2"/>
          </rPr>
          <t xml:space="preserve">
</t>
        </r>
        <r>
          <rPr>
            <sz val="11"/>
            <color indexed="81"/>
            <rFont val="Tahoma"/>
            <family val="2"/>
          </rPr>
          <t xml:space="preserve">
</t>
        </r>
        <r>
          <rPr>
            <sz val="11"/>
            <color indexed="81"/>
            <rFont val="Times New Roman"/>
            <family val="1"/>
          </rPr>
          <t xml:space="preserve">These are my need-responsive standards for reaching results that earn legitimacy. </t>
        </r>
        <r>
          <rPr>
            <sz val="10"/>
            <color indexed="81"/>
            <rFont val="Times New Roman"/>
            <family val="1"/>
          </rPr>
          <t xml:space="preserve">
</t>
        </r>
        <r>
          <rPr>
            <b/>
            <sz val="10"/>
            <color indexed="81"/>
            <rFont val="Arial"/>
            <family val="2"/>
          </rPr>
          <t xml:space="preserve">
</t>
        </r>
        <r>
          <rPr>
            <b/>
            <sz val="10"/>
            <color indexed="58"/>
            <rFont val="Arial"/>
            <family val="2"/>
          </rPr>
          <t>1. Scientific legitimacy</t>
        </r>
        <r>
          <rPr>
            <sz val="10"/>
            <color indexed="81"/>
            <rFont val="Times New Roman"/>
            <family val="1"/>
          </rPr>
          <t xml:space="preserve">
</t>
        </r>
        <r>
          <rPr>
            <b/>
            <sz val="10"/>
            <color indexed="58"/>
            <rFont val="Arial"/>
            <family val="2"/>
          </rPr>
          <t>2. Democratic legitimacy</t>
        </r>
        <r>
          <rPr>
            <sz val="10"/>
            <color indexed="81"/>
            <rFont val="Times New Roman"/>
            <family val="1"/>
          </rPr>
          <t xml:space="preserve">
</t>
        </r>
        <r>
          <rPr>
            <b/>
            <sz val="10"/>
            <color indexed="58"/>
            <rFont val="Arial"/>
            <family val="2"/>
          </rPr>
          <t>3. Constitutional legitimacy</t>
        </r>
        <r>
          <rPr>
            <sz val="10"/>
            <color indexed="81"/>
            <rFont val="Times New Roman"/>
            <family val="1"/>
          </rPr>
          <t xml:space="preserve">
</t>
        </r>
        <r>
          <rPr>
            <b/>
            <sz val="10"/>
            <color indexed="58"/>
            <rFont val="Arial"/>
            <family val="2"/>
          </rPr>
          <t>4. Scriptural legitimacy</t>
        </r>
        <r>
          <rPr>
            <sz val="10"/>
            <color indexed="81"/>
            <rFont val="Times New Roman"/>
            <family val="1"/>
          </rPr>
          <t xml:space="preserve">
</t>
        </r>
        <r>
          <rPr>
            <b/>
            <sz val="10"/>
            <color indexed="58"/>
            <rFont val="Arial"/>
            <family val="2"/>
          </rPr>
          <t>5. Wisdom legitimacy</t>
        </r>
        <r>
          <rPr>
            <sz val="10"/>
            <color indexed="81"/>
            <rFont val="Times New Roman"/>
            <family val="1"/>
          </rPr>
          <t xml:space="preserve">
</t>
        </r>
        <r>
          <rPr>
            <b/>
            <sz val="10"/>
            <color indexed="58"/>
            <rFont val="Arial"/>
            <family val="2"/>
          </rPr>
          <t>6. Love legitimacy</t>
        </r>
        <r>
          <rPr>
            <sz val="10"/>
            <color indexed="81"/>
            <rFont val="Times New Roman"/>
            <family val="1"/>
          </rPr>
          <t xml:space="preserve">
If you fail to prioritize my needs on par with my capacity to prioritize your needs, 
</t>
        </r>
        <r>
          <rPr>
            <b/>
            <sz val="10"/>
            <color indexed="58"/>
            <rFont val="Arial"/>
            <family val="2"/>
          </rPr>
          <t>7. Accountability standard</t>
        </r>
        <r>
          <rPr>
            <sz val="10"/>
            <color indexed="81"/>
            <rFont val="Times New Roman"/>
            <family val="1"/>
          </rPr>
          <t xml:space="preserve">
</t>
        </r>
        <r>
          <rPr>
            <b/>
            <sz val="10"/>
            <color indexed="58"/>
            <rFont val="Arial"/>
            <family val="2"/>
          </rPr>
          <t>8. Supportive standard</t>
        </r>
        <r>
          <rPr>
            <sz val="10"/>
            <color indexed="81"/>
            <rFont val="Times New Roman"/>
            <family val="1"/>
          </rPr>
          <t xml:space="preserve"> 
</t>
        </r>
        <r>
          <rPr>
            <b/>
            <sz val="10"/>
            <color indexed="58"/>
            <rFont val="Arial"/>
            <family val="2"/>
          </rPr>
          <t>9. Responsive standard</t>
        </r>
        <r>
          <rPr>
            <sz val="10"/>
            <color indexed="81"/>
            <rFont val="Times New Roman"/>
            <family val="1"/>
          </rPr>
          <t xml:space="preserve">
</t>
        </r>
        <r>
          <rPr>
            <b/>
            <sz val="10"/>
            <color indexed="58"/>
            <rFont val="Arial"/>
            <family val="2"/>
          </rPr>
          <t>10. Impact standard</t>
        </r>
        <r>
          <rPr>
            <sz val="10"/>
            <color indexed="81"/>
            <rFont val="Times New Roman"/>
            <family val="1"/>
          </rPr>
          <t xml:space="preserve">
low = coercive pressures result in raising my anxiety, deepening my depression, pulling me towards addiction as the only perceivable means to cope with the pain;
</t>
        </r>
      </text>
    </comment>
    <comment ref="J924" authorId="0" shapeId="0" xr:uid="{4A906264-A7E5-4BE8-A5C6-800727A9C40D}">
      <text>
        <r>
          <rPr>
            <b/>
            <sz val="16"/>
            <color indexed="17"/>
            <rFont val="Tahoma"/>
            <family val="2"/>
          </rPr>
          <t>Relating Terms of Use</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ACCLAIM</t>
        </r>
        <r>
          <rPr>
            <sz val="12"/>
            <color indexed="81"/>
            <rFont val="Cambria"/>
            <family val="1"/>
          </rPr>
          <t xml:space="preserve"> – WE ESTABLISH this conciliatory process to mutually respect and resolve each other’s affected needs, and systemically exclude any effort to detract from this higher authority of love. </t>
        </r>
        <r>
          <rPr>
            <b/>
            <sz val="12"/>
            <color indexed="54"/>
            <rFont val="Cambria"/>
            <family val="1"/>
          </rPr>
          <t>Terms of Use</t>
        </r>
        <r>
          <rPr>
            <sz val="12"/>
            <color indexed="81"/>
            <rFont val="Cambria"/>
            <family val="1"/>
          </rPr>
          <t xml:space="preserve">. </t>
        </r>
        <r>
          <rPr>
            <sz val="10"/>
            <color indexed="81"/>
            <rFont val="Times New Roman"/>
            <family val="1"/>
          </rPr>
          <t xml:space="preserve">
</t>
        </r>
        <r>
          <rPr>
            <sz val="12"/>
            <color indexed="81"/>
            <rFont val="Cambria"/>
            <family val="1"/>
          </rPr>
          <t>WE ESTABLISH the terms to ensure needs can resolve with the value we now formally offer.</t>
        </r>
      </text>
    </comment>
    <comment ref="L924" authorId="0" shapeId="0" xr:uid="{D035F5A0-AF18-4636-8E7D-2CA3332B6245}">
      <text>
        <r>
          <rPr>
            <b/>
            <sz val="16"/>
            <color indexed="20"/>
            <rFont val="Tahoma"/>
            <family val="2"/>
          </rPr>
          <t>Relating Terms of Use</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 xml:space="preserve">These are my need-responsive standards for utilizing the value I create for you and others. </t>
        </r>
        <r>
          <rPr>
            <sz val="10"/>
            <color indexed="81"/>
            <rFont val="Times New Roman"/>
            <family val="1"/>
          </rPr>
          <t xml:space="preserve">
</t>
        </r>
        <r>
          <rPr>
            <b/>
            <sz val="10"/>
            <color indexed="81"/>
            <rFont val="Tahoma"/>
            <family val="2"/>
          </rPr>
          <t>Heading</t>
        </r>
        <r>
          <rPr>
            <sz val="10"/>
            <color indexed="81"/>
            <rFont val="Times New Roman"/>
            <family val="1"/>
          </rPr>
          <t xml:space="preserve">
</t>
        </r>
        <r>
          <rPr>
            <b/>
            <sz val="10"/>
            <color indexed="81"/>
            <rFont val="Tahoma"/>
            <family val="2"/>
          </rPr>
          <t>Heading</t>
        </r>
        <r>
          <rPr>
            <sz val="10"/>
            <color indexed="81"/>
            <rFont val="Times New Roman"/>
            <family val="1"/>
          </rPr>
          <t xml:space="preserve">
</t>
        </r>
        <r>
          <rPr>
            <b/>
            <sz val="10"/>
            <color indexed="81"/>
            <rFont val="Tahoma"/>
            <family val="2"/>
          </rPr>
          <t>Heading</t>
        </r>
        <r>
          <rPr>
            <sz val="10"/>
            <color indexed="81"/>
            <rFont val="Times New Roman"/>
            <family val="1"/>
          </rPr>
          <t xml:space="preserve">
</t>
        </r>
      </text>
    </comment>
    <comment ref="AB932" authorId="0" shapeId="0" xr:uid="{E175AF2C-79B1-4081-9D7A-6D21A14B518F}">
      <text/>
    </comment>
    <comment ref="F938" authorId="0" shapeId="0" xr:uid="{02A286EE-103A-4B99-B6D2-6FC3AAB54B47}">
      <text>
        <r>
          <rPr>
            <b/>
            <sz val="14"/>
            <color indexed="81"/>
            <rFont val="Tahoma"/>
            <family val="2"/>
          </rPr>
          <t>Passion level</t>
        </r>
        <r>
          <rPr>
            <b/>
            <i/>
            <sz val="14"/>
            <color indexed="81"/>
            <rFont val="Tahoma"/>
            <family val="2"/>
          </rPr>
          <t xml:space="preserve"> to resolve underserved needs</t>
        </r>
        <r>
          <rPr>
            <sz val="9"/>
            <color indexed="81"/>
            <rFont val="Tahoma"/>
            <family val="2"/>
          </rPr>
          <t xml:space="preserve">
</t>
        </r>
        <r>
          <rPr>
            <b/>
            <sz val="10"/>
            <color indexed="81"/>
            <rFont val="Tahoma"/>
            <family val="2"/>
          </rPr>
          <t>none</t>
        </r>
        <r>
          <rPr>
            <sz val="10"/>
            <color indexed="81"/>
            <rFont val="Tahoma"/>
            <family val="2"/>
          </rPr>
          <t xml:space="preserve"> = no thought yet for solving a problem created largely by others.
</t>
        </r>
        <r>
          <rPr>
            <b/>
            <sz val="10"/>
            <color indexed="81"/>
            <rFont val="Tahoma"/>
            <family val="2"/>
          </rPr>
          <t>low</t>
        </r>
        <r>
          <rPr>
            <sz val="10"/>
            <color indexed="81"/>
            <rFont val="Tahoma"/>
            <family val="2"/>
          </rPr>
          <t xml:space="preserve"> = some regard for solving this need for myself and others similarly situated.
</t>
        </r>
        <r>
          <rPr>
            <b/>
            <sz val="10"/>
            <color indexed="81"/>
            <rFont val="Tahoma"/>
            <family val="2"/>
          </rPr>
          <t>moderate</t>
        </r>
        <r>
          <rPr>
            <sz val="10"/>
            <color indexed="81"/>
            <rFont val="Tahoma"/>
            <family val="2"/>
          </rPr>
          <t xml:space="preserve"> = growing interest in solving this for myself and others similarly situated.
</t>
        </r>
        <r>
          <rPr>
            <b/>
            <sz val="10"/>
            <color indexed="81"/>
            <rFont val="Tahoma"/>
            <family val="2"/>
          </rPr>
          <t>high</t>
        </r>
        <r>
          <rPr>
            <sz val="10"/>
            <color indexed="81"/>
            <rFont val="Tahoma"/>
            <family val="2"/>
          </rPr>
          <t xml:space="preserve"> = intense interest in solvinng this for myself and others similarly situated.
</t>
        </r>
        <r>
          <rPr>
            <b/>
            <sz val="10"/>
            <color indexed="81"/>
            <rFont val="Tahoma"/>
            <family val="2"/>
          </rPr>
          <t>existential</t>
        </r>
        <r>
          <rPr>
            <sz val="10"/>
            <color indexed="81"/>
            <rFont val="Tahoma"/>
            <family val="2"/>
          </rPr>
          <t xml:space="preserve"> = your consuming purpose in life.</t>
        </r>
      </text>
    </comment>
    <comment ref="AB940" authorId="0" shapeId="0" xr:uid="{28AE6B12-DA76-4425-8A4C-3B4AA8F2CCA7}">
      <text/>
    </comment>
    <comment ref="B943" authorId="0" shapeId="0" xr:uid="{ECB7EBF2-F3D9-4626-8D55-8328E06F594B}">
      <text>
        <r>
          <rPr>
            <b/>
            <sz val="14"/>
            <color indexed="20"/>
            <rFont val="Tahoma"/>
            <family val="2"/>
          </rPr>
          <t>Defunction</t>
        </r>
        <r>
          <rPr>
            <sz val="14"/>
            <color indexed="20"/>
            <rFont val="Tahoma"/>
            <family val="2"/>
          </rPr>
          <t xml:space="preserve">: </t>
        </r>
        <r>
          <rPr>
            <sz val="12"/>
            <color indexed="20"/>
            <rFont val="Tahoma"/>
            <family val="2"/>
          </rPr>
          <t xml:space="preserve">a </t>
        </r>
        <r>
          <rPr>
            <i/>
            <sz val="12"/>
            <color indexed="20"/>
            <rFont val="Tahoma"/>
            <family val="2"/>
          </rPr>
          <t>defunction</t>
        </r>
        <r>
          <rPr>
            <sz val="12"/>
            <color indexed="20"/>
            <rFont val="Tahoma"/>
            <family val="2"/>
          </rPr>
          <t xml:space="preserve"> is the anankelogy term for something lowering a level of functioning capacity, due to one or more unresolve needs.
</t>
        </r>
        <r>
          <rPr>
            <b/>
            <sz val="14"/>
            <color indexed="20"/>
            <rFont val="Tahoma"/>
            <family val="2"/>
          </rPr>
          <t xml:space="preserve">
Defunctions List</t>
        </r>
        <r>
          <rPr>
            <sz val="9"/>
            <color indexed="81"/>
            <rFont val="Tahoma"/>
            <family val="2"/>
          </rPr>
          <t xml:space="preserve">
</t>
        </r>
        <r>
          <rPr>
            <sz val="10"/>
            <color indexed="23"/>
            <rFont val="Tahoma"/>
            <family val="2"/>
          </rPr>
          <t xml:space="preserve">
</t>
        </r>
        <r>
          <rPr>
            <b/>
            <sz val="11"/>
            <color indexed="23"/>
            <rFont val="Tahoma"/>
            <family val="2"/>
          </rPr>
          <t>structural exaction</t>
        </r>
        <r>
          <rPr>
            <sz val="11"/>
            <color indexed="23"/>
            <rFont val="Tahoma"/>
            <family val="2"/>
          </rPr>
          <t xml:space="preserve"> is when a power relation legally coerces the powerless side to involuntarily transfer something of value to the powerful side, without accountably allowing for impacted needs to resolve, whether either side in a power relation is aware of this coercion or not.
</t>
        </r>
        <r>
          <rPr>
            <b/>
            <sz val="11"/>
            <color indexed="23"/>
            <rFont val="Tahoma"/>
            <family val="2"/>
          </rPr>
          <t>nonaccountable influence</t>
        </r>
        <r>
          <rPr>
            <sz val="11"/>
            <color indexed="23"/>
            <rFont val="Tahoma"/>
            <family val="2"/>
          </rPr>
          <t xml:space="preserve"> is exacting social pressure on others, typically those more vulnerable for lack of resources, without having to answer for their negative impacts.
</t>
        </r>
        <r>
          <rPr>
            <b/>
            <sz val="11"/>
            <color indexed="23"/>
            <rFont val="Tahoma"/>
            <family val="2"/>
          </rPr>
          <t>privileged coercive power</t>
        </r>
        <r>
          <rPr>
            <sz val="11"/>
            <color indexed="23"/>
            <rFont val="Tahoma"/>
            <family val="2"/>
          </rPr>
          <t xml:space="preserve"> is manipulation or exploitation of others with less social power under sanction of social norms or cover of law. This applies when it results in hindering the socially less powerful to resolve their needs, or steer clear of avoidable needs.
</t>
        </r>
        <r>
          <rPr>
            <b/>
            <sz val="11"/>
            <color indexed="23"/>
            <rFont val="Tahoma"/>
            <family val="2"/>
          </rPr>
          <t>rationalized systemic failure</t>
        </r>
        <r>
          <rPr>
            <sz val="11"/>
            <color indexed="23"/>
            <rFont val="Tahoma"/>
            <family val="2"/>
          </rPr>
          <t xml:space="preserve"> refers to uncritical justification of mass institutions that systemically fail to serve its mission needs.
</t>
        </r>
        <r>
          <rPr>
            <b/>
            <sz val="11"/>
            <color indexed="23"/>
            <rFont val="Tahoma"/>
            <family val="2"/>
          </rPr>
          <t>mass institution mission creep</t>
        </r>
        <r>
          <rPr>
            <sz val="11"/>
            <color indexed="23"/>
            <rFont val="Tahoma"/>
            <family val="2"/>
          </rPr>
          <t xml:space="preserve"> recognizes the tendency of our largest institutions to shift away from its founding purpose, and slide toward whatever helps keep it going.
</t>
        </r>
        <r>
          <rPr>
            <b/>
            <sz val="11"/>
            <color indexed="23"/>
            <rFont val="Tahoma"/>
            <family val="2"/>
          </rPr>
          <t>imposing authority</t>
        </r>
        <r>
          <rPr>
            <sz val="11"/>
            <color indexed="23"/>
            <rFont val="Tahoma"/>
            <family val="2"/>
          </rPr>
          <t xml:space="preserve"> is the imposition of legally or normatively privileged use of force in ways that undercut resolving of needs, or provokes avoidable needs.</t>
        </r>
        <r>
          <rPr>
            <sz val="10"/>
            <color indexed="23"/>
            <rFont val="Tahoma"/>
            <family val="2"/>
          </rPr>
          <t xml:space="preserve">
</t>
        </r>
      </text>
    </comment>
    <comment ref="B944" authorId="0" shapeId="0" xr:uid="{52DA8D95-EC52-4A43-9309-8DDFBF702A54}">
      <text>
        <r>
          <rPr>
            <b/>
            <sz val="12"/>
            <color indexed="20"/>
            <rFont val="Tahoma"/>
            <family val="2"/>
          </rPr>
          <t>RI 1</t>
        </r>
        <r>
          <rPr>
            <sz val="12"/>
            <color indexed="20"/>
            <rFont val="Tahoma"/>
            <family val="2"/>
          </rPr>
          <t xml:space="preserve">: </t>
        </r>
        <r>
          <rPr>
            <b/>
            <sz val="12"/>
            <color indexed="20"/>
            <rFont val="Tahoma"/>
            <family val="2"/>
          </rPr>
          <t>Anxiety level</t>
        </r>
        <r>
          <rPr>
            <sz val="9"/>
            <color indexed="81"/>
            <rFont val="Tahoma"/>
            <family val="2"/>
          </rPr>
          <t xml:space="preserve">
</t>
        </r>
        <r>
          <rPr>
            <sz val="11"/>
            <color indexed="81"/>
            <rFont val="Tahoma"/>
            <family val="2"/>
          </rPr>
          <t xml:space="preserve">When visualizing yourself facing this Ascribed Impactor, how much anxiety do you experience?
</t>
        </r>
        <r>
          <rPr>
            <sz val="9"/>
            <color indexed="81"/>
            <rFont val="Tahoma"/>
            <family val="2"/>
          </rPr>
          <t xml:space="preserve">
</t>
        </r>
        <r>
          <rPr>
            <b/>
            <sz val="10"/>
            <color indexed="81"/>
            <rFont val="Tahoma"/>
            <family val="2"/>
          </rPr>
          <t>no anxiety</t>
        </r>
        <r>
          <rPr>
            <sz val="10"/>
            <color indexed="81"/>
            <rFont val="Tahoma"/>
            <family val="2"/>
          </rPr>
          <t xml:space="preserve">: uncertainty of threats handled in ways building your courage
</t>
        </r>
        <r>
          <rPr>
            <b/>
            <sz val="10"/>
            <color indexed="81"/>
            <rFont val="Tahoma"/>
            <family val="2"/>
          </rPr>
          <t>low anxiety</t>
        </r>
        <r>
          <rPr>
            <sz val="10"/>
            <color indexed="81"/>
            <rFont val="Tahoma"/>
            <family val="2"/>
          </rPr>
          <t xml:space="preserve">: vigilant to threats you remain unsure you can handle
</t>
        </r>
        <r>
          <rPr>
            <b/>
            <sz val="10"/>
            <color indexed="81"/>
            <rFont val="Tahoma"/>
            <family val="2"/>
          </rPr>
          <t>moderate anxiety</t>
        </r>
        <r>
          <rPr>
            <sz val="10"/>
            <color indexed="81"/>
            <rFont val="Tahoma"/>
            <family val="2"/>
          </rPr>
          <t xml:space="preserve">: hypervigilant to threats not easily handled
</t>
        </r>
        <r>
          <rPr>
            <b/>
            <sz val="10"/>
            <color indexed="81"/>
            <rFont val="Tahoma"/>
            <family val="2"/>
          </rPr>
          <t>severe anxiety</t>
        </r>
        <r>
          <rPr>
            <sz val="10"/>
            <color indexed="81"/>
            <rFont val="Tahoma"/>
            <family val="2"/>
          </rPr>
          <t xml:space="preserve">: obsessed by situations you cannot handle
</t>
        </r>
        <r>
          <rPr>
            <b/>
            <sz val="10"/>
            <color indexed="81"/>
            <rFont val="Tahoma"/>
            <family val="2"/>
          </rPr>
          <t>panic</t>
        </r>
        <r>
          <rPr>
            <sz val="10"/>
            <color indexed="81"/>
            <rFont val="Tahoma"/>
            <family val="2"/>
          </rPr>
          <t>: overwhelmed by threatening situations you cannot handle</t>
        </r>
      </text>
    </comment>
    <comment ref="B945" authorId="0" shapeId="0" xr:uid="{8D8B0AA0-936C-4273-A4C4-E9FE143A2133}">
      <text>
        <r>
          <rPr>
            <b/>
            <sz val="12"/>
            <color indexed="20"/>
            <rFont val="Tahoma"/>
            <family val="2"/>
          </rPr>
          <t>RI 2</t>
        </r>
        <r>
          <rPr>
            <sz val="12"/>
            <color indexed="20"/>
            <rFont val="Tahoma"/>
            <family val="2"/>
          </rPr>
          <t xml:space="preserve">: </t>
        </r>
        <r>
          <rPr>
            <b/>
            <sz val="12"/>
            <color indexed="20"/>
            <rFont val="Tahoma"/>
            <family val="2"/>
          </rPr>
          <t>Depression level</t>
        </r>
        <r>
          <rPr>
            <sz val="9"/>
            <color indexed="81"/>
            <rFont val="Tahoma"/>
            <family val="2"/>
          </rPr>
          <t xml:space="preserve">
</t>
        </r>
        <r>
          <rPr>
            <sz val="11"/>
            <color indexed="81"/>
            <rFont val="Tahoma"/>
            <family val="2"/>
          </rPr>
          <t xml:space="preserve">When visualizing yourself stuck in this power relation with this Ascribed Impactor, how depressed do you feel?
</t>
        </r>
        <r>
          <rPr>
            <sz val="9"/>
            <color indexed="81"/>
            <rFont val="Tahoma"/>
            <family val="2"/>
          </rPr>
          <t xml:space="preserve">
</t>
        </r>
        <r>
          <rPr>
            <b/>
            <sz val="10"/>
            <color indexed="81"/>
            <rFont val="Tahoma"/>
            <family val="2"/>
          </rPr>
          <t>no depression</t>
        </r>
        <r>
          <rPr>
            <sz val="10"/>
            <color indexed="81"/>
            <rFont val="Tahoma"/>
            <family val="2"/>
          </rPr>
          <t xml:space="preserve">: you can still retain your full level of energy and focus
</t>
        </r>
        <r>
          <rPr>
            <b/>
            <sz val="10"/>
            <color indexed="81"/>
            <rFont val="Tahoma"/>
            <family val="2"/>
          </rPr>
          <t>low depression</t>
        </r>
        <r>
          <rPr>
            <sz val="10"/>
            <color indexed="81"/>
            <rFont val="Tahoma"/>
            <family val="2"/>
          </rPr>
          <t xml:space="preserve">: you start losing some focus and begin experiencing less energy
</t>
        </r>
        <r>
          <rPr>
            <b/>
            <sz val="10"/>
            <color indexed="81"/>
            <rFont val="Tahoma"/>
            <family val="2"/>
          </rPr>
          <t>moderate depression</t>
        </r>
        <r>
          <rPr>
            <sz val="10"/>
            <color indexed="81"/>
            <rFont val="Tahoma"/>
            <family val="2"/>
          </rPr>
          <t xml:space="preserve">: you have trouble concentrating and feel mounting fatigue
</t>
        </r>
        <r>
          <rPr>
            <b/>
            <sz val="10"/>
            <color indexed="81"/>
            <rFont val="Tahoma"/>
            <family val="2"/>
          </rPr>
          <t>severe depression</t>
        </r>
        <r>
          <rPr>
            <sz val="10"/>
            <color indexed="81"/>
            <rFont val="Tahoma"/>
            <family val="2"/>
          </rPr>
          <t xml:space="preserve">: you constantly feel restless and unfocused, drained of most energy
</t>
        </r>
        <r>
          <rPr>
            <b/>
            <sz val="10"/>
            <color indexed="81"/>
            <rFont val="Tahoma"/>
            <family val="2"/>
          </rPr>
          <t>major depression</t>
        </r>
        <r>
          <rPr>
            <sz val="10"/>
            <color indexed="81"/>
            <rFont val="Tahoma"/>
            <family val="2"/>
          </rPr>
          <t>: you continually feel intense pain and think of killing yourself for relief</t>
        </r>
      </text>
    </comment>
    <comment ref="B946" authorId="0" shapeId="0" xr:uid="{ECF8FA5C-F18B-4B10-84C2-C29497FEA69C}">
      <text>
        <r>
          <rPr>
            <b/>
            <sz val="12"/>
            <color indexed="20"/>
            <rFont val="Tahoma"/>
            <family val="2"/>
          </rPr>
          <t>RI 3</t>
        </r>
        <r>
          <rPr>
            <sz val="12"/>
            <color indexed="20"/>
            <rFont val="Tahoma"/>
            <family val="2"/>
          </rPr>
          <t xml:space="preserve">: </t>
        </r>
        <r>
          <rPr>
            <b/>
            <sz val="12"/>
            <color indexed="20"/>
            <rFont val="Tahoma"/>
            <family val="2"/>
          </rPr>
          <t>Addiction</t>
        </r>
        <r>
          <rPr>
            <sz val="9"/>
            <color indexed="81"/>
            <rFont val="Tahoma"/>
            <family val="2"/>
          </rPr>
          <t xml:space="preserve">
</t>
        </r>
        <r>
          <rPr>
            <sz val="11"/>
            <color indexed="81"/>
            <rFont val="Tahoma"/>
            <family val="2"/>
          </rPr>
          <t xml:space="preserve">Do you cope with external pressures from powerful others with something you trust will take your mind off the troubling pain, either now or in the past?
</t>
        </r>
        <r>
          <rPr>
            <sz val="9"/>
            <color indexed="81"/>
            <rFont val="Tahoma"/>
            <family val="2"/>
          </rPr>
          <t xml:space="preserve">
</t>
        </r>
        <r>
          <rPr>
            <b/>
            <sz val="10"/>
            <color indexed="81"/>
            <rFont val="Tahoma"/>
            <family val="2"/>
          </rPr>
          <t>no addiction</t>
        </r>
        <r>
          <rPr>
            <sz val="10"/>
            <color indexed="81"/>
            <rFont val="Tahoma"/>
            <family val="2"/>
          </rPr>
          <t xml:space="preserve">: no, I endure the pain without any mood altering substance or activity
</t>
        </r>
        <r>
          <rPr>
            <b/>
            <sz val="10"/>
            <color indexed="81"/>
            <rFont val="Tahoma"/>
            <family val="2"/>
          </rPr>
          <t>first use</t>
        </r>
        <r>
          <rPr>
            <sz val="10"/>
            <color indexed="81"/>
            <rFont val="Tahoma"/>
            <family val="2"/>
          </rPr>
          <t xml:space="preserve">: I have tried something I find eases the pain, at least for a while
</t>
        </r>
        <r>
          <rPr>
            <b/>
            <sz val="10"/>
            <color indexed="81"/>
            <rFont val="Tahoma"/>
            <family val="2"/>
          </rPr>
          <t>regular use</t>
        </r>
        <r>
          <rPr>
            <sz val="10"/>
            <color indexed="81"/>
            <rFont val="Tahoma"/>
            <family val="2"/>
          </rPr>
          <t xml:space="preserve">: I regularly use something to ease the pain of external pressures
</t>
        </r>
        <r>
          <rPr>
            <b/>
            <sz val="10"/>
            <color indexed="81"/>
            <rFont val="Tahoma"/>
            <family val="2"/>
          </rPr>
          <t>risky use</t>
        </r>
        <r>
          <rPr>
            <sz val="10"/>
            <color indexed="81"/>
            <rFont val="Tahoma"/>
            <family val="2"/>
          </rPr>
          <t xml:space="preserve">: I regularly ease the pain to the point of disinhibiting my usual precautions
</t>
        </r>
        <r>
          <rPr>
            <b/>
            <sz val="10"/>
            <color indexed="81"/>
            <rFont val="Tahoma"/>
            <family val="2"/>
          </rPr>
          <t>dependency</t>
        </r>
        <r>
          <rPr>
            <sz val="10"/>
            <color indexed="81"/>
            <rFont val="Tahoma"/>
            <family val="2"/>
          </rPr>
          <t xml:space="preserve">: I use more and more of these things to relieve pain from external pressures
</t>
        </r>
        <r>
          <rPr>
            <b/>
            <sz val="10"/>
            <color indexed="81"/>
            <rFont val="Tahoma"/>
            <family val="2"/>
          </rPr>
          <t>full addiction</t>
        </r>
        <r>
          <rPr>
            <sz val="10"/>
            <color indexed="81"/>
            <rFont val="Tahoma"/>
            <family val="2"/>
          </rPr>
          <t>: I cannot function while I constantly seek relief from painful pressures</t>
        </r>
      </text>
    </comment>
    <comment ref="B947" authorId="0" shapeId="0" xr:uid="{2E1FDCA0-6B52-4FBD-AD6C-D8B647753AE0}">
      <text>
        <r>
          <rPr>
            <b/>
            <sz val="12"/>
            <color indexed="20"/>
            <rFont val="Tahoma"/>
            <family val="2"/>
          </rPr>
          <t>RI 3</t>
        </r>
        <r>
          <rPr>
            <sz val="12"/>
            <color indexed="20"/>
            <rFont val="Tahoma"/>
            <family val="2"/>
          </rPr>
          <t xml:space="preserve">: </t>
        </r>
        <r>
          <rPr>
            <b/>
            <sz val="12"/>
            <color indexed="20"/>
            <rFont val="Tahoma"/>
            <family val="2"/>
          </rPr>
          <t>Anger level</t>
        </r>
        <r>
          <rPr>
            <sz val="9"/>
            <color indexed="81"/>
            <rFont val="Tahoma"/>
            <family val="2"/>
          </rPr>
          <t xml:space="preserve">
</t>
        </r>
        <r>
          <rPr>
            <sz val="11"/>
            <color indexed="81"/>
            <rFont val="Tahoma"/>
            <family val="2"/>
          </rPr>
          <t xml:space="preserve">When visualizing yourself stuck in this power relation with this Ascribed Impactor, how angry do you feel?
</t>
        </r>
        <r>
          <rPr>
            <sz val="9"/>
            <color indexed="81"/>
            <rFont val="Tahoma"/>
            <family val="2"/>
          </rPr>
          <t xml:space="preserve">
</t>
        </r>
        <r>
          <rPr>
            <b/>
            <sz val="10"/>
            <color indexed="81"/>
            <rFont val="Tahoma"/>
            <family val="2"/>
          </rPr>
          <t>no anger</t>
        </r>
        <r>
          <rPr>
            <sz val="10"/>
            <color indexed="81"/>
            <rFont val="Tahoma"/>
            <family val="2"/>
          </rPr>
          <t xml:space="preserve">: I do not feel it is a threat that I cannot accept
</t>
        </r>
        <r>
          <rPr>
            <b/>
            <sz val="10"/>
            <color indexed="81"/>
            <rFont val="Tahoma"/>
            <family val="2"/>
          </rPr>
          <t>mild irritation</t>
        </r>
        <r>
          <rPr>
            <sz val="10"/>
            <color indexed="81"/>
            <rFont val="Tahoma"/>
            <family val="2"/>
          </rPr>
          <t xml:space="preserve">: I feel it is a tolerable threat I prefer not to accept
</t>
        </r>
        <r>
          <rPr>
            <b/>
            <sz val="10"/>
            <color indexed="81"/>
            <rFont val="Tahoma"/>
            <family val="2"/>
          </rPr>
          <t>moderate irritation</t>
        </r>
        <r>
          <rPr>
            <sz val="10"/>
            <color indexed="81"/>
            <rFont val="Tahoma"/>
            <family val="2"/>
          </rPr>
          <t xml:space="preserve">: I feel the pressures as a threat I must wholeheartedly reject.
</t>
        </r>
        <r>
          <rPr>
            <b/>
            <sz val="10"/>
            <color indexed="81"/>
            <rFont val="Tahoma"/>
            <family val="2"/>
          </rPr>
          <t>constant anger</t>
        </r>
        <r>
          <rPr>
            <sz val="10"/>
            <color indexed="81"/>
            <rFont val="Tahoma"/>
            <family val="2"/>
          </rPr>
          <t xml:space="preserve">: I continually must reject the painful pressures of this power relation 
</t>
        </r>
        <r>
          <rPr>
            <b/>
            <sz val="10"/>
            <color indexed="81"/>
            <rFont val="Tahoma"/>
            <family val="2"/>
          </rPr>
          <t>overwhelming rage</t>
        </r>
        <r>
          <rPr>
            <sz val="10"/>
            <color indexed="81"/>
            <rFont val="Tahoma"/>
            <family val="2"/>
          </rPr>
          <t>: I hold myself back from lashing out, or I have lashed out at others</t>
        </r>
        <r>
          <rPr>
            <sz val="9"/>
            <color indexed="81"/>
            <rFont val="Tahoma"/>
            <family val="2"/>
          </rPr>
          <t xml:space="preserve">
</t>
        </r>
      </text>
    </comment>
    <comment ref="B948" authorId="0" shapeId="0" xr:uid="{0A8AB299-C025-4EE6-8275-D6CD3F03D4FE}">
      <text>
        <r>
          <rPr>
            <b/>
            <sz val="12"/>
            <color indexed="20"/>
            <rFont val="Tahoma"/>
            <family val="2"/>
          </rPr>
          <t>RI 5</t>
        </r>
        <r>
          <rPr>
            <sz val="12"/>
            <color indexed="20"/>
            <rFont val="Tahoma"/>
            <family val="2"/>
          </rPr>
          <t xml:space="preserve">: </t>
        </r>
        <r>
          <rPr>
            <b/>
            <sz val="12"/>
            <color indexed="20"/>
            <rFont val="Tahoma"/>
            <family val="2"/>
          </rPr>
          <t>Hopelessness</t>
        </r>
        <r>
          <rPr>
            <sz val="9"/>
            <color indexed="81"/>
            <rFont val="Tahoma"/>
            <family val="2"/>
          </rPr>
          <t xml:space="preserve">
</t>
        </r>
        <r>
          <rPr>
            <sz val="11"/>
            <color indexed="81"/>
            <rFont val="Tahoma"/>
            <family val="2"/>
          </rPr>
          <t xml:space="preserve">When thinking about the impact from this power relation or this Ascribed Impactor, how hopeful or hopeless do you feel? 
</t>
        </r>
        <r>
          <rPr>
            <sz val="9"/>
            <color indexed="81"/>
            <rFont val="Tahoma"/>
            <family val="2"/>
          </rPr>
          <t xml:space="preserve">
</t>
        </r>
        <r>
          <rPr>
            <b/>
            <sz val="10"/>
            <color indexed="81"/>
            <rFont val="Tahoma"/>
            <family val="2"/>
          </rPr>
          <t>no hopelessnes</t>
        </r>
        <r>
          <rPr>
            <sz val="10"/>
            <color indexed="81"/>
            <rFont val="Tahoma"/>
            <family val="2"/>
          </rPr>
          <t xml:space="preserve">s: I am still hopeful to improve situation in life
</t>
        </r>
        <r>
          <rPr>
            <b/>
            <sz val="10"/>
            <color indexed="81"/>
            <rFont val="Tahoma"/>
            <family val="2"/>
          </rPr>
          <t>mild hopelessness</t>
        </r>
        <r>
          <rPr>
            <sz val="10"/>
            <color indexed="81"/>
            <rFont val="Tahoma"/>
            <family val="2"/>
          </rPr>
          <t xml:space="preserve">: I have lingering doubt if things will ever turn out okay
</t>
        </r>
        <r>
          <rPr>
            <b/>
            <sz val="10"/>
            <color indexed="81"/>
            <rFont val="Tahoma"/>
            <family val="2"/>
          </rPr>
          <t>moderate hopelessness</t>
        </r>
        <r>
          <rPr>
            <sz val="10"/>
            <color indexed="81"/>
            <rFont val="Tahoma"/>
            <family val="2"/>
          </rPr>
          <t xml:space="preserve">: I am giving up hope for a normal healthy life
</t>
        </r>
        <r>
          <rPr>
            <b/>
            <sz val="10"/>
            <color indexed="81"/>
            <rFont val="Tahoma"/>
            <family val="2"/>
          </rPr>
          <t>severe hopelessness</t>
        </r>
        <r>
          <rPr>
            <sz val="10"/>
            <color indexed="81"/>
            <rFont val="Tahoma"/>
            <family val="2"/>
          </rPr>
          <t xml:space="preserve">: Frequent thoughts of suicide consume me
</t>
        </r>
        <r>
          <rPr>
            <b/>
            <sz val="10"/>
            <color indexed="81"/>
            <rFont val="Tahoma"/>
            <family val="2"/>
          </rPr>
          <t>totally helpless</t>
        </r>
        <r>
          <rPr>
            <sz val="10"/>
            <color indexed="81"/>
            <rFont val="Tahoma"/>
            <family val="2"/>
          </rPr>
          <t>: I despair to the point of attempting suicide</t>
        </r>
      </text>
    </comment>
    <comment ref="B950" authorId="0" shapeId="0" xr:uid="{3526C658-D326-4A3D-A980-435B2AAB4840}">
      <text>
        <r>
          <rPr>
            <b/>
            <sz val="12"/>
            <color indexed="20"/>
            <rFont val="Tahoma"/>
            <family val="2"/>
          </rPr>
          <t>AI 1</t>
        </r>
        <r>
          <rPr>
            <sz val="12"/>
            <color indexed="20"/>
            <rFont val="Tahoma"/>
            <family val="2"/>
          </rPr>
          <t xml:space="preserve">: </t>
        </r>
        <r>
          <rPr>
            <b/>
            <sz val="12"/>
            <color indexed="20"/>
            <rFont val="Tahoma"/>
            <family val="2"/>
          </rPr>
          <t>Impact</t>
        </r>
        <r>
          <rPr>
            <sz val="9"/>
            <color indexed="81"/>
            <rFont val="Tahoma"/>
            <family val="2"/>
          </rPr>
          <t xml:space="preserve">
</t>
        </r>
        <r>
          <rPr>
            <b/>
            <sz val="10"/>
            <color indexed="81"/>
            <rFont val="Tahoma"/>
            <family val="2"/>
          </rPr>
          <t>direct impact</t>
        </r>
        <r>
          <rPr>
            <sz val="10"/>
            <color indexed="81"/>
            <rFont val="Tahoma"/>
            <family val="2"/>
          </rPr>
          <t xml:space="preserve">: affected needs cannot resolve without this person's direction.
</t>
        </r>
        <r>
          <rPr>
            <b/>
            <sz val="10"/>
            <color indexed="81"/>
            <rFont val="Tahoma"/>
            <family val="2"/>
          </rPr>
          <t>indirect impact</t>
        </r>
        <r>
          <rPr>
            <sz val="10"/>
            <color indexed="81"/>
            <rFont val="Tahoma"/>
            <family val="2"/>
          </rPr>
          <t xml:space="preserve">: affected needs may not resolve without this person's cooperation.
</t>
        </r>
        <r>
          <rPr>
            <b/>
            <sz val="10"/>
            <color indexed="81"/>
            <rFont val="Tahoma"/>
            <family val="2"/>
          </rPr>
          <t>peripheral impact</t>
        </r>
        <r>
          <rPr>
            <sz val="10"/>
            <color indexed="81"/>
            <rFont val="Tahoma"/>
            <family val="2"/>
          </rPr>
          <t xml:space="preserve">: affected needs can more satisfactorily resolve with this person's input.
</t>
        </r>
        <r>
          <rPr>
            <b/>
            <sz val="10"/>
            <color indexed="81"/>
            <rFont val="Tahoma"/>
            <family val="2"/>
          </rPr>
          <t>uncertain</t>
        </r>
        <r>
          <rPr>
            <sz val="10"/>
            <color indexed="81"/>
            <rFont val="Tahoma"/>
            <family val="2"/>
          </rPr>
          <t>: insufficient information to characterize degree of AI impact.</t>
        </r>
      </text>
    </comment>
    <comment ref="B951" authorId="0" shapeId="0" xr:uid="{4E44A532-4DBA-4F63-BE1D-E216D5786C2F}">
      <text>
        <r>
          <rPr>
            <b/>
            <sz val="12"/>
            <color indexed="20"/>
            <rFont val="Tahoma"/>
            <family val="2"/>
          </rPr>
          <t>AI 2</t>
        </r>
        <r>
          <rPr>
            <sz val="12"/>
            <color indexed="20"/>
            <rFont val="Tahoma"/>
            <family val="2"/>
          </rPr>
          <t xml:space="preserve">: </t>
        </r>
        <r>
          <rPr>
            <b/>
            <sz val="12"/>
            <color indexed="20"/>
            <rFont val="Tahoma"/>
            <family val="2"/>
          </rPr>
          <t>Linkage</t>
        </r>
        <r>
          <rPr>
            <sz val="9"/>
            <color indexed="81"/>
            <rFont val="Tahoma"/>
            <family val="2"/>
          </rPr>
          <t xml:space="preserve">
</t>
        </r>
        <r>
          <rPr>
            <b/>
            <sz val="10"/>
            <color indexed="81"/>
            <rFont val="Tahoma"/>
            <family val="2"/>
          </rPr>
          <t>downchain</t>
        </r>
        <r>
          <rPr>
            <sz val="10"/>
            <color indexed="81"/>
            <rFont val="Tahoma"/>
            <family val="2"/>
          </rPr>
          <t xml:space="preserve">: AI delegates authority to those of lower rank.
</t>
        </r>
        <r>
          <rPr>
            <b/>
            <sz val="10"/>
            <color indexed="81"/>
            <rFont val="Tahoma"/>
            <family val="2"/>
          </rPr>
          <t>sidechain</t>
        </r>
        <r>
          <rPr>
            <sz val="10"/>
            <color indexed="81"/>
            <rFont val="Tahoma"/>
            <family val="2"/>
          </rPr>
          <t xml:space="preserve">: AI shares authority with coequal powerholders.
</t>
        </r>
        <r>
          <rPr>
            <b/>
            <sz val="10"/>
            <color indexed="81"/>
            <rFont val="Tahoma"/>
            <family val="2"/>
          </rPr>
          <t>upchain</t>
        </r>
        <r>
          <rPr>
            <sz val="10"/>
            <color indexed="81"/>
            <rFont val="Tahoma"/>
            <family val="2"/>
          </rPr>
          <t xml:space="preserve">: AI must check with authority of higher rank.
</t>
        </r>
        <r>
          <rPr>
            <b/>
            <sz val="10"/>
            <color indexed="81"/>
            <rFont val="Tahoma"/>
            <family val="2"/>
          </rPr>
          <t>unknown</t>
        </r>
        <r>
          <rPr>
            <sz val="10"/>
            <color indexed="81"/>
            <rFont val="Tahoma"/>
            <family val="2"/>
          </rPr>
          <t>: AI chain of authority remains a mystery.</t>
        </r>
      </text>
    </comment>
    <comment ref="B952" authorId="0" shapeId="0" xr:uid="{B57747F6-61F5-4DDB-A8E5-980BCC0A6447}">
      <text>
        <r>
          <rPr>
            <b/>
            <sz val="12"/>
            <color indexed="20"/>
            <rFont val="Tahoma"/>
            <family val="2"/>
          </rPr>
          <t>AI 3</t>
        </r>
        <r>
          <rPr>
            <sz val="12"/>
            <color indexed="20"/>
            <rFont val="Tahoma"/>
            <family val="2"/>
          </rPr>
          <t xml:space="preserve">: </t>
        </r>
        <r>
          <rPr>
            <b/>
            <sz val="12"/>
            <color indexed="20"/>
            <rFont val="Tahoma"/>
            <family val="2"/>
          </rPr>
          <t xml:space="preserve">Reaction </t>
        </r>
        <r>
          <rPr>
            <sz val="11"/>
            <color indexed="20"/>
            <rFont val="Tahoma"/>
            <family val="2"/>
          </rPr>
          <t>(or anticipated reaction)</t>
        </r>
        <r>
          <rPr>
            <sz val="9"/>
            <color indexed="81"/>
            <rFont val="Tahoma"/>
            <family val="2"/>
          </rPr>
          <t xml:space="preserve">
</t>
        </r>
        <r>
          <rPr>
            <b/>
            <sz val="10"/>
            <color indexed="81"/>
            <rFont val="Tahoma"/>
            <family val="2"/>
          </rPr>
          <t>unresponsive</t>
        </r>
        <r>
          <rPr>
            <sz val="10"/>
            <color indexed="81"/>
            <rFont val="Tahoma"/>
            <family val="2"/>
          </rPr>
          <t>: has not responded to last contact attempt.</t>
        </r>
        <r>
          <rPr>
            <sz val="9"/>
            <color indexed="81"/>
            <rFont val="Tahoma"/>
            <family val="2"/>
          </rPr>
          <t xml:space="preserve">
</t>
        </r>
        <r>
          <rPr>
            <b/>
            <sz val="10"/>
            <color indexed="81"/>
            <rFont val="Tahoma"/>
            <family val="2"/>
          </rPr>
          <t>hostile</t>
        </r>
        <r>
          <rPr>
            <sz val="10"/>
            <color indexed="81"/>
            <rFont val="Tahoma"/>
            <family val="2"/>
          </rPr>
          <t xml:space="preserve">: claims this amounts to extortion, or similar hostility.
</t>
        </r>
        <r>
          <rPr>
            <b/>
            <sz val="10"/>
            <color indexed="81"/>
            <rFont val="Tahoma"/>
            <family val="2"/>
          </rPr>
          <t>resists</t>
        </r>
        <r>
          <rPr>
            <sz val="10"/>
            <color indexed="81"/>
            <rFont val="Tahoma"/>
            <family val="2"/>
          </rPr>
          <t xml:space="preserve">: evades responsibility, asserts authority, similar resistance.
</t>
        </r>
        <r>
          <rPr>
            <b/>
            <sz val="10"/>
            <color indexed="81"/>
            <rFont val="Tahoma"/>
            <family val="2"/>
          </rPr>
          <t>hesitant</t>
        </r>
        <r>
          <rPr>
            <sz val="10"/>
            <color indexed="81"/>
            <rFont val="Tahoma"/>
            <family val="2"/>
          </rPr>
          <t xml:space="preserve">: reluctantly acknowledges some impact but slow to work with us.
</t>
        </r>
        <r>
          <rPr>
            <b/>
            <sz val="10"/>
            <color indexed="81"/>
            <rFont val="Tahoma"/>
            <family val="2"/>
          </rPr>
          <t>cautious</t>
        </r>
        <r>
          <rPr>
            <sz val="10"/>
            <color indexed="81"/>
            <rFont val="Tahoma"/>
            <family val="2"/>
          </rPr>
          <t xml:space="preserve">: agrees to impact but not ready to commit to conciliatory process.
</t>
        </r>
        <r>
          <rPr>
            <b/>
            <sz val="10"/>
            <color indexed="81"/>
            <rFont val="Tahoma"/>
            <family val="2"/>
          </rPr>
          <t>enthusiastic</t>
        </r>
        <r>
          <rPr>
            <sz val="10"/>
            <color indexed="81"/>
            <rFont val="Tahoma"/>
            <family val="2"/>
          </rPr>
          <t>: eager to pursue conciliatory process of mutual benefit.</t>
        </r>
      </text>
    </comment>
    <comment ref="B953" authorId="0" shapeId="0" xr:uid="{16D3AE2F-7A33-4385-8493-4C7EE1D754AB}">
      <text>
        <r>
          <rPr>
            <b/>
            <sz val="12"/>
            <color indexed="20"/>
            <rFont val="Tahoma"/>
            <family val="2"/>
          </rPr>
          <t>AI 4</t>
        </r>
        <r>
          <rPr>
            <sz val="12"/>
            <color indexed="20"/>
            <rFont val="Tahoma"/>
            <family val="2"/>
          </rPr>
          <t xml:space="preserve">: </t>
        </r>
        <r>
          <rPr>
            <b/>
            <sz val="12"/>
            <color indexed="20"/>
            <rFont val="Tahoma"/>
            <family val="2"/>
          </rPr>
          <t>Engaging</t>
        </r>
        <r>
          <rPr>
            <sz val="9"/>
            <color indexed="81"/>
            <rFont val="Tahoma"/>
            <family val="2"/>
          </rPr>
          <t xml:space="preserve">
</t>
        </r>
        <r>
          <rPr>
            <b/>
            <sz val="10"/>
            <color indexed="81"/>
            <rFont val="Tahoma"/>
            <family val="2"/>
          </rPr>
          <t>unresonsive</t>
        </r>
        <r>
          <rPr>
            <sz val="10"/>
            <color indexed="81"/>
            <rFont val="Tahoma"/>
            <family val="2"/>
          </rPr>
          <t xml:space="preserve">: AI shows no interest or fails to reply within a reasonable time.
</t>
        </r>
        <r>
          <rPr>
            <b/>
            <sz val="10"/>
            <color indexed="81"/>
            <rFont val="Tahoma"/>
            <family val="2"/>
          </rPr>
          <t>responsive</t>
        </r>
        <r>
          <rPr>
            <sz val="10"/>
            <color indexed="81"/>
            <rFont val="Tahoma"/>
            <family val="2"/>
          </rPr>
          <t xml:space="preserve">: AI demonstrates responsiveness to invitation to process.
</t>
        </r>
        <r>
          <rPr>
            <b/>
            <sz val="10"/>
            <color indexed="81"/>
            <rFont val="Tahoma"/>
            <family val="2"/>
          </rPr>
          <t>supportive</t>
        </r>
        <r>
          <rPr>
            <sz val="10"/>
            <color indexed="81"/>
            <rFont val="Tahoma"/>
            <family val="2"/>
          </rPr>
          <t xml:space="preserve">: AI ready to actively support RI's cause with intangible &amp; tangible resources.
</t>
        </r>
        <r>
          <rPr>
            <b/>
            <sz val="10"/>
            <color indexed="81"/>
            <rFont val="Tahoma"/>
            <family val="2"/>
          </rPr>
          <t>investing</t>
        </r>
        <r>
          <rPr>
            <sz val="10"/>
            <color indexed="81"/>
            <rFont val="Tahoma"/>
            <family val="2"/>
          </rPr>
          <t>: AI expresses willingness to finacially support RI's cause to resolve identified need(s)</t>
        </r>
        <r>
          <rPr>
            <sz val="9"/>
            <color indexed="81"/>
            <rFont val="Tahoma"/>
            <family val="2"/>
          </rPr>
          <t>.</t>
        </r>
      </text>
    </comment>
    <comment ref="C974" authorId="0" shapeId="0" xr:uid="{03728196-F771-464E-BA48-F8F20A73FAD7}">
      <text>
        <r>
          <rPr>
            <b/>
            <sz val="11"/>
            <color indexed="81"/>
            <rFont val="Tahoma"/>
            <family val="2"/>
          </rPr>
          <t>Scientific legitimacy:</t>
        </r>
        <r>
          <rPr>
            <sz val="9"/>
            <color indexed="81"/>
            <rFont val="Tahoma"/>
            <family val="2"/>
          </rPr>
          <t xml:space="preserve">
</t>
        </r>
        <r>
          <rPr>
            <sz val="10"/>
            <color indexed="81"/>
            <rFont val="Tahoma"/>
            <family val="2"/>
          </rPr>
          <t>Legitimacy quality improves the more powerholders remain open to flow of impact data provided as measurable empirical data. The more the powerholder does something, for example, the more the impacted powerless experiences something to their needs.</t>
        </r>
      </text>
    </comment>
    <comment ref="C977" authorId="0" shapeId="0" xr:uid="{3CE8D466-A203-4A47-A2FC-5C721223735E}">
      <text>
        <r>
          <rPr>
            <b/>
            <sz val="11"/>
            <color indexed="81"/>
            <rFont val="Tahoma"/>
            <family val="2"/>
          </rPr>
          <t>Democratic legitimacy:</t>
        </r>
        <r>
          <rPr>
            <sz val="9"/>
            <color indexed="81"/>
            <rFont val="Tahoma"/>
            <family val="2"/>
          </rPr>
          <t xml:space="preserve">
</t>
        </r>
        <r>
          <rPr>
            <sz val="10"/>
            <color indexed="81"/>
            <rFont val="Tahoma"/>
            <family val="2"/>
          </rPr>
          <t>Legitimacy quality improves the more powerholders remain open to continual input from those they impact, and not limited to ballot options narrowed by elites.</t>
        </r>
      </text>
    </comment>
    <comment ref="C980" authorId="0" shapeId="0" xr:uid="{0DCD0B32-28E8-487C-A0C9-FE67DFD4EB08}">
      <text>
        <r>
          <rPr>
            <b/>
            <sz val="11"/>
            <color indexed="81"/>
            <rFont val="Tahoma"/>
            <family val="2"/>
          </rPr>
          <t>Constitutional legitimacy:</t>
        </r>
        <r>
          <rPr>
            <sz val="9"/>
            <color indexed="81"/>
            <rFont val="Tahoma"/>
            <family val="2"/>
          </rPr>
          <t xml:space="preserve">
</t>
        </r>
        <r>
          <rPr>
            <sz val="10"/>
            <color indexed="81"/>
            <rFont val="Tahoma"/>
            <family val="2"/>
          </rPr>
          <t>Legitimacy quality improves the more powerholders ground their actions on universal principles, and less on culturally relative or self-serving preferences privileged by law or custom.</t>
        </r>
      </text>
    </comment>
    <comment ref="C983" authorId="0" shapeId="0" xr:uid="{F1CB4A1F-67D8-4930-8A45-C42E79E96072}">
      <text>
        <r>
          <rPr>
            <b/>
            <sz val="11"/>
            <color indexed="81"/>
            <rFont val="Tahoma"/>
            <family val="2"/>
          </rPr>
          <t>Inspirational legitimacy:</t>
        </r>
        <r>
          <rPr>
            <sz val="9"/>
            <color indexed="81"/>
            <rFont val="Tahoma"/>
            <family val="2"/>
          </rPr>
          <t xml:space="preserve">
</t>
        </r>
        <r>
          <rPr>
            <sz val="10"/>
            <color indexed="81"/>
            <rFont val="Tahoma"/>
            <family val="2"/>
          </rPr>
          <t>Legitimacy quality improves the more powerholders demonstrate the integrity passed down in various inspirational traditions.</t>
        </r>
      </text>
    </comment>
    <comment ref="C986" authorId="0" shapeId="0" xr:uid="{2E36AF59-B29C-46DE-8AF2-201BA1E0577D}">
      <text>
        <r>
          <rPr>
            <b/>
            <sz val="11"/>
            <color indexed="81"/>
            <rFont val="Tahoma"/>
            <family val="2"/>
          </rPr>
          <t>Wisdon standard:</t>
        </r>
        <r>
          <rPr>
            <sz val="9"/>
            <color indexed="81"/>
            <rFont val="Tahoma"/>
            <family val="2"/>
          </rPr>
          <t xml:space="preserve">
</t>
        </r>
        <r>
          <rPr>
            <sz val="10"/>
            <color indexed="81"/>
            <rFont val="Tahoma"/>
            <family val="2"/>
          </rPr>
          <t>Legitimacy quality improves the more powerholders demonstrate responsiveness to needs as most appropriate to each situation.</t>
        </r>
      </text>
    </comment>
    <comment ref="C989" authorId="0" shapeId="0" xr:uid="{70A39864-411C-4420-9E07-9A3676DC2F0F}">
      <text>
        <r>
          <rPr>
            <b/>
            <sz val="11"/>
            <color indexed="81"/>
            <rFont val="Tahoma"/>
            <family val="2"/>
          </rPr>
          <t>Love standard:</t>
        </r>
        <r>
          <rPr>
            <sz val="9"/>
            <color indexed="81"/>
            <rFont val="Tahoma"/>
            <family val="2"/>
          </rPr>
          <t xml:space="preserve">
</t>
        </r>
        <r>
          <rPr>
            <sz val="10"/>
            <color indexed="81"/>
            <rFont val="Tahoma"/>
            <family val="2"/>
          </rPr>
          <t>Legitimacy quality improves the more powerholders prioritize the needs of those they impact over their own needs, as long as their needs are not being infringed by anyone. In other words, when powerholder demonstrates they value others as much as they value themselves.</t>
        </r>
      </text>
    </comment>
    <comment ref="C992" authorId="0" shapeId="0" xr:uid="{FF432717-9401-47AA-B9D6-7F4B7B2BD032}">
      <text>
        <r>
          <rPr>
            <b/>
            <sz val="11"/>
            <color indexed="81"/>
            <rFont val="Tahoma"/>
            <family val="2"/>
          </rPr>
          <t>Accountablity standard:</t>
        </r>
        <r>
          <rPr>
            <sz val="9"/>
            <color indexed="81"/>
            <rFont val="Tahoma"/>
            <family val="2"/>
          </rPr>
          <t xml:space="preserve">
</t>
        </r>
        <r>
          <rPr>
            <sz val="10"/>
            <color indexed="81"/>
            <rFont val="Tahoma"/>
            <family val="2"/>
          </rPr>
          <t xml:space="preserve">Legitimacy quality improves the more powerholders keep themselves openly and freely accountable for their impactful actions. </t>
        </r>
      </text>
    </comment>
    <comment ref="C995" authorId="0" shapeId="0" xr:uid="{AA50822D-406E-4071-A8F9-443F30A4FDB6}">
      <text>
        <r>
          <rPr>
            <b/>
            <sz val="11"/>
            <color indexed="81"/>
            <rFont val="Tahoma"/>
            <family val="2"/>
          </rPr>
          <t>Supportive standard:</t>
        </r>
        <r>
          <rPr>
            <sz val="9"/>
            <color indexed="81"/>
            <rFont val="Tahoma"/>
            <family val="2"/>
          </rPr>
          <t xml:space="preserve">
</t>
        </r>
        <r>
          <rPr>
            <sz val="10"/>
            <color indexed="81"/>
            <rFont val="Tahoma"/>
            <family val="2"/>
          </rPr>
          <t>Legitimacy quality improves the more powerholders demonstrate a willing and readiness to support those they readily impact.</t>
        </r>
      </text>
    </comment>
    <comment ref="C998" authorId="0" shapeId="0" xr:uid="{B3B39A53-7A96-44C0-A265-B14D695C4825}">
      <text>
        <r>
          <rPr>
            <b/>
            <sz val="11"/>
            <color indexed="81"/>
            <rFont val="Tahoma"/>
            <family val="2"/>
          </rPr>
          <t>Responsive standard:</t>
        </r>
        <r>
          <rPr>
            <sz val="9"/>
            <color indexed="81"/>
            <rFont val="Tahoma"/>
            <family val="2"/>
          </rPr>
          <t xml:space="preserve">
L</t>
        </r>
        <r>
          <rPr>
            <sz val="10"/>
            <color indexed="81"/>
            <rFont val="Tahoma"/>
            <family val="2"/>
          </rPr>
          <t>egitimacy quality improves the more powerholders stay responsive to the complaints and requests of those they impact, and never evade responsibility with a dismissive attitude towards others of less advantage.</t>
        </r>
      </text>
    </comment>
    <comment ref="AB1014" authorId="0" shapeId="0" xr:uid="{E758F046-7514-41E5-B2B7-177BA221B999}">
      <text/>
    </comment>
    <comment ref="AB1045" authorId="0" shapeId="0" xr:uid="{7E543163-0ACD-4320-AB85-A8F3630EEF0C}">
      <text/>
    </comment>
    <comment ref="J1302" authorId="0" shapeId="0" xr:uid="{25FC9ED8-8649-4535-8676-699E3ED73FD1}">
      <text>
        <r>
          <rPr>
            <b/>
            <sz val="9"/>
            <color indexed="81"/>
            <rFont val="Tahoma"/>
            <family val="2"/>
          </rPr>
          <t>outrage that Republicans ___</t>
        </r>
      </text>
    </comment>
    <comment ref="K1302" authorId="0" shapeId="0" xr:uid="{3A877024-DA26-4237-A633-ED7B752B3EF1}">
      <text>
        <r>
          <rPr>
            <b/>
            <sz val="9"/>
            <color indexed="81"/>
            <rFont val="Tahoma"/>
            <family val="2"/>
          </rPr>
          <t>outrage that Democrats ___</t>
        </r>
      </text>
    </comment>
    <comment ref="T1302" authorId="0" shapeId="0" xr:uid="{DB065212-4373-4F4B-ADD9-087E795463C6}">
      <text>
        <r>
          <rPr>
            <b/>
            <sz val="9"/>
            <color indexed="81"/>
            <rFont val="Tahoma"/>
            <family val="2"/>
          </rPr>
          <t>outrage that Republicans ___</t>
        </r>
      </text>
    </comment>
    <comment ref="U1302" authorId="0" shapeId="0" xr:uid="{31C6B343-A204-4EAA-B236-74CADC219F40}">
      <text>
        <r>
          <rPr>
            <b/>
            <sz val="9"/>
            <color indexed="81"/>
            <rFont val="Tahoma"/>
            <family val="2"/>
          </rPr>
          <t>outrage that Democrats ___</t>
        </r>
      </text>
    </comment>
  </commentList>
</comments>
</file>

<file path=xl/sharedStrings.xml><?xml version="1.0" encoding="utf-8"?>
<sst xmlns="http://schemas.openxmlformats.org/spreadsheetml/2006/main" count="5115" uniqueCount="3221">
  <si>
    <t>Your self-needs</t>
  </si>
  <si>
    <t>Your social-needs</t>
  </si>
  <si>
    <t>Your psychosocial orientation</t>
  </si>
  <si>
    <t/>
  </si>
  <si>
    <t>ARGUE</t>
  </si>
  <si>
    <t>or</t>
  </si>
  <si>
    <t>LISTEN</t>
  </si>
  <si>
    <t>REJECT</t>
  </si>
  <si>
    <t>AFFIRM</t>
  </si>
  <si>
    <t>DEMAND</t>
  </si>
  <si>
    <t>OFFER</t>
  </si>
  <si>
    <t>unmet social-need</t>
  </si>
  <si>
    <t>guarded self-need</t>
  </si>
  <si>
    <t>guarded social-need</t>
  </si>
  <si>
    <t>unmet self-need</t>
  </si>
  <si>
    <t>VISIBLE EXPRESSION</t>
  </si>
  <si>
    <t>VULNERABLE NEEDS</t>
  </si>
  <si>
    <t>OPEN BORDERS</t>
  </si>
  <si>
    <t>RELAX BORDERS</t>
  </si>
  <si>
    <t>social progressive</t>
  </si>
  <si>
    <t>center left liberal</t>
  </si>
  <si>
    <t>new right reactionary</t>
  </si>
  <si>
    <t>far right or alt-right</t>
  </si>
  <si>
    <t>center right conservative</t>
  </si>
  <si>
    <t>Lateral array</t>
  </si>
  <si>
    <t>your stronger political claim</t>
  </si>
  <si>
    <t>their stronger political claim</t>
  </si>
  <si>
    <t>their weaker political claim</t>
  </si>
  <si>
    <t>your weaker political claim</t>
  </si>
  <si>
    <t>weaker political claim</t>
  </si>
  <si>
    <t>AUTHENTIC INDIVIDUALITY</t>
  </si>
  <si>
    <t>SOCIETAL INCLUSION</t>
  </si>
  <si>
    <t>PERSONAL SECURITY</t>
  </si>
  <si>
    <t>GROUP COHESION</t>
  </si>
  <si>
    <r>
      <rPr>
        <b/>
        <sz val="10"/>
        <color rgb="FF00B050"/>
        <rFont val="Arial Narrow"/>
        <family val="2"/>
      </rPr>
      <t>more resolved</t>
    </r>
    <r>
      <rPr>
        <b/>
        <sz val="10"/>
        <color theme="1"/>
        <rFont val="Arial Narrow"/>
        <family val="2"/>
      </rPr>
      <t xml:space="preserve"> self-need</t>
    </r>
  </si>
  <si>
    <r>
      <rPr>
        <b/>
        <sz val="10"/>
        <color rgb="FFFFFF00"/>
        <rFont val="Arial Narrow"/>
        <family val="2"/>
      </rPr>
      <t>less resolved</t>
    </r>
    <r>
      <rPr>
        <b/>
        <sz val="10"/>
        <color theme="1"/>
        <rFont val="Arial Narrow"/>
        <family val="2"/>
      </rPr>
      <t xml:space="preserve"> social-need</t>
    </r>
  </si>
  <si>
    <r>
      <rPr>
        <b/>
        <sz val="10"/>
        <color rgb="FFFFFF00"/>
        <rFont val="Arial Narrow"/>
        <family val="2"/>
      </rPr>
      <t>less resolved</t>
    </r>
    <r>
      <rPr>
        <b/>
        <sz val="10"/>
        <color theme="1"/>
        <rFont val="Arial Narrow"/>
        <family val="2"/>
      </rPr>
      <t xml:space="preserve"> self-need</t>
    </r>
  </si>
  <si>
    <r>
      <rPr>
        <b/>
        <sz val="10"/>
        <color rgb="FF00B050"/>
        <rFont val="Arial Narrow"/>
        <family val="2"/>
      </rPr>
      <t>more resolved</t>
    </r>
    <r>
      <rPr>
        <b/>
        <sz val="10"/>
        <color theme="1"/>
        <rFont val="Arial Narrow"/>
        <family val="2"/>
      </rPr>
      <t xml:space="preserve"> social-need</t>
    </r>
  </si>
  <si>
    <t xml:space="preserve">Are you economically secure? </t>
  </si>
  <si>
    <t xml:space="preserve">Are they economically secure? </t>
  </si>
  <si>
    <t>Access to mental health supports?</t>
  </si>
  <si>
    <t>Influence more than influenced?</t>
  </si>
  <si>
    <r>
      <rPr>
        <b/>
        <sz val="11"/>
        <color theme="1"/>
        <rFont val="Arial Narrow"/>
        <family val="2"/>
      </rPr>
      <t>Leaning politically</t>
    </r>
    <r>
      <rPr>
        <sz val="11"/>
        <color theme="1"/>
        <rFont val="Arial Narrow"/>
        <family val="2"/>
      </rPr>
      <t>:</t>
    </r>
  </si>
  <si>
    <t>yes</t>
  </si>
  <si>
    <t>no</t>
  </si>
  <si>
    <t>You have quality health security?</t>
  </si>
  <si>
    <t>They have quality health security?</t>
  </si>
  <si>
    <t>Live in a stable, supportive setting?</t>
  </si>
  <si>
    <t>Getting paid doing what you love?</t>
  </si>
  <si>
    <t>liberal</t>
  </si>
  <si>
    <t>conservative</t>
  </si>
  <si>
    <t>Populism: distrusting elite establishment</t>
  </si>
  <si>
    <t>Secure access to drinkable water?</t>
  </si>
  <si>
    <t>IMMIGRATION</t>
  </si>
  <si>
    <t>Core-needs</t>
  </si>
  <si>
    <t>Resource-needs</t>
  </si>
  <si>
    <t>Access-needs</t>
  </si>
  <si>
    <t>Psychosocial needs</t>
  </si>
  <si>
    <t>Universally in common</t>
  </si>
  <si>
    <t>Mostly in common</t>
  </si>
  <si>
    <t>Largely different</t>
  </si>
  <si>
    <r>
      <t>Politics as usual -</t>
    </r>
    <r>
      <rPr>
        <b/>
        <i/>
        <sz val="20"/>
        <color rgb="FF00501E"/>
        <rFont val="Tahoma"/>
        <family val="2"/>
      </rPr>
      <t xml:space="preserve"> immature polarizing</t>
    </r>
  </si>
  <si>
    <t>VULNERABLE YOU</t>
  </si>
  <si>
    <t>POLITICALLY INFLUENTIAL</t>
  </si>
  <si>
    <t>far left socialist</t>
  </si>
  <si>
    <t>Your experience of needs</t>
  </si>
  <si>
    <t>self-needs</t>
  </si>
  <si>
    <t>social-needs</t>
  </si>
  <si>
    <r>
      <t xml:space="preserve">Understanding politics: </t>
    </r>
    <r>
      <rPr>
        <b/>
        <i/>
        <sz val="20"/>
        <color rgb="FF371950"/>
        <rFont val="Tahoma"/>
        <family val="2"/>
      </rPr>
      <t>It's about needs</t>
    </r>
  </si>
  <si>
    <t>Do you have fully secure housing?</t>
  </si>
  <si>
    <t>Do they have fully secure housing?</t>
  </si>
  <si>
    <t>Do they have quality food security?</t>
  </si>
  <si>
    <t>Do you have quality food security?</t>
  </si>
  <si>
    <t>IMM</t>
  </si>
  <si>
    <t>CLI</t>
  </si>
  <si>
    <t>GUN</t>
  </si>
  <si>
    <t>ABO</t>
  </si>
  <si>
    <t>HEA</t>
  </si>
  <si>
    <t>CRI</t>
  </si>
  <si>
    <t>ECO</t>
  </si>
  <si>
    <t>RAC</t>
  </si>
  <si>
    <t>CLIMATE CHANGE</t>
  </si>
  <si>
    <t>GUN SAFETY</t>
  </si>
  <si>
    <t>ABORTION</t>
  </si>
  <si>
    <t>HEALTHCARE</t>
  </si>
  <si>
    <t>CRIMINAL JUSTICE</t>
  </si>
  <si>
    <t>ECONOMY</t>
  </si>
  <si>
    <t xml:space="preserve">Migrants exploit loopholes in our outmoded immigration laws, or evade the law entirely, often with violent results and other harmful consequences. </t>
  </si>
  <si>
    <t>No one is “illegal” and national borders reinforce discriminatory systems like racism and classism, usually against people exploited by US foreign interventions.</t>
  </si>
  <si>
    <t>ARGUE L</t>
  </si>
  <si>
    <t>ARGUE R</t>
  </si>
  <si>
    <t>REJECT L</t>
  </si>
  <si>
    <t>REJECT R</t>
  </si>
  <si>
    <t>DEMAND L</t>
  </si>
  <si>
    <t>DEMAND R</t>
  </si>
  <si>
    <t>LISTEN L</t>
  </si>
  <si>
    <t>LISTEN R</t>
  </si>
  <si>
    <t>OFFER L honor</t>
  </si>
  <si>
    <t>OFFER R respect</t>
  </si>
  <si>
    <t>OFFER L respect</t>
  </si>
  <si>
    <t>OFFER R honor</t>
  </si>
  <si>
    <t>Greedy corporations recklessly add to global warming with already catastrophic effects on the world’s most vulnerable.</t>
  </si>
  <si>
    <t>The US 2nd Amendment provides state militias to bear arms since it’s too dangerous to arm erratic individuals with lethal weapons.</t>
  </si>
  <si>
    <t>Life begins at birth. Women have the right to control their own bodies, including whether or not to carry a pregnancy to full term.</t>
  </si>
  <si>
    <t>Healthcare is a birth right, not just a privilege for those who can afford it. Government exists to guarantee this right to all.</t>
  </si>
  <si>
    <t>Hold police and prosecutors personally accountable for their many abuses of discretion, or just revamp the whole system.</t>
  </si>
  <si>
    <t>Government has a responsibility to ensure a safety net to protect the most vulnerable from an exploitive self-interested market.</t>
  </si>
  <si>
    <t>Since racism is “prejudice plus power,” it persists collectively among unenlightened white folks as a systemic problem.</t>
  </si>
  <si>
    <t>Statist pundits exaggerate how much humans can impact the climate to rationalize imposing more economic-stifling regulations.</t>
  </si>
  <si>
    <t>The 2nd Amendment guarantees the right to personally bear arms to check tyrannical government from its overreaching tendencies.</t>
  </si>
  <si>
    <t>Life begins at conception. The unborn have no voice, so we must be their voice to protect their right to live and reach their potential.</t>
  </si>
  <si>
    <t>My health is between me and my private providers, not bureaucrats nor activist judges driving up costs with excessive damage awards.</t>
  </si>
  <si>
    <t>Provide police and prosecutors with better tools to serve and protect the public from those lacking personal responsibility.</t>
  </si>
  <si>
    <t>Goods and services are best made available to the poor and to us all when government isn’t distorting the invisible hand of the market.</t>
  </si>
  <si>
    <t>Since racism is “judging people by their skin color,” it only persists as a problem on the far right and increasingly on the far left.</t>
  </si>
  <si>
    <t>AFFIRM L social</t>
  </si>
  <si>
    <t>AFFIRM R self</t>
  </si>
  <si>
    <t>AFFIRM L self</t>
  </si>
  <si>
    <t>AFFIRM R social</t>
  </si>
  <si>
    <t>WyS n</t>
  </si>
  <si>
    <t>WtD n</t>
  </si>
  <si>
    <t>W&amp;D n</t>
  </si>
  <si>
    <t>D&amp;W n</t>
  </si>
  <si>
    <t>DtW n</t>
  </si>
  <si>
    <t>DyN n</t>
  </si>
  <si>
    <t>WyS x</t>
  </si>
  <si>
    <t>WtD x</t>
  </si>
  <si>
    <t>W&amp;D x</t>
  </si>
  <si>
    <t>D&amp;W x</t>
  </si>
  <si>
    <t>DtW x</t>
  </si>
  <si>
    <t>DyN x</t>
  </si>
  <si>
    <t>Republicans who oppose undocumented migrants are essentially racist.</t>
  </si>
  <si>
    <t>Democrats who actively protect illegal aliens are essentially lawless.</t>
  </si>
  <si>
    <t>POSITION L</t>
  </si>
  <si>
    <t>POSITION R</t>
  </si>
  <si>
    <t>EASY ENTRY</t>
  </si>
  <si>
    <t>VETTED ENTRY</t>
  </si>
  <si>
    <t>GOV’T REGULATED</t>
  </si>
  <si>
    <t>GOV’T REGULATE</t>
  </si>
  <si>
    <t>DEREGULATE</t>
  </si>
  <si>
    <t>UNBORN RIGHTS</t>
  </si>
  <si>
    <t>REPRODUC. RIGHTS</t>
  </si>
  <si>
    <t>GOV’T ADMINISTER</t>
  </si>
  <si>
    <t>PRIVATE INSURER</t>
  </si>
  <si>
    <t>REFORM</t>
  </si>
  <si>
    <t>IMPROVE</t>
  </si>
  <si>
    <t>GOVERNMENT LED</t>
  </si>
  <si>
    <t>MARKET LED</t>
  </si>
  <si>
    <t>SYSTEMIC &amp; COMMON</t>
  </si>
  <si>
    <t>PERSONAL &amp; RARE</t>
  </si>
  <si>
    <t>Republicans get stuck on the profit motive that requires a steady supply of sick consumers.</t>
  </si>
  <si>
    <t>Democrats want to socialize medicine without individual accountability to health outcomes.</t>
  </si>
  <si>
    <t>Republicans too eagerly rely on one-size-fits-all police security to address social problems.</t>
  </si>
  <si>
    <t>Democrats too eagerly rely on impersonal legal answers to address personal problems.</t>
  </si>
  <si>
    <t>Republicans too willingly let big business dictate the norms of the economy in the name of capitalism.</t>
  </si>
  <si>
    <t>Democrats too willingly let big government dictate the norms of the economy in the name of socialism.</t>
  </si>
  <si>
    <t>Republicans are quick to overlook where racism persists.</t>
  </si>
  <si>
    <t>Most Republicans are climate deniers, greedy, bought by corporate interests.</t>
  </si>
  <si>
    <t>Most Democrats are climate alarmists, rationalizing to expand regulatory state.</t>
  </si>
  <si>
    <t>Limit greenhouse gas emissions further. Pass the Green New Deal. Follow the Paris Accords. Address climate crisis before it’s too late.</t>
  </si>
  <si>
    <t>Republicans are bought by the NRA and can only offer “thoughts and prayers” after mass killings.</t>
  </si>
  <si>
    <t>Democrats oppose individual gun ownership, as if only the state should legally own guns.</t>
  </si>
  <si>
    <t>Democrats are quick to see racism where it rarely exists.</t>
  </si>
  <si>
    <t>Shut down ICE! Stop building the wall. End racism at the border. Stop separating families &amp; caging children. Stop criminalizing being born elsewhere.</t>
  </si>
  <si>
    <t>Build the wall! Stem the tide of migrants, especially those who evade the law others dutifully follow. Then vet entry based on merit. MAGA!</t>
  </si>
  <si>
    <t>Limit gun possession to those who can pass a background check. Ban assault weapons. Close the gun show loophole.</t>
  </si>
  <si>
    <t>Respect the constitutional right for responsible citizens to own guns. Any gun safety legislation must not arbitrarily limit this right.</t>
  </si>
  <si>
    <t>Protect the right of women to control their own bodies. Keep funding Planned Parenthood. Don’t leave these women at the mercy of back alley coat hangers.</t>
  </si>
  <si>
    <t>Respect the sanctity of life. Inform new mothers of the consequences of an abortion. Compel her to pursue life-affirming alternatives like adoption.</t>
  </si>
  <si>
    <t>Ensure healthcare is affordable to all. Keep Obamacare in place or improve upon it with a single-payer expansion of Medicare.</t>
  </si>
  <si>
    <t>Trust market-based providers to competitively provide for our personalized healthcare needs. Pass tort reforms to lower costs.</t>
  </si>
  <si>
    <t>Stop police brutality. Fire racist cops. End criminalization of being addicted or mentally ill. Shut down the school-to-prison pipeline.</t>
  </si>
  <si>
    <t>Divert non-violent offenders into faith-based alternatives. Keep worst offenders out of our communities. Support police.</t>
  </si>
  <si>
    <t>Regulate the economy so it can effectively provide for us all and not just a wealthy few. Ensure a socialistic economy serves all.</t>
  </si>
  <si>
    <t>Deregulate the economy so it can efficiently produce whatever any individual demands. Ensure a capitalistic economy works for all.</t>
  </si>
  <si>
    <t>Check your white privilege. See how microaggressions traumatize.  Strengthen antidiscrimination laws. Consider reparations.</t>
  </si>
  <si>
    <t>Leave race out of policies, which is a debunked category. Decry black nationalism as much as white nationalism. End all racism.</t>
  </si>
  <si>
    <t>“I need to support others like me to move away from threats created by systemic inequities, and toward inclusive opportunities respecting our unique qualities.”</t>
  </si>
  <si>
    <t>“I need to be freer from threats of personal violence from outsiders, including foreign threats against the cohesion of my family and close-knit communities.”</t>
  </si>
  <si>
    <t>inclusion</t>
  </si>
  <si>
    <t>uniqueness</t>
  </si>
  <si>
    <t>cohesion</t>
  </si>
  <si>
    <t>security</t>
  </si>
  <si>
    <t>The more I honor your unmet self-need for security, I trust you’ll find it easier to respect our guarded self-need for uniqueness.</t>
  </si>
  <si>
    <t>The more I respect your guarded social-need for cohesion, I trust you’ll find it easier to honor our unmet social-need for inclusion.</t>
  </si>
  <si>
    <t>The more I respect your guarded self-need for uniqueness, I trust you’ll find it easier to honor our unmet self-need for security.</t>
  </si>
  <si>
    <t>The more I honor your unmet social-need for inclusion, I trust you’ll find it easier to respect our guarded social-need for cohesion.</t>
  </si>
  <si>
    <t>WIDE</t>
  </si>
  <si>
    <t>MID</t>
  </si>
  <si>
    <t>DEEP</t>
  </si>
  <si>
    <t>Guard cohesion: the more satisfied social-need</t>
  </si>
  <si>
    <t>Seek inclusion: to ease less satisfied social-need</t>
  </si>
  <si>
    <t>STEM ENTRY</t>
  </si>
  <si>
    <t>MERIT ENTRY</t>
  </si>
  <si>
    <t>NO ENTRY</t>
  </si>
  <si>
    <t>“I need to trust the environment stably provides for us all equally, and not exploited for a wealthy few at others’ future expense.”</t>
  </si>
  <si>
    <t>“I need to rely on the invisible hand of the market to balance personal economic interests with externalities affecting others.”</t>
  </si>
  <si>
    <t>trust</t>
  </si>
  <si>
    <t>self-responsibility</t>
  </si>
  <si>
    <t>economic cooperation</t>
  </si>
  <si>
    <t>self-determination</t>
  </si>
  <si>
    <t>The more I honor your unmet self-need for self-determination, I trust you’ll find it easier to respect our guarded self-need for self-responsibility.</t>
  </si>
  <si>
    <t>The more I respect your guarded social-need for economic cooperation, I trust you’ll find it easier to honor our unmet social-need for trust.</t>
  </si>
  <si>
    <t>The more I respect your guarded self-need for self-responsibility, I trust you’ll find it easier to honor our unmet self-need for self-determination.</t>
  </si>
  <si>
    <t>The more I honor your unmet social-need for trust, I trust you’ll find it easier to respect our guarded social-need for economic cooperation.</t>
  </si>
  <si>
    <t>“I need to be kept safe in public from traumatizing acts of individual gun violence, often by xenophobes targeting the vulnerably different.”</t>
  </si>
  <si>
    <t>“I need to provide my own localized safety from both random acts of individual violence and encroaching threats of collectivist tyranny.”</t>
  </si>
  <si>
    <t>ID group safety</t>
  </si>
  <si>
    <t>vulnerably different</t>
  </si>
  <si>
    <t>localized safety</t>
  </si>
  <si>
    <t>self-sufficiency</t>
  </si>
  <si>
    <t>The more I honor your unmet self-need for self-sufficiency, I trust you’ll find it easier to respect our guarded self-need to be vulnerably different.</t>
  </si>
  <si>
    <t>The more I respect your guarded social-need for localized safety, I trust you’ll find it easier to honor our unmet social-need for identity group safety.</t>
  </si>
  <si>
    <t>The more I respect your guarded self-need to be vulnerably different, I trust you’ll find it easier to honor our unmet self-need for self-sufficiency.</t>
  </si>
  <si>
    <t>The more I honor your unmet social-need for ID group safety, I trust you’ll find it easier to respect our guarded social-need for localized safety.</t>
  </si>
  <si>
    <t>“I need to freely access health care for my oft-controlled female body, including safe space to make the ultimate decision to end an unbearable pregnancy.”</t>
  </si>
  <si>
    <t>“I need to honor the sanctity of all life, including the yet to be born, who will never get to reach their life potential if voicelessly aborted by her seemingly selfish mother.”</t>
  </si>
  <si>
    <t>societal inclusion</t>
  </si>
  <si>
    <t>bodily autonomy</t>
  </si>
  <si>
    <t>familial bonding</t>
  </si>
  <si>
    <t>self-potential</t>
  </si>
  <si>
    <t>The more I respect your guarded social-need for familial bonding, I trust you’ll find it easier to honor our unmet social-need for societal inclusion.</t>
  </si>
  <si>
    <t>The more I respect your guarded self-need to be bodily autonomy, I trust you’ll find it easier to honor our unmet self-need for self-potential.</t>
  </si>
  <si>
    <t>The more I honor your unmet social-need for societal inclusion, I trust you’ll find it easier to respect our guarded social-need for familial bonding.</t>
  </si>
  <si>
    <t>“I need to access affordable healthcare that doesn’t force me further into debt, or force me to choose between my health and my other basic living needs.”</t>
  </si>
  <si>
    <t>“I need to freely choose my own health care providers to trust I can make optimal health care choices without bloated legal costs, long delays or other government inefficiencies.”</t>
  </si>
  <si>
    <t>affordable efficacy</t>
  </si>
  <si>
    <t>accessible efficiency</t>
  </si>
  <si>
    <t>optimal health</t>
  </si>
  <si>
    <t>basic health</t>
  </si>
  <si>
    <t>The more I honor your unmet self-need for optimal health, I trust you’ll find it easier to respect our guarded self-need to be basic health.</t>
  </si>
  <si>
    <t>The more I respect your guarded social-need for accessible efficiency, I trust you’ll find it easier to honor our unmet social-need for affordable efficacy.</t>
  </si>
  <si>
    <t>The more I respect your guarded self-need to be basic health, I trust you’ll find it easier to honor our unmet self-need for optimal health.</t>
  </si>
  <si>
    <t>The more I honor your unmet social-need for affordable efficacy, I trust you’ll find it easier to respect our guarded social-need for accessible efficiency.</t>
  </si>
  <si>
    <t>“I need to feel safe around law enforcement whose reactive rules of engagement easily trigger my trauma, provoking my defensiveness in ways often misread as a threat.”</t>
  </si>
  <si>
    <t>“I need to feel safe around others I don’t personally know who show a lack of personal responsibility, so I rely on responsive law enforcement to serve the justice needs of us all.”</t>
  </si>
  <si>
    <t>cultural inclusion</t>
  </si>
  <si>
    <t>legally different</t>
  </si>
  <si>
    <t>publicly safe</t>
  </si>
  <si>
    <t>personal responsibility</t>
  </si>
  <si>
    <t>The more I honor your unmet self-need for personal responsibility, I trust you’ll find it easier to respect our guarded self-need to be legally different.</t>
  </si>
  <si>
    <t>The more I respect your guarded social-need to be publicly safe, I trust you’ll find it easier to honor our unmet social-need for cultural nondiscrimination.</t>
  </si>
  <si>
    <t>The more I respect your guarded self-need to be legally different, I trust you’ll find it easier to honor our unmet self-need for personal responsibility.</t>
  </si>
  <si>
    <t>The more I honor your unmet social-need for cultural nondiscrimination, I trust you’ll find it easier to respect our guarded social-need to be publicly safe.</t>
  </si>
  <si>
    <t>“I need to securely access basic goods and services while kept safe from exploitation from better- resourced others in the marketplace.”</t>
  </si>
  <si>
    <t>“I need to freely exchange goods and services to reach my creative potential with little if any distraction from the imposing demands of others.”</t>
  </si>
  <si>
    <t>full economic participation</t>
  </si>
  <si>
    <t>market synergy</t>
  </si>
  <si>
    <t>creative potential</t>
  </si>
  <si>
    <t>The more I honor your unmet self-need for reaching creative potential, I trust you’ll find it easier to respect our guarded self-need to be vulnerably different.</t>
  </si>
  <si>
    <t>The more I respect your guarded social-need for market synergy, I trust you’ll find it easier to honor our unmet social-need for full economic participation.</t>
  </si>
  <si>
    <t>The more I respect your guarded self-need to be vulnerably different, I trust you’ll find it easier to honor our unmet self-need for reaching creative potential.</t>
  </si>
  <si>
    <t>The more I honor your unmet social-need for full economic participation, I trust you’ll find it easier to respect our guarded social-need for market synergy.</t>
  </si>
  <si>
    <t>“I need everyone to recognize where being ethnically different continues to exclude me/us in less obvious forms, limiting full inclusion in greater society.”</t>
  </si>
  <si>
    <t>“I need deeper ties not oversensitive to ethnic subtleties, which regrettably can appear exclusionary but is more inclusionary if you get to know me.”</t>
  </si>
  <si>
    <t>no ethnic discrimination</t>
  </si>
  <si>
    <t>culturally different</t>
  </si>
  <si>
    <t>deeper ties</t>
  </si>
  <si>
    <t>self-acceptance</t>
  </si>
  <si>
    <t>The more I honor your unmet self-need for self-acceptance, I trust you’ll find it easier to respect our guarded self-need to be ethnically different.</t>
  </si>
  <si>
    <t>The more I respect your guarded social-need for deeper ties, I trust you’ll find it easier to honor our unmet social-need for no ethnic discrimination.</t>
  </si>
  <si>
    <t>The more I respect your guarded self-need to be ethnically different, I trust you’ll find it easier to honor our unmet self-need for self-acceptance.</t>
  </si>
  <si>
    <t>The more I honor your unmet social-need for no ethnic discrimination, I trust you’ll find it easier to respect our guarded social-need for deeper ties.</t>
  </si>
  <si>
    <t>Let the first Republican male who has conceived, carried and birthed a child cast the first vote.</t>
  </si>
  <si>
    <t>Let every Democrat hear the muffled screams of every aborted child who will never get to vote.</t>
  </si>
  <si>
    <t>ECO-SOCIALISM ECOTAGE</t>
  </si>
  <si>
    <t>CLIMATE  CRISIS</t>
  </si>
  <si>
    <t>CARBON EXCHANGE</t>
  </si>
  <si>
    <t>NATURAL  CHANGE</t>
  </si>
  <si>
    <t>LEFTIST  ALARMIST HOAX</t>
  </si>
  <si>
    <t>ELITE HOAX OR ECO-FASCISM</t>
  </si>
  <si>
    <t>ARM THE POWERLESS</t>
  </si>
  <si>
    <t>GUN CONTROL AND MORE</t>
  </si>
  <si>
    <t>MONITORED  GUN RIGHTS</t>
  </si>
  <si>
    <t>MODERATED  GUN RIGHTS</t>
  </si>
  <si>
    <t>UNRESTRICTED  GUN RIGHTS</t>
  </si>
  <si>
    <t>ARM AGAINST INVADERS</t>
  </si>
  <si>
    <t>Freed from oppression: to ease less satisfied social-needs.</t>
  </si>
  <si>
    <t>Freed from tyranny: to ease less satisfied self-needs.</t>
  </si>
  <si>
    <t>Shared responsibility: to ease less satisfied social-needs.</t>
  </si>
  <si>
    <t>Personal responsibility: to ease less satisfied self-needs.</t>
  </si>
  <si>
    <t>OPPOSE ALL MISOGYNY</t>
  </si>
  <si>
    <t>MOTHER’S CHOICE</t>
  </si>
  <si>
    <t>EXCLUDE LATE TERM ONLY</t>
  </si>
  <si>
    <t>RARE EXCEPTIONS</t>
  </si>
  <si>
    <t>ONLY IF LIFE OF MOTHER AT RISK</t>
  </si>
  <si>
    <t>NO ABORTIONS NO EXCEPTIONS</t>
  </si>
  <si>
    <t>We need to fully protect women’s reproductive rights against misogynist attempts to control her body</t>
  </si>
  <si>
    <t>We need to trust the mother to make the best decision for her body and fetus throughout her pregnancy</t>
  </si>
  <si>
    <t>We need to trust the mother to decide what’s best as long as she acts before the final trimester</t>
  </si>
  <si>
    <t>We need to protect the unborn by allowing only rare exceptions like in cases of rape and incest</t>
  </si>
  <si>
    <t>We need to protect the unborn by allowing a termination only if the mother’s life is in peril</t>
  </si>
  <si>
    <t>We need to enshrine the sanctity of family life and allow no exceptions for terminating a pregnancy</t>
  </si>
  <si>
    <t>SOCIALIZED HEALTHCARE</t>
  </si>
  <si>
    <t>Nondiscrimination: to ease less satisfied social-needs.</t>
  </si>
  <si>
    <t>Life’s full potential: to ease less satisfied self-needs.</t>
  </si>
  <si>
    <t>MEDICARE  FOR ALL</t>
  </si>
  <si>
    <t>OBAMACARE HEALTH XCHNG</t>
  </si>
  <si>
    <t>ALTERNATE HEALTH XCHNG</t>
  </si>
  <si>
    <t>PRIVATE INSURANCE</t>
  </si>
  <si>
    <t>TRADITIONAL OR SINGLE-PAYER</t>
  </si>
  <si>
    <t>We need universal health care guaranteed by public ownership and admin of all health services</t>
  </si>
  <si>
    <t>We need to access health care as a right whether we can afford it or not, without risk of going into deep debt</t>
  </si>
  <si>
    <t>We need to work within the current health care system of trained providers with the Affordable Care Act</t>
  </si>
  <si>
    <t>We need to replace Obama-Care with a national or state level health exchange providing better choices</t>
  </si>
  <si>
    <t>We need to preserve our traditional system covered by private health insurers to choose our own providers</t>
  </si>
  <si>
    <t>We need reliable healthcare to guarantee the wellness of our people threatened by foreign pathologies</t>
  </si>
  <si>
    <t>Equal protection: to ease less satisfied social-needs.</t>
  </si>
  <si>
    <t>Personal freedom: to ease less satisfied self-needs.</t>
  </si>
  <si>
    <t>PRISON ABOLITION</t>
  </si>
  <si>
    <t>SOCIAL  JUSTICE FIRST</t>
  </si>
  <si>
    <t>FIRST STEP ACT REHABILITATION</t>
  </si>
  <si>
    <t>FIRST STEP ACT PUBLIC SAFETY</t>
  </si>
  <si>
    <t>MAKE AMERICA SAFE AGAIN</t>
  </si>
  <si>
    <t>KEEP SAFE  FROM GOV’T</t>
  </si>
  <si>
    <t>We need to replace the capitalist driven PIC with community-based responses to crime</t>
  </si>
  <si>
    <t>We need to dismantle systemic racism as a prime culprit behind mass incarceration</t>
  </si>
  <si>
    <t>We need to replace harsh punishment with rehab programs demonstrated to reduce recidivism</t>
  </si>
  <si>
    <t>We need to keep our communities safe by jailing the worst offenders and divert others into local programs</t>
  </si>
  <si>
    <t>We need to keep our communities safe by enabling individuals released from custody to better succeed</t>
  </si>
  <si>
    <t>We need less interference from law enforcement who oppose “domestic terrorism” over foreign threats</t>
  </si>
  <si>
    <t>Gov’t protection: to ease less satisfied social-needs.</t>
  </si>
  <si>
    <t>Self-responsibility: to ease less satisfied self-needs.</t>
  </si>
  <si>
    <t>SOCIALIST ECONOMY</t>
  </si>
  <si>
    <t>PROGRESSIVE TAXATION</t>
  </si>
  <si>
    <t>MODERATED ECONOMY</t>
  </si>
  <si>
    <t>MONITORED ECONOMY</t>
  </si>
  <si>
    <t>LAISSEZ FAIRE MARKET</t>
  </si>
  <si>
    <t>RESIST GLOBALISM</t>
  </si>
  <si>
    <t>We need to shift control for the means of production from elites to social owner-ship like coops &amp; employee owned businesses</t>
  </si>
  <si>
    <t>We need to tax the wealthy more to redistribute wealth where needed, for our economy to work for everybody</t>
  </si>
  <si>
    <t>We need to provide a public safety net for those our free market economy cannot save from slipping into poverty</t>
  </si>
  <si>
    <t>We need a free market to produce the goods and services we all need, with minimal state regulation to keep markets fair for all</t>
  </si>
  <si>
    <t>We need to deregulate the economy from state prying and allow the invisible hand of the market to lift all boats with cheaper goods &amp; services</t>
  </si>
  <si>
    <t>We need to let our people decide their own economic views in line with the fiscal challenges globalism forces them to locally endure</t>
  </si>
  <si>
    <t>STRUCTURAL &amp; PERVASIVE</t>
  </si>
  <si>
    <t>SYSTEMIC AND INTERSECTIONAL</t>
  </si>
  <si>
    <t>CULTURAL COMPETENCIES</t>
  </si>
  <si>
    <t>POST-RACIAL COLORBLIND</t>
  </si>
  <si>
    <t>PERSONAL YET RARE</t>
  </si>
  <si>
    <t>We need to consider reparations for slavery and compensate for any other shameful capitalist legacy</t>
  </si>
  <si>
    <t>We need others to see how systems of oppression intersect to compound trauma in our lives</t>
  </si>
  <si>
    <t xml:space="preserve">We need others to see room for improving each other’s cultural competencies when interacting with one another </t>
  </si>
  <si>
    <t>We need to celebrate the vast improvements in racial relationships and focus less on a past we cannot change</t>
  </si>
  <si>
    <t>We need all to see how racial discrimination now applies to whites who are increasingly disadvantaged</t>
  </si>
  <si>
    <t>Social equality: to ease less satisfied social-needs.</t>
  </si>
  <si>
    <t>We as nontraditional people feel systemically excluded from advantaged spaces by arbitrary national borders</t>
  </si>
  <si>
    <t>We need to admit most immigrants are desperate to leave situations largely of our interventionists making</t>
  </si>
  <si>
    <t>We need immigrants willing to do jobs citizens won’t and offer amnesty for citizenship after they show such merit</t>
  </si>
  <si>
    <t>We can offer amnesty to children born to illegal migrant parents after they show merit</t>
  </si>
  <si>
    <t>We need to limit migration to those first showing merit before crossing any of our sacred borders</t>
  </si>
  <si>
    <t>Nativist Americans feel smothered by excessive immigration, pressurizing already strained cohesion</t>
  </si>
  <si>
    <t>We feel powerless to stop capitalism from warming the climate and must resort to ecoterrorism to stop it</t>
  </si>
  <si>
    <t>We already see devastating effects of climate change and must act now before more lives get harmed</t>
  </si>
  <si>
    <t>We see climate change as a real problem that can be managed by cooperation between major contributors</t>
  </si>
  <si>
    <t>We admit it is possible human activity contributes to some climate change, but trust nature to correct it</t>
  </si>
  <si>
    <t>We see no compelling data to prove humans change the climate in a significant or any irreversible way</t>
  </si>
  <si>
    <t>We distrust any top-down pressure to give up our traditional ways, but to save earth for our own</t>
  </si>
  <si>
    <t>We cannot trust the police to always serve and protect the most vulnerable, so we arm to protect ourselves</t>
  </si>
  <si>
    <t>We consider gun licensing and other similar measures helpful, but arming the left could be a better balance</t>
  </si>
  <si>
    <t>We need to rely on the authority of the state to protect those most in danger from gun violence</t>
  </si>
  <si>
    <t>We need to protect gun rights by dealing with the few individuals most irresponsible with guns</t>
  </si>
  <si>
    <t>We need to protect law abiding patriots from all lawless threats against the good order of our nation</t>
  </si>
  <si>
    <t>We must be able to protect ourselves with arms from threats of invasion, from within and from without</t>
  </si>
  <si>
    <t>FOOD</t>
  </si>
  <si>
    <t>“I need sturdy shelter.”</t>
  </si>
  <si>
    <t>“I can room with others.”</t>
  </si>
  <si>
    <t>“I prefer to live alone.”</t>
  </si>
  <si>
    <t>HEALTH</t>
  </si>
  <si>
    <t>“If my copay isn’t too high.”</t>
  </si>
  <si>
    <t>“If my pharmacy carries it.”</t>
  </si>
  <si>
    <t>INCOME</t>
  </si>
  <si>
    <t>“I need my paycheck.”</t>
  </si>
  <si>
    <t>“I need more sales.”</t>
  </si>
  <si>
    <t>“I’d have more if wages were higher.”</t>
  </si>
  <si>
    <t>“I’d have more if taxes were lower.”</t>
  </si>
  <si>
    <t>SAFETY</t>
  </si>
  <si>
    <t>“I need fast protection.”</t>
  </si>
  <si>
    <t>“I need the law’s protection.”</t>
  </si>
  <si>
    <t>“I can better protect myself.”</t>
  </si>
  <si>
    <t>FUN</t>
  </si>
  <si>
    <t>"I'm bored."</t>
  </si>
  <si>
    <t>"I need some entertainment."</t>
  </si>
  <si>
    <t>core</t>
  </si>
  <si>
    <t>resource</t>
  </si>
  <si>
    <t>access</t>
  </si>
  <si>
    <t>PO</t>
  </si>
  <si>
    <t>TRAVEL</t>
  </si>
  <si>
    <t>WATER</t>
  </si>
  <si>
    <t>“I need a drink of water, or iced latte.”</t>
  </si>
  <si>
    <t>“I need a drink of water, or cold beer.”</t>
  </si>
  <si>
    <t>“I can dig my own well.”</t>
  </si>
  <si>
    <t>“I rely on regulated city water.”</t>
  </si>
  <si>
    <t>"Hopefully with good neighbors."</t>
  </si>
  <si>
    <t>"Hopefully far from the noisey city."</t>
  </si>
  <si>
    <t>“I need affordable medication.”</t>
  </si>
  <si>
    <t>“I need effective medication.”</t>
  </si>
  <si>
    <t>"I rely on public assistance."</t>
  </si>
  <si>
    <t>"I rely on my private insurance plan."</t>
  </si>
  <si>
    <t>"I can work harder to earn more."</t>
  </si>
  <si>
    <t>"I am at the mercy of my employer."</t>
  </si>
  <si>
    <t>"I can't always wait for the police."</t>
  </si>
  <si>
    <t>"I trust the police to protect us."</t>
  </si>
  <si>
    <t>"I can keep myself entertained."</t>
  </si>
  <si>
    <t>"I rely on others for entertainment."</t>
  </si>
  <si>
    <t>"I could go to the show in town."</t>
  </si>
  <si>
    <t>"I could watch a movie online."</t>
  </si>
  <si>
    <t>"I'm stuck."</t>
  </si>
  <si>
    <t>"I need to leave town."</t>
  </si>
  <si>
    <t>"I need to get to town."</t>
  </si>
  <si>
    <t>"I'll probably take the bus."</t>
  </si>
  <si>
    <t>"I'll probably drive my truck."</t>
  </si>
  <si>
    <t>"I usually rely on pubilc transport."</t>
  </si>
  <si>
    <t>HOUSING</t>
  </si>
  <si>
    <t>We all rely on something with water to restore fluid balance.</t>
  </si>
  <si>
    <t>"I'm thirsty."</t>
  </si>
  <si>
    <t>Persisting discrimination</t>
  </si>
  <si>
    <t>Trapped in white supremacy patterns with little if any hope of escape</t>
  </si>
  <si>
    <t>White shaming</t>
  </si>
  <si>
    <t>Loss of social status, job and perhaps career for unintentional slight</t>
  </si>
  <si>
    <t>OPPRESSION</t>
  </si>
  <si>
    <t>TYRANNY</t>
  </si>
  <si>
    <t>distress disintegrating social cohesion</t>
  </si>
  <si>
    <t>trauma preventing full social integration</t>
  </si>
  <si>
    <t>=</t>
  </si>
  <si>
    <t>&lt;</t>
  </si>
  <si>
    <t>L</t>
  </si>
  <si>
    <t>Trauma of white supremacy</t>
  </si>
  <si>
    <t>Dread of invasive culture</t>
  </si>
  <si>
    <t>Overwhelming disintegration of once cohesive supports</t>
  </si>
  <si>
    <t>Systemically targeted for exclusion if nonwhite</t>
  </si>
  <si>
    <t>Harmony Politics</t>
  </si>
  <si>
    <t>Afford a lawyer on retainer?</t>
  </si>
  <si>
    <t>Increasing natural catastrophes</t>
  </si>
  <si>
    <t>Devastating lives least capable to adjust to habitat impacts</t>
  </si>
  <si>
    <t>Trauma of mass shootings</t>
  </si>
  <si>
    <t>Vulnerabilities to xenophobic gun owners ("I could be shot next!")</t>
  </si>
  <si>
    <t>Forced pregnancies</t>
  </si>
  <si>
    <t>Threat to losing reproductive rights, having to resort to secrecy</t>
  </si>
  <si>
    <t>Left to die and suffer</t>
  </si>
  <si>
    <t>Risk crippling debt or worst from mounting medical bills</t>
  </si>
  <si>
    <t>Criminalized for being different</t>
  </si>
  <si>
    <t>Racial profiling, police brutality, onerous court fees, PIC</t>
  </si>
  <si>
    <t>Trapped in poverty cycles</t>
  </si>
  <si>
    <t>Slide deeper into debt and risk homelessness or worse</t>
  </si>
  <si>
    <t>Encroaching government tyranny</t>
  </si>
  <si>
    <t>Onerous environment regulations stifling property rights</t>
  </si>
  <si>
    <t>Defenseless without firearms</t>
  </si>
  <si>
    <t>Lose means to hold government overreach accountable</t>
  </si>
  <si>
    <t>Massive loss of innocence</t>
  </si>
  <si>
    <t>Mounting loss of newborn life (like Left's reaction to mass shootings)</t>
  </si>
  <si>
    <t>Loss of quality care</t>
  </si>
  <si>
    <t>Lose freedom to choose best options for health</t>
  </si>
  <si>
    <t>Violent criminals on the loose</t>
  </si>
  <si>
    <t>Targeted by violent felons, many from disintegrated communities</t>
  </si>
  <si>
    <t>Business failure</t>
  </si>
  <si>
    <t>Too many regulatory barriers to start &amp; grow a successful enterprise</t>
  </si>
  <si>
    <r>
      <rPr>
        <sz val="14"/>
        <color theme="8" tint="0.39997558519241921"/>
        <rFont val="Wingdings 3"/>
        <family val="1"/>
        <charset val="2"/>
      </rPr>
      <t>t</t>
    </r>
    <r>
      <rPr>
        <sz val="14"/>
        <color theme="8" tint="0.39997558519241921"/>
        <rFont val="Arial Narrow"/>
        <family val="2"/>
      </rPr>
      <t xml:space="preserve"> </t>
    </r>
    <r>
      <rPr>
        <sz val="14"/>
        <color theme="8" tint="0.39997558519241921"/>
        <rFont val="Arial Black"/>
        <family val="2"/>
      </rPr>
      <t>Wider relating</t>
    </r>
  </si>
  <si>
    <r>
      <rPr>
        <sz val="14"/>
        <color rgb="FFFF9999"/>
        <rFont val="Arial Black"/>
        <family val="2"/>
      </rPr>
      <t xml:space="preserve">Deeper relating </t>
    </r>
    <r>
      <rPr>
        <sz val="14"/>
        <color rgb="FFFF9999"/>
        <rFont val="Wingdings 3"/>
        <family val="1"/>
        <charset val="2"/>
      </rPr>
      <t>u</t>
    </r>
  </si>
  <si>
    <t>Premature rush to fight</t>
  </si>
  <si>
    <r>
      <rPr>
        <b/>
        <sz val="12"/>
        <color rgb="FF0070C0"/>
        <rFont val="Tahoma"/>
        <family val="2"/>
      </rPr>
      <t>WIDE</t>
    </r>
    <r>
      <rPr>
        <b/>
        <sz val="12"/>
        <color theme="1"/>
        <rFont val="Tahoma"/>
        <family val="2"/>
      </rPr>
      <t xml:space="preserve"> </t>
    </r>
    <r>
      <rPr>
        <b/>
        <sz val="12"/>
        <color rgb="FF00B050"/>
        <rFont val="Tahoma"/>
        <family val="2"/>
      </rPr>
      <t>strength</t>
    </r>
  </si>
  <si>
    <r>
      <rPr>
        <b/>
        <sz val="12"/>
        <color rgb="FF0070C0"/>
        <rFont val="Tahoma"/>
        <family val="2"/>
      </rPr>
      <t>WIDE</t>
    </r>
    <r>
      <rPr>
        <b/>
        <sz val="12"/>
        <color theme="1"/>
        <rFont val="Tahoma"/>
        <family val="2"/>
      </rPr>
      <t xml:space="preserve"> </t>
    </r>
    <r>
      <rPr>
        <b/>
        <sz val="12"/>
        <color rgb="FFFFFF00"/>
        <rFont val="Tahoma"/>
        <family val="2"/>
      </rPr>
      <t>weakness</t>
    </r>
  </si>
  <si>
    <r>
      <rPr>
        <b/>
        <sz val="12"/>
        <color rgb="FFC00000"/>
        <rFont val="Tahoma"/>
        <family val="2"/>
      </rPr>
      <t>DEEP</t>
    </r>
    <r>
      <rPr>
        <b/>
        <sz val="12"/>
        <color theme="1"/>
        <rFont val="Tahoma"/>
        <family val="2"/>
      </rPr>
      <t xml:space="preserve"> </t>
    </r>
    <r>
      <rPr>
        <b/>
        <sz val="12"/>
        <color rgb="FFFFFF00"/>
        <rFont val="Tahoma"/>
        <family val="2"/>
      </rPr>
      <t>weakness</t>
    </r>
  </si>
  <si>
    <r>
      <rPr>
        <b/>
        <sz val="12"/>
        <color rgb="FFC00000"/>
        <rFont val="Tahoma"/>
        <family val="2"/>
      </rPr>
      <t>DEEP</t>
    </r>
    <r>
      <rPr>
        <b/>
        <sz val="12"/>
        <color theme="1"/>
        <rFont val="Tahoma"/>
        <family val="2"/>
      </rPr>
      <t xml:space="preserve"> </t>
    </r>
    <r>
      <rPr>
        <b/>
        <sz val="12"/>
        <color rgb="FFFFFF00"/>
        <rFont val="Tahoma"/>
        <family val="2"/>
      </rPr>
      <t>threat</t>
    </r>
  </si>
  <si>
    <r>
      <rPr>
        <b/>
        <sz val="12"/>
        <color rgb="FF0070C0"/>
        <rFont val="Tahoma"/>
        <family val="2"/>
      </rPr>
      <t>WIDE</t>
    </r>
    <r>
      <rPr>
        <b/>
        <sz val="12"/>
        <color theme="1"/>
        <rFont val="Tahoma"/>
        <family val="2"/>
      </rPr>
      <t xml:space="preserve"> </t>
    </r>
    <r>
      <rPr>
        <b/>
        <sz val="12"/>
        <color rgb="FFFFFF00"/>
        <rFont val="Tahoma"/>
        <family val="2"/>
      </rPr>
      <t>threat</t>
    </r>
  </si>
  <si>
    <r>
      <rPr>
        <b/>
        <sz val="12"/>
        <color rgb="FF0070C0"/>
        <rFont val="Tahoma"/>
        <family val="2"/>
      </rPr>
      <t>WIDE</t>
    </r>
    <r>
      <rPr>
        <b/>
        <sz val="12"/>
        <color theme="1"/>
        <rFont val="Tahoma"/>
        <family val="2"/>
      </rPr>
      <t xml:space="preserve"> </t>
    </r>
    <r>
      <rPr>
        <b/>
        <sz val="12"/>
        <color rgb="FF00B050"/>
        <rFont val="Tahoma"/>
        <family val="2"/>
      </rPr>
      <t>opportunity</t>
    </r>
  </si>
  <si>
    <t>Wide S</t>
  </si>
  <si>
    <t>Wide W</t>
  </si>
  <si>
    <t>Wide O</t>
  </si>
  <si>
    <t>Wide T</t>
  </si>
  <si>
    <t>Deep S</t>
  </si>
  <si>
    <t>Deep W</t>
  </si>
  <si>
    <t>Deep O</t>
  </si>
  <si>
    <t>Deep T</t>
  </si>
  <si>
    <t>SELF-RESPONSIBILITY</t>
  </si>
  <si>
    <t>FAIR ACCESS</t>
  </si>
  <si>
    <t>SELF-DETERMINATION</t>
  </si>
  <si>
    <t>ECONOMIC COOPERATION</t>
  </si>
  <si>
    <t>VULNERABLY DIFFERENT</t>
  </si>
  <si>
    <t>ID GROUP SAFETY</t>
  </si>
  <si>
    <t>SELF-SUFFICIENCY</t>
  </si>
  <si>
    <t>LOCALIZED SAFETY</t>
  </si>
  <si>
    <t>BODILY AUTONOMY</t>
  </si>
  <si>
    <t>SELF-POTENTIAL</t>
  </si>
  <si>
    <t>FAMILIAL BONDING</t>
  </si>
  <si>
    <t>BASIC HEALTH</t>
  </si>
  <si>
    <t>AFFORDABLE EFFICACY</t>
  </si>
  <si>
    <t>OPTIMAL HEALTH</t>
  </si>
  <si>
    <t>ACCESSIBLE EFFICIENCY</t>
  </si>
  <si>
    <t>LEGALLY DIFFERENT</t>
  </si>
  <si>
    <t>CULTURAL INCLUSION</t>
  </si>
  <si>
    <t>PERSONAL RESPONSIBILITY</t>
  </si>
  <si>
    <t>PUBLICLY SAFE</t>
  </si>
  <si>
    <t>FULL ECONOMIC PARTICIPATION</t>
  </si>
  <si>
    <t>CREATIVE POTENTIAL</t>
  </si>
  <si>
    <t>MARKET SYNERGY</t>
  </si>
  <si>
    <t>CULTURALLY DIFFERENT</t>
  </si>
  <si>
    <t>NO ETHNIC DISCRIMINATION</t>
  </si>
  <si>
    <t>SELF-ACCEPTANCE</t>
  </si>
  <si>
    <t>DEEPER TIES</t>
  </si>
  <si>
    <t>I can buy it myself but must rely on many others in the market.</t>
  </si>
  <si>
    <t>You get your water from a bottle, while I from a tap.</t>
  </si>
  <si>
    <t>We all need</t>
  </si>
  <si>
    <t>but get it differently.</t>
  </si>
  <si>
    <t>"core"L</t>
  </si>
  <si>
    <t>"core"R</t>
  </si>
  <si>
    <t>"resource"L</t>
  </si>
  <si>
    <t>"resource"R</t>
  </si>
  <si>
    <t>"access"L</t>
  </si>
  <si>
    <t>"access"R</t>
  </si>
  <si>
    <t>"PO"L</t>
  </si>
  <si>
    <t>"PO"R</t>
  </si>
  <si>
    <t>"I'm hungry."</t>
  </si>
  <si>
    <t>"I'm cold."</t>
  </si>
  <si>
    <t>"I'm ill."</t>
  </si>
  <si>
    <t>"I'm broke."</t>
  </si>
  <si>
    <t>"I'm scared."</t>
  </si>
  <si>
    <t>We all feel the same need for bodily fluid balance.</t>
  </si>
  <si>
    <t>We all feel the same need for nutritional balance.</t>
  </si>
  <si>
    <t>We all feel the same need for temperature balance.</t>
  </si>
  <si>
    <t>We all feel the same need to purchase stuff.</t>
  </si>
  <si>
    <t>We all feel the same need for safety from threats.</t>
  </si>
  <si>
    <t>We all feel the same need for occasional excitement.</t>
  </si>
  <si>
    <t>We all feel the same need to get from place to place.</t>
  </si>
  <si>
    <t>You go to restaurants, while I cook my own meals.</t>
  </si>
  <si>
    <t>All our food comes to us through many handlers.</t>
  </si>
  <si>
    <t>Most of us rely on a roof over our head.</t>
  </si>
  <si>
    <t>You bought a house while I'm still renting.</t>
  </si>
  <si>
    <t>We get better using mostly the same medications.</t>
  </si>
  <si>
    <t>You receive a paycheck while I draw social security.</t>
  </si>
  <si>
    <t>We typically rely on law enforcement for protection.</t>
  </si>
  <si>
    <t>You trust the police to be helpful while I am less sure.</t>
  </si>
  <si>
    <t>We mostly rely on entertainment created by others.</t>
  </si>
  <si>
    <t>You go out to movies while I play video games online.</t>
  </si>
  <si>
    <t>Most of us rely on a car to get around.</t>
  </si>
  <si>
    <t>You own a car while I get around by bus.</t>
  </si>
  <si>
    <t>Most of us rely on the same basic foods to quell hunger.</t>
  </si>
  <si>
    <t>“I need affordable housing.”</t>
  </si>
  <si>
    <t>Thoroughly diverse</t>
  </si>
  <si>
    <t>"Hopefully far from the noisy city."</t>
  </si>
  <si>
    <t>You take aspirin while I take ibuprofen.</t>
  </si>
  <si>
    <t>Most of us rely on money in some form.</t>
  </si>
  <si>
    <t>“I need impartial protection.”</t>
  </si>
  <si>
    <t>"I need something amusing."</t>
  </si>
  <si>
    <t>"I always drive where I need to go."</t>
  </si>
  <si>
    <t>Each threat provokes its own particular reaction.</t>
  </si>
  <si>
    <t>I seek amusement from people I know and don't know.</t>
  </si>
  <si>
    <t>Different maladies require different health providers.</t>
  </si>
  <si>
    <t>I'm trusting all kinds of homebuilders to live here.</t>
  </si>
  <si>
    <t>I trust and distrust all kinds of people on the road.</t>
  </si>
  <si>
    <t>“Government serves the demand.”</t>
  </si>
  <si>
    <t>“The market ensures efficient supply.”</t>
  </si>
  <si>
    <t>W</t>
  </si>
  <si>
    <t>X</t>
  </si>
  <si>
    <t>Psychosocial orientation continuum</t>
  </si>
  <si>
    <t xml:space="preserve">Resolving </t>
  </si>
  <si>
    <t xml:space="preserve"> more than resolving </t>
  </si>
  <si>
    <t>autonomy</t>
  </si>
  <si>
    <t>authenticity</t>
  </si>
  <si>
    <t>independence</t>
  </si>
  <si>
    <t>initiative</t>
  </si>
  <si>
    <t>internal incentive</t>
  </si>
  <si>
    <t>personal freedom</t>
  </si>
  <si>
    <t>personal security</t>
  </si>
  <si>
    <t>privacy</t>
  </si>
  <si>
    <t>resilience</t>
  </si>
  <si>
    <t>self-efficacy</t>
  </si>
  <si>
    <t>self-expression</t>
  </si>
  <si>
    <t>self-purpose</t>
  </si>
  <si>
    <t>self-worth</t>
  </si>
  <si>
    <t>tenacity</t>
  </si>
  <si>
    <t>affection</t>
  </si>
  <si>
    <t>affirmation</t>
  </si>
  <si>
    <t>appreciation</t>
  </si>
  <si>
    <t>being understood</t>
  </si>
  <si>
    <t>belonging</t>
  </si>
  <si>
    <t>companionship</t>
  </si>
  <si>
    <t>cooperation</t>
  </si>
  <si>
    <t>dependability</t>
  </si>
  <si>
    <t>equal treatment</t>
  </si>
  <si>
    <t>friendship</t>
  </si>
  <si>
    <t>intimacy</t>
  </si>
  <si>
    <t>support</t>
  </si>
  <si>
    <t>synergy</t>
  </si>
  <si>
    <t xml:space="preserve">If not getting enough </t>
  </si>
  <si>
    <t xml:space="preserve">, you will naturally obsess more about </t>
  </si>
  <si>
    <t xml:space="preserve">. Reasoning has little to do with it. You can use reasoning for how to get the </t>
  </si>
  <si>
    <t xml:space="preserve"> you need, but there is no rational choice involved when nature prioritizes your urgent need for </t>
  </si>
  <si>
    <t xml:space="preserve"> you need completely on your own, or must you trust others?</t>
  </si>
  <si>
    <t>You naturally need to be able to address many of your needs on your own. You cannot always call on others for help.</t>
  </si>
  <si>
    <t>SELECT A SELF-NEED FROM THIS DROPDOWN LIST</t>
  </si>
  <si>
    <t>SELECT A SOCIAL-NEED FROM THIS DROPDOWN LIST</t>
  </si>
  <si>
    <t>THEN DETERMINE WHICH YOU EXPERIENCE AS MORE RESOLVED THAN THE OTHER</t>
  </si>
  <si>
    <t>RESET AFTER SELECTING A DIFFERENT SELF-NEED OR DIFFERENT SOCIAL-NEED</t>
  </si>
  <si>
    <t>. Emotions then rule.</t>
  </si>
  <si>
    <t>Getting paid doing what they love?</t>
  </si>
  <si>
    <t>The more I honor your unmet self-need for self-potential, I trust you’ll find it easier to respect our guarded self-need for bodily autonomy.</t>
  </si>
  <si>
    <t>Quick estimate your own psychosocial orientation, and see if it predicts your political outlook.</t>
  </si>
  <si>
    <t>The more you affirm my need for a stable climate, the easier to respect your need for unregulated self-determination.</t>
  </si>
  <si>
    <t>But the more you insist we can exploit the climate for money, the less I can serve your need for incentivized cooperation.</t>
  </si>
  <si>
    <t>The more you affirm my need for unregulated self-determination, the easier to respect your need for a lower carbon footprint.</t>
  </si>
  <si>
    <t>But the more you insist we submit to regulations, the less I can adopt your need for climate self-controls.</t>
  </si>
  <si>
    <t>W+</t>
  </si>
  <si>
    <t>W-</t>
  </si>
  <si>
    <t>D+</t>
  </si>
  <si>
    <t>D-</t>
  </si>
  <si>
    <t>The more you affirm my need to include worthy migrants, the easier to respect your need to stay safe from violent migrants.</t>
  </si>
  <si>
    <t>But the more you insist we all blend in to some melting pot, the less I can serve your need for local or national cohesion.</t>
  </si>
  <si>
    <t>The more you affirm my need to stay safe from lawless migrants, the easier to respect your need to include legitimate migrants.</t>
  </si>
  <si>
    <t>But the more you insist we compromise our national cohesion, the less I can accept their lack of acculturation.</t>
  </si>
  <si>
    <t>The more you affirm my need for safety from xenophobic gun violence, the easier to respect your need to arm yourselves.</t>
  </si>
  <si>
    <t>But the more you insist we be vulnerable without gun control, the less I can serve your need for locally controlled safety.</t>
  </si>
  <si>
    <t>The more you affirm my need to self-sufficiently arm myself, the easier to respect your need for gun control protections.</t>
  </si>
  <si>
    <t>But the more you insist we trust our safety to authorities, the less I can roll with your invasive background checks.</t>
  </si>
  <si>
    <t>The more you affirm my need to avoid stigmatization, the easier to respect your need to speak for the unborn.</t>
  </si>
  <si>
    <t>But the more you threaten my reproductive health, the less I can respect your need to curb demand for abortion.</t>
  </si>
  <si>
    <t>The more you affirm my need to speak for the unborn, the easier to respect your need to avoid becoming stigmatized.</t>
  </si>
  <si>
    <t>But the more our daughters have secret abortions, the less I can respect your need to access any abortion clinic.</t>
  </si>
  <si>
    <t>But the more you limit my access to basic affordable care, the less I can respect your need for market based healthcare.</t>
  </si>
  <si>
    <t>The more you affirm my need to optimize my health, the easier to respect your need for effective healthcare.</t>
  </si>
  <si>
    <t>The more you help us stop over-criminalizing our communities, the easier to respect your need to ease up legal restrictions.</t>
  </si>
  <si>
    <t>But the more you insist it's all about personal responsibility, the less I can serve your need for unfettered police patrols.</t>
  </si>
  <si>
    <t>The more you affirm my need for taking internal responsibility, the easier to respect your need to see external factors in crime.</t>
  </si>
  <si>
    <t>But the more you insist we reinvent public safety, the less certain I can see your needs as different from mine.</t>
  </si>
  <si>
    <t>The more you support our full economic participation, the easier to respect your need for incentivized productivity.</t>
  </si>
  <si>
    <t>But the more you insist we pull ourselves up by our bootstraps, the less I can trust your invisible hand of the market.</t>
  </si>
  <si>
    <t>The more you affirm my need for incentivized productivity, the easier to respect your need for full economic inclusion.</t>
  </si>
  <si>
    <t>But the more you insist we regulate all trade, the less I can accommodate your many cultural differences.</t>
  </si>
  <si>
    <t>The more you affirm my need to celebrate ethnic diversity, the easier to respect your need to be individualistically colorblind.</t>
  </si>
  <si>
    <t>But the more you insist we acculturate into white norms, the less I can defend you if implicated in racism.</t>
  </si>
  <si>
    <t>The more you affirm my need to put individuals over race, the easier to respect your need for seeing ethnic diversity.</t>
  </si>
  <si>
    <t>But the more you insist we're racist when alone together, the less I can honor your ethnic self-segregation.</t>
  </si>
  <si>
    <t>The more you affirm my need for guaranteed healthcare, the easier to respect your need to choose the best healthcare.</t>
  </si>
  <si>
    <t>But the more your health-care is a right I must cover, the less certain I can provide for your basic care.</t>
  </si>
  <si>
    <t>We freely choose our political positions after carefully reasoning each option.</t>
  </si>
  <si>
    <t>OR</t>
  </si>
  <si>
    <t>We're compelled to choose a political position that best fits our painful needs.</t>
  </si>
  <si>
    <t>SELECT YOUR ANSWER</t>
  </si>
  <si>
    <t>IN THE DROPDOWN MENU:</t>
  </si>
  <si>
    <t>RACE</t>
  </si>
  <si>
    <t>Your prioritizing psychosocial needs</t>
  </si>
  <si>
    <t>Yes, no one can fully fault their circumstances. We can always choose to respond to the worst of circumstances with disciplined reasoning. But that can never excuse imposing poor options onto others. Personal responsibility coexists with social responsibility. Politics polarize when failing to balance both.</t>
  </si>
  <si>
    <t>If reduced like this to individual choices, however, you ignore external factors under cover of reasoning. You can blame others for not reasoning choices best for you, but not for them or as available to them. You get to hate in the name of debate.</t>
  </si>
  <si>
    <t>MOUSE OVER, CLICK MOUSE, AND SELECT OPTION FROM THIS DROPDOWN LIST.</t>
  </si>
  <si>
    <t xml:space="preserve">INSTRUCTIONS: How to get the most from this </t>
  </si>
  <si>
    <t xml:space="preserve">Rational choice theory misapplied
</t>
  </si>
  <si>
    <t xml:space="preserve">Politics exist to express needs
</t>
  </si>
  <si>
    <t>This tool is interactive. Wherever you see a white field, select what best fits your experience. Then see how it changes the text below it. This text will be replaced when you select an option from the dropdown menu above.</t>
  </si>
  <si>
    <t>If freely choosing each political position, you enjoy a sense of personal freedom. You are master of your own fate. You are not compelled by anything, because that would just be an excuse to avoid the existential weight of personal responsibility.</t>
  </si>
  <si>
    <t>If compelled by painful needs, your political views resist reduction into mere beliefs. You do not choose the needs shaping your beliefs. Your needs exist and prioritize first from circumstance, and then find expression in available political views.</t>
  </si>
  <si>
    <t>Yes, no one can fully fault their circumstances or escape the reality of poor options from which to choose. No one can reduce to reasoned beliefs our contrasting priorities of personal and social needs. Personal responsibility coexists with social responsibility. Politics polarize when failing to balance both.</t>
  </si>
  <si>
    <t>This does not leave you at the mercy of circumstance, or without reasoning to rise above the worst of circumstances. You are indeed personally responsible for your choices in life, but not the narrow options imposed from outside of you. Otherwise you would get pulled into extremes.</t>
  </si>
  <si>
    <r>
      <t>Which do you</t>
    </r>
    <r>
      <rPr>
        <b/>
        <i/>
        <sz val="28"/>
        <color rgb="FFC00000"/>
        <rFont val="Arial"/>
        <family val="2"/>
      </rPr>
      <t xml:space="preserve"> </t>
    </r>
    <r>
      <rPr>
        <b/>
        <i/>
        <sz val="28"/>
        <color rgb="FF7030A0"/>
        <rFont val="Arial"/>
        <family val="2"/>
      </rPr>
      <t>think</t>
    </r>
    <r>
      <rPr>
        <b/>
        <sz val="28"/>
        <color rgb="FFC00000"/>
        <rFont val="Arial"/>
        <family val="2"/>
      </rPr>
      <t xml:space="preserve"> is more true?</t>
    </r>
  </si>
  <si>
    <t>I feel more socially accepted in public than at risk of societal rejection</t>
  </si>
  <si>
    <t>I feel more compelled to be loyal to others than compelled to express my unique self</t>
  </si>
  <si>
    <t>I feel more compelled to express my unique self than compelled to be loyal to others</t>
  </si>
  <si>
    <t>I feel my experiences are more in common with others than at odds with others</t>
  </si>
  <si>
    <t>I feel my experiences are more at odds with others than in common with others</t>
  </si>
  <si>
    <t>I feel more socially supported by my family than by those outside my family</t>
  </si>
  <si>
    <t xml:space="preserve">I feel more socially supported by those outside my family than by my family </t>
  </si>
  <si>
    <t>I feel more threatened by personal rejection than by systemic discrimination</t>
  </si>
  <si>
    <t>I feel more threatened by systemic discrimination than by personal rejection</t>
  </si>
  <si>
    <t>I feel more pressure to avoid offending others than pressure from being offended</t>
  </si>
  <si>
    <t>I feel more pressure from being offended than pressure to avoid offending others</t>
  </si>
  <si>
    <t>I feel more included in economic opportunities than excluded</t>
  </si>
  <si>
    <t>I feel more excluded from economic opportunities than included</t>
  </si>
  <si>
    <t>I feel more vulnerable from government intrusions than from widespread rejection</t>
  </si>
  <si>
    <t>I feel more vulnerable from widespread rejection than from government intrusions</t>
  </si>
  <si>
    <t>I feel more easily exploited by big business than by big government</t>
  </si>
  <si>
    <t>I feel more easily exploited by big government than by big business</t>
  </si>
  <si>
    <t>I feel more socially secure among those around me than personally free to be unique</t>
  </si>
  <si>
    <t>I feel more personally free to be unique than socially secure among those around me</t>
  </si>
  <si>
    <t>I feel more at risk of societal rejection than socially accepted in public</t>
  </si>
  <si>
    <t>“I need affordable meals.”</t>
  </si>
  <si>
    <t>“I need healthy options.”</t>
  </si>
  <si>
    <t>WIDE-YET-SHALLOW</t>
  </si>
  <si>
    <t>WIDE-THEN-DEEP</t>
  </si>
  <si>
    <t>DEEP-THEN-WIDE</t>
  </si>
  <si>
    <t>DEEP-YET-NARROW</t>
  </si>
  <si>
    <t>PROGRESSIVE LIBERAL</t>
  </si>
  <si>
    <t>CENTRIST LIBERAL</t>
  </si>
  <si>
    <t>CENTRIST CONSERVATIVE</t>
  </si>
  <si>
    <t>REACTIONARY CONSERVATIVE</t>
  </si>
  <si>
    <t>WIDE-AND-DEEP</t>
  </si>
  <si>
    <t>DEEP-AND-WIDE</t>
  </si>
  <si>
    <t>SOCIALIST</t>
  </si>
  <si>
    <t>FAR OR ALT-RIGHT</t>
  </si>
  <si>
    <t>5 to 10</t>
  </si>
  <si>
    <t>-3 to 0</t>
  </si>
  <si>
    <t>0 to 3</t>
  </si>
  <si>
    <t>-10 to -7</t>
  </si>
  <si>
    <t>-7 to -4</t>
  </si>
  <si>
    <t>4 to 7</t>
  </si>
  <si>
    <t xml:space="preserve">Your responses indicate you have a </t>
  </si>
  <si>
    <t xml:space="preserve"> psychosocial orientation. You likely express it best with </t>
  </si>
  <si>
    <t xml:space="preserve">You likely find the most comfort for your publicly affected needs among other like-minded </t>
  </si>
  <si>
    <t>Fill in each of these 10 blank fields above. Then check back here to find your estimated PSYCHOSOCIAL ORIENTATION. We all have one, shaped by our prioritizing needs. Then shaping our political views. What's yours?</t>
  </si>
  <si>
    <t>You likely find the most comfort for your publicly affected needs among other like-minded partisans and ideologues. Together, you oppose those of a different political outlook. Because they prioritize a clashing set of needs than yours. Your prioritized needs keep you different from their outlook, not reasoned arguments. But stubborn needs.</t>
  </si>
  <si>
    <t xml:space="preserve"> views. Your political outlook outwardly expresses your inward psychosocial orientation. </t>
  </si>
  <si>
    <t xml:space="preserve">I fully agree with this position </t>
  </si>
  <si>
    <t xml:space="preserve">I somewhat agree with this position </t>
  </si>
  <si>
    <t xml:space="preserve">I neither agree nor disagree with this position </t>
  </si>
  <si>
    <t xml:space="preserve">I somewhat disagree with this position </t>
  </si>
  <si>
    <t xml:space="preserve">I totally disagree with this position </t>
  </si>
  <si>
    <t>Your likely stance on IMMIGRATION:</t>
  </si>
  <si>
    <t>Your likely stance on CRIMINAL JUSTICE:</t>
  </si>
  <si>
    <t>.</t>
  </si>
  <si>
    <t>Your likely stance on CLIMATE CHANGE:</t>
  </si>
  <si>
    <t>Your likely stance on RACISM:</t>
  </si>
  <si>
    <t>Your likely stance on ECONOMY:</t>
  </si>
  <si>
    <t>Your likely stance on HEALTHCARE:</t>
  </si>
  <si>
    <t>Your likely stance on ABORTION:</t>
  </si>
  <si>
    <t>Your likely stance on GUN SAFETY:</t>
  </si>
  <si>
    <t>COMPLETE THE ITEMS ABOVE TO SEE RESULTS HERE.</t>
  </si>
  <si>
    <t>We need to deal with the few cases of racist acts and not exaggerate them for media sensationalism</t>
  </si>
  <si>
    <t>S. Together, you oppose those of a different political outlook. Because they prioritize a clashing set of needs than yours. Your prioritized needs keep you different from their outlook, not reasoned arguments. But stubborn needs.</t>
  </si>
  <si>
    <t>REVERSE RACISM</t>
  </si>
  <si>
    <t>a strong</t>
  </si>
  <si>
    <t>significant</t>
  </si>
  <si>
    <t>a moderate</t>
  </si>
  <si>
    <t>weak</t>
  </si>
  <si>
    <t>insignificant</t>
  </si>
  <si>
    <t xml:space="preserve">You show </t>
  </si>
  <si>
    <t>."</t>
  </si>
  <si>
    <t xml:space="preserve"> - "</t>
  </si>
  <si>
    <t xml:space="preserve">The more </t>
  </si>
  <si>
    <t xml:space="preserve">The more you generalize how we all should respond to the issue of </t>
  </si>
  <si>
    <t>The more you generalize how we all should respond to a politized issue, the less responsive you are to specific needs affected by that issue.</t>
  </si>
  <si>
    <t xml:space="preserve">The less responsive to specific needs affected by </t>
  </si>
  <si>
    <t xml:space="preserve">, the fewer of your </t>
  </si>
  <si>
    <t xml:space="preserve"> affected needs fully resolve</t>
  </si>
  <si>
    <t>The less responsive to specific needs affected by the political issue, the fewer of your affected needs can fully resolve.</t>
  </si>
  <si>
    <t xml:space="preserve">The fewer of your </t>
  </si>
  <si>
    <t xml:space="preserve"> issue you naturally suffer</t>
  </si>
  <si>
    <t>…</t>
  </si>
  <si>
    <t>The fewer of your issue affected needs fully resolve, the more pain around the issue you naturally suffer.</t>
  </si>
  <si>
    <t>The more pain around the issue you suffer, the more you generalize for relief with specifics-avoidant politics.</t>
  </si>
  <si>
    <t>The more you generalize for relief with specifics-avoidant politics…</t>
  </si>
  <si>
    <t xml:space="preserve">The more you generalize for relief with </t>
  </si>
  <si>
    <t xml:space="preserve"> politics, the less responsive you are to specific needs affected by </t>
  </si>
  <si>
    <t xml:space="preserve"> politics</t>
  </si>
  <si>
    <t xml:space="preserve">The more pain from unmet </t>
  </si>
  <si>
    <t xml:space="preserve"> needs, the more you generalize for relief with specifics-avoidant </t>
  </si>
  <si>
    <t xml:space="preserve"> affected needs fully resolve, the more pain around the </t>
  </si>
  <si>
    <t>So let's put that to the test. Read each political stance below, based on your answers above. Then click in the dropdown menu at the right of each item, to express how much you agree or disagree with the stated position. See the results below.</t>
  </si>
  <si>
    <t>We all feel the same need to be physically well.</t>
  </si>
  <si>
    <t xml:space="preserve">You demonstrate what anankelogy calls a "wide" psychosocial orientation. </t>
  </si>
  <si>
    <t xml:space="preserve">You demonstrate what anankelogy calls a "deep" psychosocial orientation. </t>
  </si>
  <si>
    <t xml:space="preserve">Your unmet social-needs pulls you to focus more on wider relationships, such as disadvantaged others you don't personally know. </t>
  </si>
  <si>
    <t xml:space="preserve">Your unmet self-needs pulls you to focus more on deeper relationships, like your nuclear family and devotion to God and country. </t>
  </si>
  <si>
    <t xml:space="preserve">You guard your more resolved social-needs, like group cohesion and loyalty. </t>
  </si>
  <si>
    <t xml:space="preserve">You guard your more resolved self-needs, like self-expression and authenticity. </t>
  </si>
  <si>
    <t xml:space="preserve"> correlation between your estimated psychosocial orientation and political views. </t>
  </si>
  <si>
    <t xml:space="preserve">The less you generalize for relief with </t>
  </si>
  <si>
    <t xml:space="preserve"> politics, the more responsive you are to specific needs affected by </t>
  </si>
  <si>
    <t xml:space="preserve">The more responsive to specific needs affected by </t>
  </si>
  <si>
    <t xml:space="preserve">, the more of your </t>
  </si>
  <si>
    <t xml:space="preserve">The more of your </t>
  </si>
  <si>
    <t xml:space="preserve"> affected needs fully resolve, the less pain around the </t>
  </si>
  <si>
    <t xml:space="preserve">The less pain from unmet </t>
  </si>
  <si>
    <t xml:space="preserve"> needs, the less you generalize for relief by using </t>
  </si>
  <si>
    <t xml:space="preserve"> politics as a stepping stone to address overlooked specifics.</t>
  </si>
  <si>
    <t xml:space="preserve">The less you generalize how we all should respond to the issue of </t>
  </si>
  <si>
    <t>Degeneralizing cycle cultivating love</t>
  </si>
  <si>
    <t>Generalizing cycle allowing hate</t>
  </si>
  <si>
    <t xml:space="preserve">Generalizing lets us build coalitions, by avoiding messy specifics that could undercut unifying agreement. Coalitions attract support to shape public policy around </t>
  </si>
  <si>
    <t xml:space="preserve">But generalizations gloss over the specifics necessary to fully resolve underlying needs, which would then remove the pain. </t>
  </si>
  <si>
    <t>The more you generalize, the more you feel the need to generalize, slipping into a vicious cycle.</t>
  </si>
  <si>
    <t xml:space="preserve">But alienation traps us into relying on impersonal laws to redress one another's affected needs. </t>
  </si>
  <si>
    <t xml:space="preserve">The more you remain alienated from others, the less you can resolve needs affecting each other, trapping you into a vicious cycle. </t>
  </si>
  <si>
    <t xml:space="preserve">But polarization easily sinks into mutual defensiveness that shuts down meaningful resolution of each other's affected needs. </t>
  </si>
  <si>
    <t xml:space="preserve">The more at odds with each other, the longer it can take to resolve needs, leaving you stuck in a vicious cycle. </t>
  </si>
  <si>
    <t xml:space="preserve">the issue of </t>
  </si>
  <si>
    <t>2. DEALIENATE</t>
  </si>
  <si>
    <t>1. DEGENERALIZE</t>
  </si>
  <si>
    <t>3. DEPOLARIZE</t>
  </si>
  <si>
    <t>Polarizing cycle deepening hate</t>
  </si>
  <si>
    <t>Depolarizing cycle encouraging love</t>
  </si>
  <si>
    <t>Dealienating cycle incentizing love</t>
  </si>
  <si>
    <t>Alienating cycle provoking hate</t>
  </si>
  <si>
    <t xml:space="preserve">, the more you rely on constricting laws about </t>
  </si>
  <si>
    <t xml:space="preserve">The more you rely on laws about </t>
  </si>
  <si>
    <t xml:space="preserve">, the less you engage others impacted by </t>
  </si>
  <si>
    <t xml:space="preserve">The less you engage others impacted by </t>
  </si>
  <si>
    <t xml:space="preserve">, the more you alienate others when addressing </t>
  </si>
  <si>
    <t xml:space="preserve">The less </t>
  </si>
  <si>
    <t xml:space="preserve">The more you alienate others when addressing </t>
  </si>
  <si>
    <t xml:space="preserve">, the less aware of other's needs impacted by </t>
  </si>
  <si>
    <t xml:space="preserve">The less aware of other's </t>
  </si>
  <si>
    <t xml:space="preserve"> impacted needs…</t>
  </si>
  <si>
    <t xml:space="preserve">The less aware of other’s needs impacted by </t>
  </si>
  <si>
    <t xml:space="preserve">The more aware of other’s needs impacted by </t>
  </si>
  <si>
    <t xml:space="preserve">, the less you rely on constricting laws about </t>
  </si>
  <si>
    <t xml:space="preserve">The less you rely on laws about </t>
  </si>
  <si>
    <t xml:space="preserve">, the more you engage others impacted by </t>
  </si>
  <si>
    <t xml:space="preserve">The more you engage others impacted by </t>
  </si>
  <si>
    <t xml:space="preserve">, the less you alienate others when addressing </t>
  </si>
  <si>
    <t xml:space="preserve">The less you alienate others when addressing </t>
  </si>
  <si>
    <t xml:space="preserve">, the more aware of other's needs impacted by </t>
  </si>
  <si>
    <t xml:space="preserve">The more aware of other's </t>
  </si>
  <si>
    <t>The less you generalize how we all should respond to a politized issue, the more responsive you are to specific needs affected by that issue.</t>
  </si>
  <si>
    <t>The more responsive to specific needs affected by the political issue, the morer of your affected needs can fully resolve.</t>
  </si>
  <si>
    <t>The more of your issue affected needs fully resolve, the less pain around the issue you naturally suffer.</t>
  </si>
  <si>
    <t>The less pain around the issue you suffer, the less you generalize for relief with specifics-avoidant politics.</t>
  </si>
  <si>
    <t>The less you generalize for relief with specifics-avoidant politics…</t>
  </si>
  <si>
    <t>aware of other's impacted needs by that issue…</t>
  </si>
  <si>
    <t>you rely on constricting laws for that issue.</t>
  </si>
  <si>
    <t xml:space="preserve">the more </t>
  </si>
  <si>
    <t xml:space="preserve">you rely on laws for that political issue, </t>
  </si>
  <si>
    <t xml:space="preserve">you engagage others impacted by that political issue, </t>
  </si>
  <si>
    <t xml:space="preserve">you alienate others when addressing that political issue, </t>
  </si>
  <si>
    <t xml:space="preserve">the less </t>
  </si>
  <si>
    <t>aware of other's needs affected by that issue.</t>
  </si>
  <si>
    <t>you alienate others when addressing that issue.</t>
  </si>
  <si>
    <t xml:space="preserve">aware of other's needs impacted by a politial issue, </t>
  </si>
  <si>
    <t>you engage others impacted by that particular issue.</t>
  </si>
  <si>
    <t xml:space="preserve">The more you overstate their differences on </t>
  </si>
  <si>
    <t xml:space="preserve">, the more you depict their errors with </t>
  </si>
  <si>
    <t xml:space="preserve"> as typical</t>
  </si>
  <si>
    <t xml:space="preserve">The more you depict their errors with </t>
  </si>
  <si>
    <t xml:space="preserve"> as typical, the more guarded you get toward their views on </t>
  </si>
  <si>
    <t xml:space="preserve">The more guarded you get toward their views on </t>
  </si>
  <si>
    <t xml:space="preserve"> the more they get defensive toward your views on </t>
  </si>
  <si>
    <t xml:space="preserve">The more they get defensive toward your views on </t>
  </si>
  <si>
    <t xml:space="preserve">, the more you overstate their differences on </t>
  </si>
  <si>
    <t xml:space="preserve">you overstate their differences on a politial issue, </t>
  </si>
  <si>
    <t>you depict their errors with that issue as typical.</t>
  </si>
  <si>
    <t xml:space="preserve">you depict their errors with that issue as typical, </t>
  </si>
  <si>
    <t>guarded you get toward their views on that particular issue.</t>
  </si>
  <si>
    <t xml:space="preserve">guarded you get toward their views on that political issue, </t>
  </si>
  <si>
    <t>they get defensive toward your views on that issue.</t>
  </si>
  <si>
    <t xml:space="preserve">they get defensive toward you views on that political issue, </t>
  </si>
  <si>
    <t>you overstate their differences on that issue.</t>
  </si>
  <si>
    <t>more you overstate these differences on that issue…</t>
  </si>
  <si>
    <t xml:space="preserve">The less you overstate their differences on </t>
  </si>
  <si>
    <t xml:space="preserve">The less you depict their errors with </t>
  </si>
  <si>
    <t xml:space="preserve">The less guarded you get toward their views on </t>
  </si>
  <si>
    <t xml:space="preserve">The less they get defensive toward your views on </t>
  </si>
  <si>
    <t xml:space="preserve">, the less you depict their errors with </t>
  </si>
  <si>
    <t xml:space="preserve"> as typical, the less guarded you get toward their views on </t>
  </si>
  <si>
    <t xml:space="preserve"> the less they get defensive toward your views on </t>
  </si>
  <si>
    <t xml:space="preserve">, the less you overstate their differences on </t>
  </si>
  <si>
    <t>If we improve access to affordable healthcare, I will respect how it could impact your current healthcare.</t>
  </si>
  <si>
    <t>If we maintain our traditional healthcare plans, I will respect its impact on your struggle to access affordable healthcare.</t>
  </si>
  <si>
    <t>If we lose our traditional insurance plans, I will expect you to appreciate the impact on our health maintenance.</t>
  </si>
  <si>
    <t>If we fail to meaningfully improve criminal justice, I will expect you to appreciate any impact on our over-policed lives.</t>
  </si>
  <si>
    <t>If subjected to extreme changes in criminal justice, I will expect you to appreciate its impact when rates of violence rise.</t>
  </si>
  <si>
    <t>If we raise taxes to pay for social programs, I will respect its potential to disincentivize your productivity.</t>
  </si>
  <si>
    <t>If we lose social programs to tax cuts benefitting mostly the wealthy, I will expect you to appreciate its painful impact on us.</t>
  </si>
  <si>
    <t>If we allow freer trade by rolling back onerous regulations, I will respect its impact on what such regulations meant for you.</t>
  </si>
  <si>
    <t xml:space="preserve">If </t>
  </si>
  <si>
    <t>If we improve criminal justice only where needed most, I will respect your fears these improvements may not be enough.</t>
  </si>
  <si>
    <t>If we fail to alert enough people of systemic racism, I will expect you to appreciate how race-based trauma still ruins lives.</t>
  </si>
  <si>
    <t>If we steadily decrease incidents of personal racism, I will respect efforts to reduce broader forms of race-based discrimination.</t>
  </si>
  <si>
    <t>If forced to pay higher taxes to pay for your social programs, I will expect you to appreciate the coercive drop in our productivity.</t>
  </si>
  <si>
    <t>If we win [TEXT], I will respect [ITS IMPACT...]</t>
  </si>
  <si>
    <t>If we [LOSE/FAIL...],I will expect you to appreciate [IMPACT].</t>
  </si>
  <si>
    <t xml:space="preserve">If we win </t>
  </si>
  <si>
    <t xml:space="preserve">I will respect </t>
  </si>
  <si>
    <t xml:space="preserve">I will expect you to appreciate </t>
  </si>
  <si>
    <t xml:space="preserve">If we </t>
  </si>
  <si>
    <t xml:space="preserve">for immigrants crossing the border, </t>
  </si>
  <si>
    <t>its impact on your border security concerns.</t>
  </si>
  <si>
    <t xml:space="preserve">lose immigrant rights, </t>
  </si>
  <si>
    <t>how devastating this can be to our impacted families and communities.</t>
  </si>
  <si>
    <t xml:space="preserve">at border security, </t>
  </si>
  <si>
    <t>its impact on the immigrants you care about crossing the border.</t>
  </si>
  <si>
    <t xml:space="preserve">lose border security, </t>
  </si>
  <si>
    <t xml:space="preserve">with environmental controls, </t>
  </si>
  <si>
    <t>how they impact your strenuously regulated life.</t>
  </si>
  <si>
    <t xml:space="preserve">fail to stem climate change, </t>
  </si>
  <si>
    <t>the alarming impact on our affected habitats.</t>
  </si>
  <si>
    <t xml:space="preserve">allow nature to correct itself, </t>
  </si>
  <si>
    <t>how my deregulated business could impact you.</t>
  </si>
  <si>
    <t xml:space="preserve">subjected further to onereous regulations, </t>
  </si>
  <si>
    <t>my reduced capacity to provide for you.</t>
  </si>
  <si>
    <t xml:space="preserve">strengthen gun control, </t>
  </si>
  <si>
    <t>its impact on your right and need to arm yourself.</t>
  </si>
  <si>
    <t xml:space="preserve">lose gun control, </t>
  </si>
  <si>
    <t>my fears of gun violence with each mass shooting.</t>
  </si>
  <si>
    <t xml:space="preserve">lose gun rights, </t>
  </si>
  <si>
    <t>its impact on my right and need to arm myself.</t>
  </si>
  <si>
    <t xml:space="preserve">reproductive rights, </t>
  </si>
  <si>
    <t>its impact on your need to give voice to the unborn.</t>
  </si>
  <si>
    <t xml:space="preserve">lose reproductive rights, </t>
  </si>
  <si>
    <t>its impact on our reproductive health needs.</t>
  </si>
  <si>
    <t xml:space="preserve">rights for the unborn, </t>
  </si>
  <si>
    <t xml:space="preserve">its impact on your reproductive health needs. </t>
  </si>
  <si>
    <t xml:space="preserve">lose rights for the unborn, </t>
  </si>
  <si>
    <t>its impact on the voiceless unborn.</t>
  </si>
  <si>
    <t>your trauma from various forms of gun violence.</t>
  </si>
  <si>
    <t>If we lose access to affordable healthcare, I will expect you to appreciate its impact on our health security.</t>
  </si>
  <si>
    <t>If we radically change policing and prosecutions, I will respect your anxiety about potentially increased rates of violence.</t>
  </si>
  <si>
    <t>If we raise awareness of systemic forms of racism, I will respect the risk of stigmatizing you for unintentional ethnic slights.</t>
  </si>
  <si>
    <t>If coerced into racial hypervigilance, I will expect you to appreciate my hard work to reduce personal acts of racism.</t>
  </si>
  <si>
    <t xml:space="preserve">I affirm your need for secure borders. And thank you for any affirmation of our need to travel freely despite status. </t>
  </si>
  <si>
    <t>I need you to feel the desperte needs of these migrants without painting them all as violent lawbreakers.</t>
  </si>
  <si>
    <t>Perhaps we can do better to screen out the most violent of these migrants who exploit our generosity.</t>
  </si>
  <si>
    <t>I need you to feel the pain of families here who have lost a loved one due to violence from illegitimate migrants.</t>
  </si>
  <si>
    <t>Perhaps we can do better to merit actual cases of migrants whose lives are at risk due to our actions.</t>
  </si>
  <si>
    <t>I need you to feel the mounting stress of small business owners choked by onerous environmental impact regulations.</t>
  </si>
  <si>
    <t>I need you to feel the despertation of the vulnerable who cannot easily relocate when their environment collapses.</t>
  </si>
  <si>
    <t>Perhaps we can do better to shift the burden of environmental impact regs away from those least able to bear them alone.</t>
  </si>
  <si>
    <t>Perhaps we can do better to identify those most vulnerable to environmental changes and who may need to relocate.</t>
  </si>
  <si>
    <t xml:space="preserve">I affirm your need to arm yourself with a standard firearm. And thank you for affirming our need to stem gun violence. </t>
  </si>
  <si>
    <t>I affirm your need to stem gun violence. And thank you for affirming our need to legitimately arm ourselves.</t>
  </si>
  <si>
    <t xml:space="preserve">I need you to feel the trauma of being shot, or the fear of my child getting shot at school, or losing a loved one to gun violence. </t>
  </si>
  <si>
    <t>Perhaps we can do better to sort out legitimate firearm self-defense from those abusing access to guns to harm others.</t>
  </si>
  <si>
    <t>Perhaps we can do better to keep the most violent among us from accessing lethal firearms.</t>
  </si>
  <si>
    <t>W=</t>
  </si>
  <si>
    <t>D=</t>
  </si>
  <si>
    <r>
      <t>W</t>
    </r>
    <r>
      <rPr>
        <sz val="9"/>
        <color theme="1"/>
        <rFont val="Calibri"/>
        <family val="2"/>
      </rPr>
      <t>−</t>
    </r>
  </si>
  <si>
    <r>
      <t>D</t>
    </r>
    <r>
      <rPr>
        <sz val="9"/>
        <color theme="1"/>
        <rFont val="Calibri"/>
        <family val="2"/>
      </rPr>
      <t>−</t>
    </r>
  </si>
  <si>
    <t>I need you to feel the constant threat of government overreach I endure, checked first by our right to personally defend ourselves.</t>
  </si>
  <si>
    <t xml:space="preserve">to counter gun control, </t>
  </si>
  <si>
    <t>I affirm your need to access reproductive health services. And thank you for affirming our need to protect the voiceless unborn.</t>
  </si>
  <si>
    <t>I affirm your need for lowering our impact on the environment. And thank you for affirming our need to roll back stifling regulations.</t>
  </si>
  <si>
    <t>I affirm your need for protecting the voiceless unborn. And thank you for affirming our need to access reproductive health services.</t>
  </si>
  <si>
    <t>I need you to feel the frustration of walking into a clinic and feeling stigmatized for prioritizing my health.</t>
  </si>
  <si>
    <t>I need you to feel the alarm of countless unnecessary terminations who potentially could develop into meaningful lives.</t>
  </si>
  <si>
    <t>Perhaps we can do better to consider all available newborn options before committing to that irreversible option.</t>
  </si>
  <si>
    <t>Perhaps we can do better to make healthcare accessible to all, without obligating every taxpayer to enable poor health habits.</t>
  </si>
  <si>
    <t>I affirm your need to access your own chosen healthcare providers. And thank you for affirming our need to access affordable care without precondition.</t>
  </si>
  <si>
    <t>I affirm your need to help migrants flee violence potentially of our making. And thank you for affirming our need to not import such violence.</t>
  </si>
  <si>
    <t>I affirm your need to access affordable healthcare. And thank you for affirming our need for maintaining responsible choices in healthcare.</t>
  </si>
  <si>
    <t>Perhaps we can do better to make healthcare accessible to all, to ensure anyone can receive the basic healthcare they need.</t>
  </si>
  <si>
    <t>I need you to feel the anxiety of choosing between expensive healthcare by going deeper into debt, or going without.</t>
  </si>
  <si>
    <t>I need you to feel the anger of having to pay higher taxes to cover expensive care for other's irresponbible health choices.</t>
  </si>
  <si>
    <t>Perhaps we can do better to provide reproductive health services without stigmatizing women for considering that irreversible option.</t>
  </si>
  <si>
    <t>I affirm your need for protection from individual acts of violence. And thank you for affirming our need to be kept safe from over-policing.</t>
  </si>
  <si>
    <t>I affirm your need to be safe from over-policing and over-prosecutions. And thank you for affirming our need to be kept safe from violent offenders.</t>
  </si>
  <si>
    <t>I need you to feel the insecurity of being targeted by violent ex-felons who repeatedly violate our property, safety and even our lives.</t>
  </si>
  <si>
    <t>I need you to feel the hopelessness of constant police profiling, its risk of police brutality and even traumatic police shootings.</t>
  </si>
  <si>
    <t>Perhaps we can do better to prevent recidivism without resorting to draconian prison sentences or other reactionary practices.</t>
  </si>
  <si>
    <t>Perhaps we can do better to stem violence without assuming every criminal act stems solely from a bad personal choice ignoring good options.</t>
  </si>
  <si>
    <t xml:space="preserve">I affirm your need for a stable habitat. And thank you for affirming our need to reduce government involvement in our otherwise industrious lives. </t>
  </si>
  <si>
    <t>I affirm your need to conduct your lives with minimal government interventions. And I thank you for affirming our need for a natural and stable habitat for all.</t>
  </si>
  <si>
    <t>I need you to feel the uncertainty our children and their children will ever be able to live on earth as adults the way we have.</t>
  </si>
  <si>
    <t>I need you to feel the tyranny of government's drip, drip, drip of increasing environmental regulations, smothering our private lives.</t>
  </si>
  <si>
    <t>Perhaps we can do better to reduce climate change without imposing regulations on those less able to adjust to them.</t>
  </si>
  <si>
    <t>Perhaps we can do better to optimize natural resources in ways that create the least impact on the world's rising temperatures.</t>
  </si>
  <si>
    <t>I affirm your need not to be shamed for every slight and ethnic insensitivity. And thank you for affirming our need to address less obvious forms of racism.</t>
  </si>
  <si>
    <t>I affirm your need to address less visible prejudices. And thank you for affirming our need not to be shamed for every unintentional slight.</t>
  </si>
  <si>
    <t>I need you to feel the trauma of being singled out for darker skin, even if done unconsciously or without ill intent.</t>
  </si>
  <si>
    <t>I need you to feel the stigmatization when labelled a racist, simply for making an unintentional race-affecting mistake.</t>
  </si>
  <si>
    <t>Perhaps we can do better to not stigmatize anyone for their unintentional mistakes, who honestly seek to improve if not labelled as bad.</t>
  </si>
  <si>
    <t>Perhaps we can do better to be sensitive to sublte forms of race-baced prejudices, and not get so defensive when it's called out.</t>
  </si>
  <si>
    <r>
      <t xml:space="preserve">Let's reverse each cycle. Let's DEGENERALIZE with </t>
    </r>
    <r>
      <rPr>
        <b/>
        <sz val="10"/>
        <color theme="1"/>
        <rFont val="Arial Narrow"/>
        <family val="2"/>
      </rPr>
      <t>relational knowing</t>
    </r>
    <r>
      <rPr>
        <sz val="10"/>
        <color theme="1"/>
        <rFont val="Arial Narrow"/>
        <family val="2"/>
      </rPr>
      <t xml:space="preserve">. Let's DEALIENATE with </t>
    </r>
    <r>
      <rPr>
        <b/>
        <sz val="10"/>
        <color theme="1"/>
        <rFont val="Arial Narrow"/>
        <family val="2"/>
      </rPr>
      <t>impact engaging</t>
    </r>
    <r>
      <rPr>
        <sz val="10"/>
        <color theme="1"/>
        <rFont val="Arial Narrow"/>
        <family val="2"/>
      </rPr>
      <t xml:space="preserve">. Let's DEPOLARIZE with </t>
    </r>
    <r>
      <rPr>
        <b/>
        <sz val="10"/>
        <color theme="1"/>
        <rFont val="Arial Narrow"/>
        <family val="2"/>
      </rPr>
      <t>value framing</t>
    </r>
    <r>
      <rPr>
        <sz val="10"/>
        <color theme="1"/>
        <rFont val="Arial Narrow"/>
        <family val="2"/>
      </rPr>
      <t>. Each explained below. Let's replace this hate with love.</t>
    </r>
  </si>
  <si>
    <t>Leftward stance</t>
  </si>
  <si>
    <t>Rightward stance</t>
  </si>
  <si>
    <t xml:space="preserve">My need for </t>
  </si>
  <si>
    <t>Psychosocial continuum</t>
  </si>
  <si>
    <t>Call for empathy</t>
  </si>
  <si>
    <r>
      <rPr>
        <b/>
        <sz val="24"/>
        <color rgb="FFFFFF00"/>
        <rFont val="Arial Narrow"/>
        <family val="2"/>
      </rPr>
      <t>Pain</t>
    </r>
    <r>
      <rPr>
        <b/>
        <sz val="24"/>
        <color theme="0"/>
        <rFont val="Arial Narrow"/>
        <family val="2"/>
      </rPr>
      <t xml:space="preserve"> is </t>
    </r>
    <r>
      <rPr>
        <b/>
        <i/>
        <sz val="24"/>
        <color theme="0"/>
        <rFont val="Arial Narrow"/>
        <family val="2"/>
      </rPr>
      <t>bad</t>
    </r>
    <r>
      <rPr>
        <b/>
        <sz val="24"/>
        <color theme="0"/>
        <rFont val="Arial Narrow"/>
        <family val="2"/>
      </rPr>
      <t xml:space="preserve"> and best </t>
    </r>
    <r>
      <rPr>
        <b/>
        <i/>
        <sz val="24"/>
        <color theme="0"/>
        <rFont val="Arial Narrow"/>
        <family val="2"/>
      </rPr>
      <t>avoided</t>
    </r>
    <r>
      <rPr>
        <b/>
        <sz val="24"/>
        <color theme="0"/>
        <rFont val="Arial Narrow"/>
        <family val="2"/>
      </rPr>
      <t>.</t>
    </r>
  </si>
  <si>
    <r>
      <rPr>
        <b/>
        <sz val="24"/>
        <color rgb="FFFFFF00"/>
        <rFont val="Arial Narrow"/>
        <family val="2"/>
      </rPr>
      <t>Pain</t>
    </r>
    <r>
      <rPr>
        <b/>
        <sz val="24"/>
        <color theme="0"/>
        <rFont val="Arial Narrow"/>
        <family val="2"/>
      </rPr>
      <t xml:space="preserve"> is </t>
    </r>
    <r>
      <rPr>
        <b/>
        <i/>
        <sz val="24"/>
        <color theme="0"/>
        <rFont val="Arial Narrow"/>
        <family val="2"/>
      </rPr>
      <t>good</t>
    </r>
    <r>
      <rPr>
        <b/>
        <sz val="24"/>
        <color theme="0"/>
        <rFont val="Arial Narrow"/>
        <family val="2"/>
      </rPr>
      <t xml:space="preserve"> and best </t>
    </r>
    <r>
      <rPr>
        <b/>
        <i/>
        <sz val="24"/>
        <color theme="0"/>
        <rFont val="Arial Narrow"/>
        <family val="2"/>
      </rPr>
      <t>embraced</t>
    </r>
    <r>
      <rPr>
        <b/>
        <sz val="24"/>
        <color theme="0"/>
        <rFont val="Arial Narrow"/>
        <family val="2"/>
      </rPr>
      <t>.</t>
    </r>
  </si>
  <si>
    <t>EMPTY:</t>
  </si>
  <si>
    <t>BAD, AVOIDED:</t>
  </si>
  <si>
    <t>GOOD, EMBRACED:</t>
  </si>
  <si>
    <t>The more you generalize for relief, the less your specific needs resolve. The more you are then tempted to be dependent on political generalizations for relief.</t>
  </si>
  <si>
    <t xml:space="preserve">The further the gap between your self-needs and social-needs, the further you slide politically </t>
  </si>
  <si>
    <t xml:space="preserve">Your specific needs are unlike theirs. You specifically need differently from </t>
  </si>
  <si>
    <t>other conservatives.</t>
  </si>
  <si>
    <t>others.</t>
  </si>
  <si>
    <t>The more you feel you must avoid pain, as something bad, the more likely you will accept the generalization from political leaders offering relief. Relieving your pain with their political generalizations rarely results in resolving your specific needs.</t>
  </si>
  <si>
    <t>The more you embrace pain, as a good messenger to warn of unpleasant threats, the less likely you will accept generalizations from political leaders. As your specific needs fully resolve, generalizations become less appealing.</t>
  </si>
  <si>
    <t xml:space="preserve">other liberals. </t>
  </si>
  <si>
    <t xml:space="preserve">leftward. </t>
  </si>
  <si>
    <t xml:space="preserve">rightward. </t>
  </si>
  <si>
    <t xml:space="preserve"> Trusting politics can trap you in pain.</t>
  </si>
  <si>
    <t xml:space="preserve">to extremes. </t>
  </si>
  <si>
    <t>Political leaders count on you to trust their one-size-fits-all generalizations. Do you trust their generalizations to ease your pain? Or do you fault these generalizations for keeping you in pain by overlooking your specific needs?</t>
  </si>
  <si>
    <t xml:space="preserve">The more your specific needs fully resolve, the more fully you can function. The less your specific needs fully resolve, the less you can fully function. The more your life fully functions, the less you "need" or become dependent on politics. As soon as you feel the pain of an unmet need, you promptly seek to resolve it, and move on. Any political generalization serves only as a bridge to address specific needs. </t>
  </si>
  <si>
    <t>By the way…</t>
  </si>
  <si>
    <t>We will demonstrate respect for your side's needs to model how you are to respect ours, to raise optimal functioning of us all.</t>
  </si>
  <si>
    <t>You have to respect our needs first, or we will not respect yours, as we fault your side for keeping us in pain of unmet needs.</t>
  </si>
  <si>
    <t>Which do you prefer?</t>
  </si>
  <si>
    <t>NATURE CORRECTS</t>
  </si>
  <si>
    <t>With greater access to resources, your needs resolve more fully. You can both get what you need on your own and  get what you need through others. Your self-needs resolve on par with your social-needs. You enjoy more psychosocial eqilibrium. This can help explain why you are drawn to politially centrist positions (like neoliberal economics). But your centrist generalizations fail to speak to those whose needs do not resolve a well as yours in their specific social situations.</t>
  </si>
  <si>
    <t xml:space="preserve">This wording helps me relate better to both sides of </t>
  </si>
  <si>
    <t xml:space="preserve"> politics.</t>
  </si>
  <si>
    <t xml:space="preserve">Now I can better understand </t>
  </si>
  <si>
    <t xml:space="preserve">This wording helps me let go of trusted </t>
  </si>
  <si>
    <t xml:space="preserve"> generalizations.</t>
  </si>
  <si>
    <t xml:space="preserve"> politics' competing priorities.</t>
  </si>
  <si>
    <t>I neither agree nor disagree</t>
  </si>
  <si>
    <t>I fully agree</t>
  </si>
  <si>
    <t>I somewhat agree</t>
  </si>
  <si>
    <t xml:space="preserve">I somewhat disagree </t>
  </si>
  <si>
    <t>I totally disagree</t>
  </si>
  <si>
    <t>low</t>
  </si>
  <si>
    <t>high</t>
  </si>
  <si>
    <t>immigration</t>
  </si>
  <si>
    <t>climate change</t>
  </si>
  <si>
    <t>gun safety</t>
  </si>
  <si>
    <t>abortion</t>
  </si>
  <si>
    <t>healthcare</t>
  </si>
  <si>
    <t>criminal justice</t>
  </si>
  <si>
    <t>economy</t>
  </si>
  <si>
    <t>racism</t>
  </si>
  <si>
    <t>moderate</t>
  </si>
  <si>
    <t xml:space="preserve">You are now in a </t>
  </si>
  <si>
    <t xml:space="preserve"> priorities. </t>
  </si>
  <si>
    <t xml:space="preserve"> generalizations, so all sides can more freely resolve their specific </t>
  </si>
  <si>
    <t xml:space="preserve"> needs. </t>
  </si>
  <si>
    <t xml:space="preserve">Lead with the higher authority of resolved needs. </t>
  </si>
  <si>
    <t xml:space="preserve">Lead them in empathizing with competing </t>
  </si>
  <si>
    <t xml:space="preserve">Lead them in how you rely less on </t>
  </si>
  <si>
    <t xml:space="preserve"> position to "lead" your political leaders. </t>
  </si>
  <si>
    <t xml:space="preserve">Lead them in relating more fully to all sides of </t>
  </si>
  <si>
    <t xml:space="preserve"> politics. </t>
  </si>
  <si>
    <t xml:space="preserve">Are you ready to escape the clutches of overgeneralizing </t>
  </si>
  <si>
    <t xml:space="preserve"> politics. Replace being led with taking the lead.</t>
  </si>
  <si>
    <t xml:space="preserve"> politics? After choosing an issue, select above how well you can agree with these radically different approaches to </t>
  </si>
  <si>
    <t xml:space="preserve">This wording helps me engage with the opposing side of </t>
  </si>
  <si>
    <t xml:space="preserve"> view. </t>
  </si>
  <si>
    <t xml:space="preserve">? After choosing an issue, select above how well you can agree with these radically different approaches to </t>
  </si>
  <si>
    <t xml:space="preserve">Are you ready to honor needs without alienating laws about </t>
  </si>
  <si>
    <t xml:space="preserve">I can now better handle losing at </t>
  </si>
  <si>
    <t>-related needs.</t>
  </si>
  <si>
    <t xml:space="preserve">Now I can be less dependent on laws requiring my response to </t>
  </si>
  <si>
    <t xml:space="preserve">Lead them by engaging actual needs on both sides of the </t>
  </si>
  <si>
    <t xml:space="preserve"> issue. </t>
  </si>
  <si>
    <t xml:space="preserve">. </t>
  </si>
  <si>
    <t xml:space="preserve">Lead in how you report and endure the negative impacts whenever losing your </t>
  </si>
  <si>
    <t xml:space="preserve"> position. </t>
  </si>
  <si>
    <t xml:space="preserve">Lead by responding directly to </t>
  </si>
  <si>
    <t xml:space="preserve"> related needs, beyond legal minimums for </t>
  </si>
  <si>
    <t xml:space="preserve">This helps me replace fighting with appreciation for the other's </t>
  </si>
  <si>
    <t xml:space="preserve"> position.</t>
  </si>
  <si>
    <t xml:space="preserve">I can cease exaggerating about the apparent worst of the opposing </t>
  </si>
  <si>
    <t xml:space="preserve">I can replace defensiveness with mutual value for resolving each other's </t>
  </si>
  <si>
    <t xml:space="preserve"> needs.</t>
  </si>
  <si>
    <t xml:space="preserve"> position to raise the standard of political leadership.  </t>
  </si>
  <si>
    <t xml:space="preserve">Lead without fighting each other's </t>
  </si>
  <si>
    <t xml:space="preserve">Lead without stereotyping the other side's mistakes about </t>
  </si>
  <si>
    <t xml:space="preserve"> as typical of them all. </t>
  </si>
  <si>
    <t xml:space="preserve">Lead without provoking their defensiveness, or getting defensive, by prioritizing resolution of each other's specific </t>
  </si>
  <si>
    <t>Allow nature to run its course. Deregulate excessive environmental codes that distort the market in regulating itself.</t>
  </si>
  <si>
    <t>one side is totally correct and the other completely wrong</t>
  </si>
  <si>
    <t>one side is mostly correct and the other mostly wrong</t>
  </si>
  <si>
    <t>one side is more correct than the other side</t>
  </si>
  <si>
    <t>both sides are an equal mix of correct stuff and wrong stuff</t>
  </si>
  <si>
    <t>all sides are mostly correct with some errors</t>
  </si>
  <si>
    <t>all sides are more wrong than right</t>
  </si>
  <si>
    <t>all sides are completely wrong</t>
  </si>
  <si>
    <t>FIRST STEP ACT REHAB</t>
  </si>
  <si>
    <t>SWOT personalized</t>
  </si>
  <si>
    <t xml:space="preserve"> for the politicized issue of </t>
  </si>
  <si>
    <t xml:space="preserve">You're likely a political centrist favoring negotiated compromise on most issues. Your psychosocial needs likely endure only mild tension. </t>
  </si>
  <si>
    <t xml:space="preserve">You're likely a loyal partisan who can admit your side's shortcomings. Your psychosocial imbalance is probably moderate. </t>
  </si>
  <si>
    <t xml:space="preserve">You're likely uncommitted to any political side, and perhaps wary of politics in general. You may enjoy psychosocial balance, or not. </t>
  </si>
  <si>
    <t xml:space="preserve">You're likely disillusioned with politics, or at least with political polarization. You guard your psychosocial needs from its arbitrary track. </t>
  </si>
  <si>
    <t xml:space="preserve">You're likely completely disgusted with politics. As far as you're concerned, it does nothing for your psychosocial needs. </t>
  </si>
  <si>
    <t xml:space="preserve">Instead of reacting to others with a different </t>
  </si>
  <si>
    <t xml:space="preserve"> view, or avoiding politics altogether, consider the viable alternative of responding to each other's needs behind the political rhetoric. You can listen for their </t>
  </si>
  <si>
    <t xml:space="preserve"> impacted needs without agreeing how you or others should respond to them. Their needs in how they experience </t>
  </si>
  <si>
    <t xml:space="preserve"> will not go away when ignored, but persist even more painfully. So let us be more mature in how we respond to them, modeling how others are to respond to yours. </t>
  </si>
  <si>
    <t>SELECT FROM THE DROPDOWN MENU ABOVE YOUR ORIGINAL VIEW OF POLITICS.</t>
  </si>
  <si>
    <t xml:space="preserve">extremists on either side who refuse to compromise </t>
  </si>
  <si>
    <t>neoliberal centrists corrupted by corporatist donor class</t>
  </si>
  <si>
    <t>left populists trying to further expand government's reach</t>
  </si>
  <si>
    <t>right populists trying to roll back federal social programs</t>
  </si>
  <si>
    <t>mainstream media serving their politically biased corporatist masters</t>
  </si>
  <si>
    <t xml:space="preserve">social media with its money-making echo chamber algorithms </t>
  </si>
  <si>
    <t>each of us for indulging in outrage culture</t>
  </si>
  <si>
    <t xml:space="preserve">divisive politicians who court our votes with negative ads </t>
  </si>
  <si>
    <t>not as much of a problem as pundits claim</t>
  </si>
  <si>
    <t xml:space="preserve">Yes, polarization stems in part from political extremes. </t>
  </si>
  <si>
    <t xml:space="preserve">Yes, polarization stems in part from centrist stagnation. </t>
  </si>
  <si>
    <t xml:space="preserve">Yes, polarization stems in part from left wing populism. </t>
  </si>
  <si>
    <t xml:space="preserve">Polarization also feeds on mainstream media. </t>
  </si>
  <si>
    <t xml:space="preserve">Polarization also feeds on echo chambers. </t>
  </si>
  <si>
    <t xml:space="preserve">Polarization also feeds on outrage culture. </t>
  </si>
  <si>
    <t xml:space="preserve">Polarization also feeds on divisive politicians. </t>
  </si>
  <si>
    <t xml:space="preserve">Polarization can be exaggerated as a problem. </t>
  </si>
  <si>
    <t xml:space="preserve"> The more connected and honest with others, the more fully you can resolve your </t>
  </si>
  <si>
    <t xml:space="preserve"> needs. There is no such thing as pain apart from unresolved needs. Resolved needs liberate you.</t>
  </si>
  <si>
    <t xml:space="preserve">It's easier to blame others, while guarding our vulnerable needs, than own our own role in it. We fuel polarization when resisting life's natural pull toward psychosocial equilibrium. Equally resolving your self-needs and social-needs dissolves </t>
  </si>
  <si>
    <t xml:space="preserve">Popular application of rational choice theory is a little like gay conversion therapy, or forcing left handers to be right handed. It tries to pressure you with good sounding reasons to change your psychosocial orientation. They seek to fit you into their own experiences and expectations, in the name of your best interests. But they cannot possibly know your best interests without knowing your lived details. It easily denies who you are. Reasoned political arguments irrationally deny you as an individual with a perfectly normal yet different priority of needs. </t>
  </si>
  <si>
    <t xml:space="preserve">I fully trust politics to serve my publicly affected needs. </t>
  </si>
  <si>
    <t xml:space="preserve">I cautiously trust politics to serve my publicly affected needs. </t>
  </si>
  <si>
    <t xml:space="preserve">I neither trust nor distrust politics to honor my publicly affected needs. </t>
  </si>
  <si>
    <t xml:space="preserve">I mostly distrust politics to respect my publicly affected needs. </t>
  </si>
  <si>
    <t>I completely distrust politics to respect my publicly affected needs</t>
  </si>
  <si>
    <t xml:space="preserve">You're likely a political junkie or policy wonk. You trust politics to help solve just about any </t>
  </si>
  <si>
    <t xml:space="preserve"> problem. </t>
  </si>
  <si>
    <t xml:space="preserve"> problems. </t>
  </si>
  <si>
    <t xml:space="preserve">You likely follow all levels of a political campaign. You put up with politics as the best means to address </t>
  </si>
  <si>
    <t xml:space="preserve">You likely listen to political news skeptically, if at all. You wish for something better than politics to address </t>
  </si>
  <si>
    <t xml:space="preserve">You likely ignore political news and only vote once every four years. You doubt politics can truly solve any </t>
  </si>
  <si>
    <t xml:space="preserve">You're likely disillusioned with politics and don't even vote. You're convinced politics can never solve any </t>
  </si>
  <si>
    <t xml:space="preserve"> views provides you opportunity. You can create value for them from the solid ground of your </t>
  </si>
  <si>
    <t xml:space="preserve"> strengths. They can reciprocate by providing value to you for your political weakness. In short, instead of debating who sounds right, you both go directly to the needs politics aims to address.</t>
  </si>
  <si>
    <t>Immigration</t>
  </si>
  <si>
    <t>Climate change</t>
  </si>
  <si>
    <t>Gun safety</t>
  </si>
  <si>
    <t>Abortion</t>
  </si>
  <si>
    <t>Healthcare</t>
  </si>
  <si>
    <t>Criminal justice</t>
  </si>
  <si>
    <t>Economy</t>
  </si>
  <si>
    <t>Racism</t>
  </si>
  <si>
    <t xml:space="preserve">reveal more about each other’s social-needs than self-needs. Guarding their more resolved needs with established specifics reveals their political strength. Relieving their less resolved needs with sweeping generalizations exposes their political weakness. </t>
  </si>
  <si>
    <t xml:space="preserve">No matter how you feel about politics, this SWOT tool can add discipline to an otherwise free-for-all mess. </t>
  </si>
  <si>
    <t xml:space="preserve">The other side's political weakness around their </t>
  </si>
  <si>
    <t xml:space="preserve"> strengths. Let them reciprocate by providing value to your political weakness. In short, overcome polarization by demanding less, giving more.</t>
  </si>
  <si>
    <t>Harmony Politics counters political polarization by treating each element found in our definition for politics. Politics can then be less of a stumbling block and more of a stepping stone, to bridge your respect with their respect for each other's politicized needs.</t>
  </si>
  <si>
    <r>
      <rPr>
        <sz val="30"/>
        <color rgb="FFFFFF00"/>
        <rFont val="Arial Black"/>
        <family val="2"/>
      </rPr>
      <t>PAIN</t>
    </r>
    <r>
      <rPr>
        <sz val="30"/>
        <color rgb="FFFF3C3C"/>
        <rFont val="Arial Black"/>
        <family val="2"/>
      </rPr>
      <t xml:space="preserve"> POINTS ON EACH </t>
    </r>
    <r>
      <rPr>
        <sz val="30"/>
        <color rgb="FFFF99FF"/>
        <rFont val="Arial Black"/>
        <family val="2"/>
      </rPr>
      <t>SIDE</t>
    </r>
  </si>
  <si>
    <t>I only care about my own political side, and likely will keep it that way.</t>
  </si>
  <si>
    <t xml:space="preserve">I want to learn about the pain of the other side only if they first learn of my pain. </t>
  </si>
  <si>
    <t>I am willing to do what I can to reduce their pain and then wait for them to reciprocate.</t>
  </si>
  <si>
    <t>I am ready to take the lead to address the pain on both sides, even if others fail to respond.</t>
  </si>
  <si>
    <t>I am eager to be among the first to risk trying this new way to resolve political polarization.</t>
  </si>
  <si>
    <t xml:space="preserve">Here is our challenge: To compete with one another not to score political gains but to measurably resolve the most needs in each other. This includes the challenge for who can hold out the longest to endure the pain of unresolved needs, to fully resolve those needs. Those who slip back into prioritizing pain relief will lose, as that permits these needs to later create more pain. Let's turn this challenge into an opportunity to create compelling value for us all. </t>
  </si>
  <si>
    <t>Victory would go to who resolves the most needs. Who would earn the right to lead politically, surpassing the old divisive politics guard. In the process, we would raise political standards. Starting with these eight issues.</t>
  </si>
  <si>
    <t>Victory could go to who resolves the most needs. Who could earn the right to lead politically, surpassing the old divisive politics guard. In the process, we could raise political standards. Starting with these eight issues.</t>
  </si>
  <si>
    <t>Victory should go to who resolves the most needs. They should earn the right to lead politically, surpassing the old divisive politics guard. In the process, we can start raising the standard, using these eight political issues.</t>
  </si>
  <si>
    <t>Victory will go to who resolves the most needs. They will earn the right to lead politically, surpassing the old divisive politics guard. In the process, we raise the standard for politics. Let's try it with eight key issues.</t>
  </si>
  <si>
    <t>Victory goes to who resolve the most needs. They earn the right to lead politically, surpassing the old divisive politics guard. In the process, we will raise the standard on politics. Try it with these eight issues.</t>
  </si>
  <si>
    <t xml:space="preserve">By enduring the short-term hardship of resolving needs over relieving its pain, I would win and you lose. But overall we all would win with a raised level of personal and shared functioning. But if you endured longer than me, to absorb the difficulties of resolving more needs than me, then you would win and I lose. In the long run, we would still boost each other's level of functioning in life. </t>
  </si>
  <si>
    <t xml:space="preserve">If I endured the short-term hardship of resolving needs over relieving its pain, I'd win and you would lose. In the long run, we all win with a raised level of personal and shared functioning. If you endured longer than me, to overcome the difficulties of resolving more needs than me, then you'd win and I'd lose. In the long run, we still boost each other's level of functioning in life. </t>
  </si>
  <si>
    <t xml:space="preserve">If I can endure in the short-term the hardship of resolving needs over relieving its pain, I win and you lose. In the long run, we all win with a raised level of personal and shared functioning. If you can endure longer than me, to overcome the difficulties of resolving more needs than me, then you win and I lose. In the long run, we still boost each other's level of functioning in life. </t>
  </si>
  <si>
    <t xml:space="preserve">If I endure in the short-term the hardship of resolving needs over relieving its pain, I win and you lose. In the long run, we all win with a raised level of personal and shared functioning. If you endure longer than me, to overcome the difficulties of resolving more needs than me, then you win and I lose. In the long run, we still boost each other's level of functioning in life. </t>
  </si>
  <si>
    <t xml:space="preserve">If you can work with the other political side only if they work in kind with you, okay. You likely will take this challenge after it seeing it work for others. But if you get frustrated enough with divisive politics, see how it works for others trying this. </t>
  </si>
  <si>
    <t xml:space="preserve">If you can take charge in resolving needs on all sides, you're a leader we all need. You are well suited for this challenge. Join us in leading the way to replace divisive politics with this challenge to resolve politicized needs. </t>
  </si>
  <si>
    <t xml:space="preserve">If you can risk failing this and learn with us to improve it, you're the leader we need. This challenge needs you to succeed. Lead the way in replacing divisive politics with this pioneering approach to resolving politicized needs. </t>
  </si>
  <si>
    <t>SELECT FROM THE DROPDOWN LIST HOW READY YOU ARE TO TRY THIS</t>
  </si>
  <si>
    <t xml:space="preserve">According to anankelogy, a need cannot exist without prior experience of being fully resolved. You can never be thirsty, for example, without the prior experience of fully satisfying that thirst with water. Likewise, every politicized need stems from some barrier to fully resolve that public facing need, as it naturally exists. Politics misses the mark wherever a politicized need fails to fully resolve on all sides. </t>
  </si>
  <si>
    <t>Are you now ready, willing and able to accept this challenge?</t>
  </si>
  <si>
    <t>Politics exist to guide our behavior to serve needs, namely to shape laws. While no one sits above the law, no law sits above the needs it exists to serve. Whose needs are best served in how our laws are formed, interpreted, enforced, and politicized?</t>
  </si>
  <si>
    <t xml:space="preserve">If I could endure the short-term hardship of resolving needs over relieving its pain, I would win this contest. In the long run, we all would win by raising personal and shared functioning. If you could endure longer than me, to overcome the difficulties of resolving more needs than me, then you would win and I lose this contest. In the long run, we still all gain by boosting our functioning in life. </t>
  </si>
  <si>
    <t>Widespread anxiety and depression suggest our politics and our system of laws fail to properly serve our many specific needs. Such anxiety and depression arise from unmet needs, so let's look at particular pain points on both sides of eight key political issues.</t>
  </si>
  <si>
    <t>You disagree with their priority of needs?</t>
  </si>
  <si>
    <t>Keeping ourselves down</t>
  </si>
  <si>
    <t>Wellness is psychosocial</t>
  </si>
  <si>
    <t>Interactive</t>
  </si>
  <si>
    <t>Takeaway</t>
  </si>
  <si>
    <t>UNDERSTANDING POLITICS</t>
  </si>
  <si>
    <t>EIGHT KEY ISSUES</t>
  </si>
  <si>
    <t>POPULISM</t>
  </si>
  <si>
    <t>PSYCHOSOCIAL ORIENTATION</t>
  </si>
  <si>
    <t>SUMMARY</t>
  </si>
  <si>
    <t>Your prioritizing needs (reason be damned)</t>
  </si>
  <si>
    <t>Political leadership or political elitism?</t>
  </si>
  <si>
    <t>Eight key issues to apply Harmony Politics</t>
  </si>
  <si>
    <r>
      <t xml:space="preserve">Politics as usual - </t>
    </r>
    <r>
      <rPr>
        <b/>
        <i/>
        <sz val="10"/>
        <color theme="1"/>
        <rFont val="Arial Narrow"/>
        <family val="2"/>
      </rPr>
      <t>immature polarizing</t>
    </r>
  </si>
  <si>
    <r>
      <t xml:space="preserve">Harmony politics - </t>
    </r>
    <r>
      <rPr>
        <b/>
        <i/>
        <sz val="10"/>
        <color theme="1"/>
        <rFont val="Arial Narrow"/>
        <family val="2"/>
      </rPr>
      <t>mature responsiveness</t>
    </r>
  </si>
  <si>
    <t>This table of contents</t>
  </si>
  <si>
    <t>HARMONY POLITICS</t>
  </si>
  <si>
    <t>#</t>
  </si>
  <si>
    <t>$</t>
  </si>
  <si>
    <t>Understanding politics: It's about needs</t>
  </si>
  <si>
    <t xml:space="preserve">For the wide-oriented, liberalism is less about guarding self-needs (by resisting traditional historical pressures to conform to old moral norms), and more about countering the Right’s resistance to relieve the Left's less resolved social-needs. Politics is social. </t>
  </si>
  <si>
    <t xml:space="preserve">For the deep-oriented, conservatism is less about relieving self-needs (when asserting individual rights and personal responsibility), and more about countering the Left’s impact by guarding the Right's more resolved social-needs. Politics is social. </t>
  </si>
  <si>
    <t>Correlating your political views</t>
  </si>
  <si>
    <t>"</t>
  </si>
  <si>
    <t>Needs first, reasons later</t>
  </si>
  <si>
    <r>
      <t xml:space="preserve">Harmony politics - </t>
    </r>
    <r>
      <rPr>
        <b/>
        <i/>
        <sz val="20"/>
        <color rgb="FF00501E"/>
        <rFont val="Tahoma"/>
        <family val="2"/>
      </rPr>
      <t>mature responsiveness</t>
    </r>
  </si>
  <si>
    <r>
      <rPr>
        <b/>
        <sz val="20"/>
        <color rgb="FF004623"/>
        <rFont val="Tahoma"/>
        <family val="2"/>
      </rPr>
      <t>Political leadership</t>
    </r>
    <r>
      <rPr>
        <b/>
        <sz val="20"/>
        <color rgb="FF371950"/>
        <rFont val="Tahoma"/>
        <family val="2"/>
      </rPr>
      <t xml:space="preserve"> </t>
    </r>
    <r>
      <rPr>
        <b/>
        <sz val="20"/>
        <color theme="1" tint="0.499984740745262"/>
        <rFont val="Tahoma"/>
        <family val="2"/>
      </rPr>
      <t>or</t>
    </r>
    <r>
      <rPr>
        <b/>
        <sz val="20"/>
        <color rgb="FF371950"/>
        <rFont val="Tahoma"/>
        <family val="2"/>
      </rPr>
      <t xml:space="preserve"> political elitism</t>
    </r>
    <r>
      <rPr>
        <b/>
        <sz val="20"/>
        <color theme="1" tint="0.499984740745262"/>
        <rFont val="Tahoma"/>
        <family val="2"/>
      </rPr>
      <t>?</t>
    </r>
  </si>
  <si>
    <t>water</t>
  </si>
  <si>
    <t>food</t>
  </si>
  <si>
    <t>housing</t>
  </si>
  <si>
    <t>health</t>
  </si>
  <si>
    <t>income</t>
  </si>
  <si>
    <t>safety</t>
  </si>
  <si>
    <t>fun</t>
  </si>
  <si>
    <t>travel</t>
  </si>
  <si>
    <t xml:space="preserve">To illustrate this point, consider your need for </t>
  </si>
  <si>
    <t xml:space="preserve">. We all need </t>
  </si>
  <si>
    <t xml:space="preserve">Click on </t>
  </si>
  <si>
    <t xml:space="preserve"> white field below to change this illustration. See how we all share the same core-needs. But diverge in how we ease such needs.</t>
  </si>
  <si>
    <r>
      <t xml:space="preserve">We believe what we </t>
    </r>
    <r>
      <rPr>
        <b/>
        <i/>
        <sz val="20"/>
        <color rgb="FFEBDCFF"/>
        <rFont val="Tahoma"/>
        <family val="2"/>
      </rPr>
      <t>need</t>
    </r>
    <r>
      <rPr>
        <b/>
        <sz val="20"/>
        <color rgb="FFEBDCFF"/>
        <rFont val="Tahoma"/>
        <family val="2"/>
      </rPr>
      <t xml:space="preserve"> to believe</t>
    </r>
  </si>
  <si>
    <t>Harmonizing diverse politicized needs</t>
  </si>
  <si>
    <t>Key points for you to take away from this tool</t>
  </si>
  <si>
    <t xml:space="preserve">Political differences express inflexibly different priorities of needs, so debating polarizes more than persuades. </t>
  </si>
  <si>
    <t>Political generalizing prioritizes relief from pain than resolving needs that could remove such pain.</t>
  </si>
  <si>
    <t>I am…</t>
  </si>
  <si>
    <t>And I</t>
  </si>
  <si>
    <t xml:space="preserve"> am</t>
  </si>
  <si>
    <t xml:space="preserve"> ready to apply this</t>
  </si>
  <si>
    <t>content with learning this</t>
  </si>
  <si>
    <t>ready to apply it with others</t>
  </si>
  <si>
    <t>ready to earn $ applying it</t>
  </si>
  <si>
    <t>keeping what I learned to myself</t>
  </si>
  <si>
    <t>ready to share on social media</t>
  </si>
  <si>
    <t>ready to tell others in person</t>
  </si>
  <si>
    <t>family members &amp; friends</t>
  </si>
  <si>
    <t>to media pundits</t>
  </si>
  <si>
    <t>my elected officials</t>
  </si>
  <si>
    <t>need to first learn more about its earning potential</t>
  </si>
  <si>
    <t>prefer to learn from others trying this</t>
  </si>
  <si>
    <t>am ready to get started with this process</t>
  </si>
  <si>
    <t>FIRST SELECT ITEM AT LEFT</t>
  </si>
  <si>
    <r>
      <t xml:space="preserve">Cultivate your own political leadership from within, using </t>
    </r>
    <r>
      <rPr>
        <b/>
        <sz val="14"/>
        <color rgb="FF009641"/>
        <rFont val="Tahoma"/>
        <family val="2"/>
      </rPr>
      <t>Harmony</t>
    </r>
    <r>
      <rPr>
        <b/>
        <sz val="14"/>
        <color theme="1"/>
        <rFont val="Tahoma"/>
        <family val="2"/>
      </rPr>
      <t xml:space="preserve"> </t>
    </r>
    <r>
      <rPr>
        <b/>
        <sz val="14"/>
        <color rgb="FF7030A0"/>
        <rFont val="Tahoma"/>
        <family val="2"/>
      </rPr>
      <t>Politics</t>
    </r>
    <r>
      <rPr>
        <sz val="14"/>
        <color theme="1"/>
        <rFont val="Tahoma"/>
        <family val="2"/>
      </rPr>
      <t xml:space="preserve"> to break the spell of political elites.</t>
    </r>
  </si>
  <si>
    <r>
      <t>Click to learn more at https://www.</t>
    </r>
    <r>
      <rPr>
        <sz val="15"/>
        <color rgb="FFA0FFCD"/>
        <rFont val="Arial Black"/>
        <family val="2"/>
      </rPr>
      <t>value</t>
    </r>
    <r>
      <rPr>
        <sz val="15"/>
        <color rgb="FFE1C8FF"/>
        <rFont val="Arial Black"/>
        <family val="2"/>
      </rPr>
      <t>relating</t>
    </r>
    <r>
      <rPr>
        <sz val="15"/>
        <color rgb="FFC8FFE1"/>
        <rFont val="Arial Black"/>
        <family val="2"/>
      </rPr>
      <t>.com</t>
    </r>
  </si>
  <si>
    <t>How?</t>
  </si>
  <si>
    <t>To use again, save a personalized version of this document to a PDF.</t>
  </si>
  <si>
    <t>Harmony Politics instructions</t>
  </si>
  <si>
    <t>Table of Contents</t>
  </si>
  <si>
    <t>We believe what we need to believe</t>
  </si>
  <si>
    <t>Beyond Left and Right populism</t>
  </si>
  <si>
    <r>
      <t>Relational knowing</t>
    </r>
    <r>
      <rPr>
        <b/>
        <sz val="10"/>
        <color theme="1" tint="0.499984740745262"/>
        <rFont val="Arial Narrow"/>
        <family val="2"/>
      </rPr>
      <t xml:space="preserve"> (vs. relieve believe)</t>
    </r>
  </si>
  <si>
    <r>
      <t>Impact Engaging</t>
    </r>
    <r>
      <rPr>
        <b/>
        <sz val="10"/>
        <color theme="1" tint="0.499984740745262"/>
        <rFont val="Arial Narrow"/>
        <family val="2"/>
      </rPr>
      <t xml:space="preserve"> (vs. impersonal compliance)</t>
    </r>
  </si>
  <si>
    <r>
      <t>Value framing</t>
    </r>
    <r>
      <rPr>
        <b/>
        <sz val="10"/>
        <color theme="1" tint="0.499984740745262"/>
        <rFont val="Arial Narrow"/>
        <family val="2"/>
      </rPr>
      <t xml:space="preserve"> (vs. mutual hostilities)</t>
    </r>
  </si>
  <si>
    <r>
      <t xml:space="preserve">POLITICS can never solve our </t>
    </r>
    <r>
      <rPr>
        <sz val="17"/>
        <color rgb="FFC8FFE1"/>
        <rFont val="Arial Black"/>
        <family val="2"/>
      </rPr>
      <t>specific</t>
    </r>
    <r>
      <rPr>
        <sz val="17"/>
        <color rgb="FFF0CDFF"/>
        <rFont val="Arial Black"/>
        <family val="2"/>
      </rPr>
      <t xml:space="preserve"> problems from the level of </t>
    </r>
    <r>
      <rPr>
        <sz val="17"/>
        <color rgb="FFFFCCCC"/>
        <rFont val="Arial Black"/>
        <family val="2"/>
      </rPr>
      <t>generalizing</t>
    </r>
    <r>
      <rPr>
        <sz val="17"/>
        <color rgb="FFF0CDFF"/>
        <rFont val="Arial Black"/>
        <family val="2"/>
      </rPr>
      <t xml:space="preserve"> that created them.</t>
    </r>
  </si>
  <si>
    <t>Can you put another's specific needs ahead of your trusted generalizations?</t>
  </si>
  <si>
    <r>
      <t>Your prioritizing needs</t>
    </r>
    <r>
      <rPr>
        <b/>
        <i/>
        <sz val="20"/>
        <color rgb="FF371950"/>
        <rFont val="Tahoma"/>
        <family val="2"/>
      </rPr>
      <t xml:space="preserve"> </t>
    </r>
    <r>
      <rPr>
        <b/>
        <i/>
        <sz val="18"/>
        <color rgb="FF371950"/>
        <rFont val="Tahoma"/>
        <family val="2"/>
      </rPr>
      <t>(reason be damned)</t>
    </r>
  </si>
  <si>
    <t xml:space="preserve"> tends to be more resolved than my need for </t>
  </si>
  <si>
    <t>RACISM</t>
  </si>
  <si>
    <t>Seek both: personal &amp; social needs relatively equally.</t>
  </si>
  <si>
    <t>Prioritizing your psychosocial needs</t>
  </si>
  <si>
    <t>Dissolving pain of divisive tribal politics</t>
  </si>
  <si>
    <r>
      <t>Relational knowing</t>
    </r>
    <r>
      <rPr>
        <b/>
        <sz val="20"/>
        <color rgb="FF5AFFA0"/>
        <rFont val="Tahoma"/>
        <family val="2"/>
      </rPr>
      <t xml:space="preserve"> </t>
    </r>
    <r>
      <rPr>
        <b/>
        <sz val="18"/>
        <color rgb="FF5AFFA0"/>
        <rFont val="Tahoma"/>
        <family val="2"/>
      </rPr>
      <t>(v. relieve believe)</t>
    </r>
  </si>
  <si>
    <r>
      <t>Impact engaging</t>
    </r>
    <r>
      <rPr>
        <b/>
        <sz val="20"/>
        <color rgb="FF5AFFA0"/>
        <rFont val="Tahoma"/>
        <family val="2"/>
      </rPr>
      <t xml:space="preserve"> </t>
    </r>
    <r>
      <rPr>
        <b/>
        <sz val="18"/>
        <color rgb="FF5AFFA0"/>
        <rFont val="Tahoma"/>
        <family val="2"/>
      </rPr>
      <t>(v. impersonal compliance)</t>
    </r>
  </si>
  <si>
    <r>
      <t xml:space="preserve">Value framing </t>
    </r>
    <r>
      <rPr>
        <b/>
        <sz val="18"/>
        <color rgb="FF5AFFA0"/>
        <rFont val="Tahoma"/>
        <family val="2"/>
      </rPr>
      <t>(v. mutual hostilities)</t>
    </r>
  </si>
  <si>
    <t xml:space="preserve">This is the first version of this tool. You can expect it to be revised, as we learn from each other. Remember, politics exist for you and your needs. You and your needs do not exist for politics. </t>
  </si>
  <si>
    <t>Look for the "I" in a green circle, at the right, to indicate each Interactive feature. Your input brings this information alive with your own lived experiences. We aim to be as specific as possible. This interactive feature lets its insights be more specific to your life.</t>
  </si>
  <si>
    <t xml:space="preserve">, but get it in different ways. Likewise, we all need protection from threats, but some of us depend more on government security services than others. And for different things. </t>
  </si>
  <si>
    <t>I buy stuff made by all kinds of people I indirectly must trust.</t>
  </si>
  <si>
    <t xml:space="preserve">Nature prioritizes your less resolved needs along this "need-experience funnel." If relying on substitute resources, your painful need persists. If unable to access a resource, your painful need persists. If vulnerable to others impacting your access to resources, your painful need persists. Can you get the </t>
  </si>
  <si>
    <t>SELECT OPTIONS ABOVE TO ESTIMATE YOUR PRIORITIZING PSYCHOSOCIAL NEEDS</t>
  </si>
  <si>
    <t xml:space="preserve">Your inflexible needs orient your focus. We each experience this as a psychosocial orientation. </t>
  </si>
  <si>
    <t>Do you follow their lead in fighting others with different political views? Whether they sit to your political left or to your political right? Do you believe you must struggle against those with a different political view? If yes and you do battle others politically, does any victory provide you lasting relief? Do you ever hunger for a better alternative than all this political infighting?</t>
  </si>
  <si>
    <t xml:space="preserve">political opponents. </t>
  </si>
  <si>
    <r>
      <t xml:space="preserve">The distinction between </t>
    </r>
    <r>
      <rPr>
        <i/>
        <sz val="12"/>
        <color theme="1"/>
        <rFont val="Arial"/>
        <family val="2"/>
      </rPr>
      <t>liberal left</t>
    </r>
    <r>
      <rPr>
        <sz val="12"/>
        <color theme="1"/>
        <rFont val="Arial"/>
        <family val="2"/>
      </rPr>
      <t xml:space="preserve"> and </t>
    </r>
    <r>
      <rPr>
        <i/>
        <sz val="12"/>
        <color theme="1"/>
        <rFont val="Arial"/>
        <family val="2"/>
      </rPr>
      <t>conservative right</t>
    </r>
    <r>
      <rPr>
        <sz val="12"/>
        <color theme="1"/>
        <rFont val="Arial"/>
        <family val="2"/>
      </rPr>
      <t xml:space="preserve"> increasingly takes a back seat to the distinction between political elites of either side and objectified voters whose politicized needs rarely resolve. Supposedly because "it's political." No, it is not.</t>
    </r>
  </si>
  <si>
    <t>Political leaders and elites commonly presume you need them for your public-facing needs. They appeal to your "arguments" or your feelings for support, for votes, for political cover. They count on you relying on their generalizations for relief of these social-needs. They avoid your specifics to hold together fragile coalitions. The less your specific needs resolve, the more stuck you are in pain. Do you really need them? Or instead to resolve your needs by any responsible means necessary?</t>
  </si>
  <si>
    <t>Popular politics rarely if ever inspires you to equally resolve your self-needs and social-needs. Instead, it easily polarizes you into camps of competing psychosocial priorities. Instead of encouraging wisdom of personal AND social responsibilities, it pits your needs against others. Instead of the high standard of fully resolving each other's needs as an act of noble love, it settles for pragmatically easing the discomfort of each other's unresolved needs. It typically keeps you in pain.</t>
  </si>
  <si>
    <t xml:space="preserve">The lateral left-right tension gives way to the vertical elite-populace tension. In this age of instant information on the Internet, the rallying role of political leaders slips increasingly into obsolence. In other words, the populace can now say to political elites, "Don't tell us what we need, we'll tell you. Moreover, don't insult us with your power-grabbing generalizations. If you can't cover our specifics, we will. We'll bypass you to resolve needs to remove its pain. We'll now lead ourselves, thank you."
</t>
  </si>
  <si>
    <t>Politics lack legitimacy where it fails to enable full resolution of needs. Opposing the needs themselves enables pathology. Legit opposition starts with how we address the needs, after affirming the needs themselves. The best politics results in each side being able to fully resolve each other's needs in their own spaces. Harmony Politics raises the bar by insisting our politicized needs become fully resolved.</t>
  </si>
  <si>
    <t xml:space="preserve">If you must cling to political loyalty, then you are being true to your convictions. You likely will reject this challenge. But if you get frustrated to the point of exasperation with divisive politics, revisit this challenge to resolve politicized needs. </t>
  </si>
  <si>
    <t xml:space="preserve">If you condition your openness to their pain to their openness to yours, alright. You may not be up to this challenge. But when frustrated to the point of disillusionment with divisive politics, reconsider this challenge to resolve politicized needs. </t>
  </si>
  <si>
    <t xml:space="preserve">Yes, polarization stems in part from right wing populism. </t>
  </si>
  <si>
    <t xml:space="preserve">Alienation is the byproduct of our highly individualistic privacy, so we can do our own things without intrusion from others. Privacy lets us set our terms for handling </t>
  </si>
  <si>
    <t xml:space="preserve">Polarization is the common outcome when fighting for our opposing rights, to fight for a piece of the public pie. It tends to bring out more voices affected by </t>
  </si>
  <si>
    <t xml:space="preserve">You're likely an ideologically committed partisan, fighting for what's right. You also likely suffer more psychosocial imbalance. </t>
  </si>
  <si>
    <t xml:space="preserve">You're likely trusting of politics yet mildly disillusioned with contentious politics. Your psychosocial needs resist such polarization. </t>
  </si>
  <si>
    <r>
      <rPr>
        <b/>
        <sz val="9"/>
        <color rgb="FFC00000"/>
        <rFont val="Tahoma"/>
        <family val="2"/>
      </rPr>
      <t>DEEP</t>
    </r>
    <r>
      <rPr>
        <b/>
        <sz val="9"/>
        <color theme="1"/>
        <rFont val="Tahoma"/>
        <family val="2"/>
      </rPr>
      <t xml:space="preserve"> </t>
    </r>
    <r>
      <rPr>
        <b/>
        <sz val="9"/>
        <color rgb="FF00B050"/>
        <rFont val="Tahoma"/>
        <family val="2"/>
      </rPr>
      <t>strength</t>
    </r>
  </si>
  <si>
    <r>
      <rPr>
        <b/>
        <sz val="9"/>
        <color rgb="FFC00000"/>
        <rFont val="Tahoma"/>
        <family val="2"/>
      </rPr>
      <t>DEEP</t>
    </r>
    <r>
      <rPr>
        <b/>
        <sz val="9"/>
        <color theme="1"/>
        <rFont val="Tahoma"/>
        <family val="2"/>
      </rPr>
      <t xml:space="preserve"> </t>
    </r>
    <r>
      <rPr>
        <b/>
        <sz val="9"/>
        <color rgb="FF00B050"/>
        <rFont val="Tahoma"/>
        <family val="2"/>
      </rPr>
      <t>opportunity</t>
    </r>
  </si>
  <si>
    <r>
      <t xml:space="preserve">The </t>
    </r>
    <r>
      <rPr>
        <i/>
        <sz val="10.5"/>
        <color rgb="FFFF9999"/>
        <rFont val="Arial"/>
        <family val="2"/>
      </rPr>
      <t>more</t>
    </r>
    <r>
      <rPr>
        <sz val="10.5"/>
        <color rgb="FFFF9999"/>
        <rFont val="Arial"/>
        <family val="2"/>
      </rPr>
      <t xml:space="preserve"> in </t>
    </r>
    <r>
      <rPr>
        <sz val="10.5"/>
        <color rgb="FFFFFF00"/>
        <rFont val="Arial"/>
        <family val="2"/>
      </rPr>
      <t>pain</t>
    </r>
    <r>
      <rPr>
        <sz val="10.5"/>
        <color rgb="FFFF9999"/>
        <rFont val="Arial"/>
        <family val="2"/>
      </rPr>
      <t xml:space="preserve"> from a public facing need, the </t>
    </r>
    <r>
      <rPr>
        <i/>
        <sz val="10.5"/>
        <color rgb="FFFF9999"/>
        <rFont val="Arial"/>
        <family val="2"/>
      </rPr>
      <t>more</t>
    </r>
    <r>
      <rPr>
        <sz val="10.5"/>
        <color rgb="FFFF9999"/>
        <rFont val="Arial"/>
        <family val="2"/>
      </rPr>
      <t xml:space="preserve"> attracted to a political position that best offers generalizing relief for that </t>
    </r>
    <r>
      <rPr>
        <sz val="10.5"/>
        <color rgb="FFFFFF00"/>
        <rFont val="Arial"/>
        <family val="2"/>
      </rPr>
      <t>pain</t>
    </r>
    <r>
      <rPr>
        <sz val="10.5"/>
        <color rgb="FFFF9999"/>
        <rFont val="Arial"/>
        <family val="2"/>
      </rPr>
      <t xml:space="preserve"> point. The </t>
    </r>
    <r>
      <rPr>
        <i/>
        <sz val="10.5"/>
        <color rgb="FFFF9999"/>
        <rFont val="Arial"/>
        <family val="2"/>
      </rPr>
      <t>more</t>
    </r>
    <r>
      <rPr>
        <sz val="10.5"/>
        <color rgb="FFFF9999"/>
        <rFont val="Arial"/>
        <family val="2"/>
      </rPr>
      <t xml:space="preserve"> in </t>
    </r>
    <r>
      <rPr>
        <sz val="10.5"/>
        <color rgb="FFFFFF00"/>
        <rFont val="Arial"/>
        <family val="2"/>
      </rPr>
      <t>pain</t>
    </r>
    <r>
      <rPr>
        <sz val="10.5"/>
        <color rgb="FFFF9999"/>
        <rFont val="Arial"/>
        <family val="2"/>
      </rPr>
      <t xml:space="preserve">, the </t>
    </r>
    <r>
      <rPr>
        <i/>
        <sz val="10.5"/>
        <color rgb="FFFF9999"/>
        <rFont val="Arial"/>
        <family val="2"/>
      </rPr>
      <t>more</t>
    </r>
    <r>
      <rPr>
        <sz val="10.5"/>
        <color rgb="FFFF9999"/>
        <rFont val="Arial"/>
        <family val="2"/>
      </rPr>
      <t xml:space="preserve"> opposed to an alternate position serving the other social situation. The </t>
    </r>
    <r>
      <rPr>
        <i/>
        <sz val="10.5"/>
        <color rgb="FFFF9999"/>
        <rFont val="Arial"/>
        <family val="2"/>
      </rPr>
      <t>less</t>
    </r>
    <r>
      <rPr>
        <sz val="10.5"/>
        <color rgb="FFFF9999"/>
        <rFont val="Arial"/>
        <family val="2"/>
      </rPr>
      <t xml:space="preserve"> specifics get addressed, the </t>
    </r>
    <r>
      <rPr>
        <i/>
        <sz val="10.5"/>
        <color rgb="FFFF9999"/>
        <rFont val="Arial"/>
        <family val="2"/>
      </rPr>
      <t>less</t>
    </r>
    <r>
      <rPr>
        <sz val="10.5"/>
        <color rgb="FFFF9999"/>
        <rFont val="Arial"/>
        <family val="2"/>
      </rPr>
      <t xml:space="preserve"> resolved the needs. The </t>
    </r>
    <r>
      <rPr>
        <i/>
        <sz val="10.5"/>
        <color rgb="FFFF9999"/>
        <rFont val="Arial"/>
        <family val="2"/>
      </rPr>
      <t>more</t>
    </r>
    <r>
      <rPr>
        <sz val="10.5"/>
        <color rgb="FFFF9999"/>
        <rFont val="Arial"/>
        <family val="2"/>
      </rPr>
      <t xml:space="preserve"> the underlying problem persists with mounting </t>
    </r>
    <r>
      <rPr>
        <sz val="10.5"/>
        <color rgb="FFFFFF00"/>
        <rFont val="Arial"/>
        <family val="2"/>
      </rPr>
      <t>pain</t>
    </r>
    <r>
      <rPr>
        <sz val="10.5"/>
        <color rgb="FFFF9999"/>
        <rFont val="Arial"/>
        <family val="2"/>
      </rPr>
      <t xml:space="preserve">, the </t>
    </r>
    <r>
      <rPr>
        <i/>
        <sz val="10.5"/>
        <color rgb="FFFF9999"/>
        <rFont val="Arial"/>
        <family val="2"/>
      </rPr>
      <t>more</t>
    </r>
    <r>
      <rPr>
        <sz val="10.5"/>
        <color rgb="FFFF9999"/>
        <rFont val="Arial"/>
        <family val="2"/>
      </rPr>
      <t xml:space="preserve"> dependence on political generalizing for relief. </t>
    </r>
    <r>
      <rPr>
        <sz val="10.5"/>
        <color rgb="FFFF3C3C"/>
        <rFont val="Arial"/>
        <family val="2"/>
      </rPr>
      <t>Political elites stay in power keeping you painfully needy</t>
    </r>
    <r>
      <rPr>
        <sz val="10.5"/>
        <color rgb="FFFF9999"/>
        <rFont val="Arial"/>
        <family val="2"/>
      </rPr>
      <t xml:space="preserve">. </t>
    </r>
  </si>
  <si>
    <r>
      <t xml:space="preserve">We DEGENERALIZE with a testable hypothesis of </t>
    </r>
    <r>
      <rPr>
        <b/>
        <sz val="10"/>
        <color theme="1"/>
        <rFont val="Arial"/>
        <family val="2"/>
      </rPr>
      <t>relational knowing</t>
    </r>
    <r>
      <rPr>
        <sz val="10"/>
        <color theme="1"/>
        <rFont val="Arial"/>
        <family val="2"/>
      </rPr>
      <t xml:space="preserve">: the more of this or that, the more (or less) of that or this. It draws closer to addressing each other's </t>
    </r>
    <r>
      <rPr>
        <i/>
        <sz val="10"/>
        <color theme="1"/>
        <rFont val="Arial"/>
        <family val="2"/>
      </rPr>
      <t>specific</t>
    </r>
    <r>
      <rPr>
        <sz val="10"/>
        <color theme="1"/>
        <rFont val="Arial"/>
        <family val="2"/>
      </rPr>
      <t xml:space="preserve"> needs.</t>
    </r>
  </si>
  <si>
    <r>
      <t xml:space="preserve">Consider each example a conversation starter. Let </t>
    </r>
    <r>
      <rPr>
        <b/>
        <sz val="10"/>
        <color theme="1"/>
        <rFont val="Arial"/>
        <family val="2"/>
      </rPr>
      <t>relational knowing</t>
    </r>
    <r>
      <rPr>
        <sz val="10"/>
        <color theme="1"/>
        <rFont val="Arial"/>
        <family val="2"/>
      </rPr>
      <t xml:space="preserve"> for this issue show us how easily we impact each other. See our opposite emphasis of psychosocial needs create contrasting priorities. Then below, rate these for how well you can agree if this can help us overcome political polarization.</t>
    </r>
  </si>
  <si>
    <r>
      <t xml:space="preserve">We DEALIENATE with </t>
    </r>
    <r>
      <rPr>
        <b/>
        <sz val="10"/>
        <color theme="1"/>
        <rFont val="Arial"/>
        <family val="2"/>
      </rPr>
      <t>impact engaging</t>
    </r>
    <r>
      <rPr>
        <sz val="10"/>
        <color theme="1"/>
        <rFont val="Arial"/>
        <family val="2"/>
      </rPr>
      <t>: converse with each other how political gains or losses impact each other. If we win, seeing how that impacts you. If we lose, see how that impacts us.</t>
    </r>
  </si>
  <si>
    <r>
      <t xml:space="preserve">Consider each example a conversation starter. Let </t>
    </r>
    <r>
      <rPr>
        <b/>
        <sz val="10"/>
        <color theme="1"/>
        <rFont val="Arial"/>
        <family val="2"/>
      </rPr>
      <t>impact engaging</t>
    </r>
    <r>
      <rPr>
        <sz val="10"/>
        <color theme="1"/>
        <rFont val="Arial"/>
        <family val="2"/>
      </rPr>
      <t xml:space="preserve"> for this issue show us how easily we impact each other. See how impersonal laws can alienate us from each other's specific needs. Then below, rate these for how well you can agree if this can help us bridge the alienation reinforced by political polarization.</t>
    </r>
  </si>
  <si>
    <r>
      <t xml:space="preserve">Consider each example a conversation starter. Let </t>
    </r>
    <r>
      <rPr>
        <b/>
        <sz val="10"/>
        <color theme="1"/>
        <rFont val="Arial"/>
        <family val="2"/>
      </rPr>
      <t>value framing</t>
    </r>
    <r>
      <rPr>
        <sz val="10"/>
        <color theme="1"/>
        <rFont val="Arial"/>
        <family val="2"/>
      </rPr>
      <t xml:space="preserve"> for this issue show us how to mutually value each other, beyond our need-prioritizing political differences. Let's mature beyond exaggerating, stereotyping, and provoking mutual defensiveness. Then below, rate these for how well you can agree if this can help us dissolve the animosity in political polarization.</t>
    </r>
  </si>
  <si>
    <r>
      <t xml:space="preserve">We DEPOLARIZE with </t>
    </r>
    <r>
      <rPr>
        <b/>
        <sz val="10"/>
        <color theme="1"/>
        <rFont val="Arial"/>
        <family val="2"/>
      </rPr>
      <t>value framing</t>
    </r>
    <r>
      <rPr>
        <sz val="10"/>
        <color theme="1"/>
        <rFont val="Arial"/>
        <family val="2"/>
      </rPr>
      <t>: it frames our impacted needs in context of impacting the needs of others. It follows the business communication format of 1) a positive, 2) a negative, and 3) the parity of valuing both sides.</t>
    </r>
  </si>
  <si>
    <t>Politics can either serve as a stumbling block or as a stepping stone to address one another’s politicized needs.</t>
  </si>
  <si>
    <t xml:space="preserve">You naturally need to trust others to help address your many needs. You cannot access or create all necessary resources. </t>
  </si>
  <si>
    <r>
      <rPr>
        <b/>
        <sz val="20"/>
        <color rgb="FFE1FFEB"/>
        <rFont val="Tahoma"/>
        <family val="2"/>
      </rPr>
      <t>Introducing</t>
    </r>
    <r>
      <rPr>
        <b/>
        <sz val="20"/>
        <color rgb="FF008237"/>
        <rFont val="Tahoma"/>
        <family val="2"/>
      </rPr>
      <t xml:space="preserve"> </t>
    </r>
    <r>
      <rPr>
        <b/>
        <sz val="20"/>
        <color rgb="FFCCFFCC"/>
        <rFont val="Tahoma"/>
        <family val="2"/>
      </rPr>
      <t>Value</t>
    </r>
    <r>
      <rPr>
        <b/>
        <sz val="20"/>
        <color rgb="FF371950"/>
        <rFont val="Tahoma"/>
        <family val="2"/>
      </rPr>
      <t xml:space="preserve"> </t>
    </r>
    <r>
      <rPr>
        <b/>
        <sz val="20"/>
        <color rgb="FFEBDCFF"/>
        <rFont val="Tahoma"/>
        <family val="2"/>
      </rPr>
      <t>Relating</t>
    </r>
  </si>
  <si>
    <t>View a 21-minute video to understand political orientation better than anyone.</t>
  </si>
  <si>
    <t>Scroll through a slide presentation empowering politics with love.</t>
  </si>
  <si>
    <t>Listen or read a lengthy exposé of this love-empowering politics.</t>
  </si>
  <si>
    <t>Catch the future of politics right here. Or risk getting left behind.</t>
  </si>
  <si>
    <t>u</t>
  </si>
  <si>
    <t>Learn more</t>
  </si>
  <si>
    <r>
      <rPr>
        <sz val="14"/>
        <color rgb="FF4B2364"/>
        <rFont val="Tahoma"/>
        <family val="2"/>
      </rPr>
      <t xml:space="preserve">Go to </t>
    </r>
    <r>
      <rPr>
        <b/>
        <sz val="12"/>
        <color rgb="FF00823C"/>
        <rFont val="Tahoma"/>
        <family val="2"/>
      </rPr>
      <t>Value</t>
    </r>
    <r>
      <rPr>
        <b/>
        <sz val="12"/>
        <color rgb="FF7030A0"/>
        <rFont val="Tahoma"/>
        <family val="2"/>
      </rPr>
      <t>Relating</t>
    </r>
    <r>
      <rPr>
        <b/>
        <sz val="12"/>
        <color rgb="FF4B2364"/>
        <rFont val="Tahoma"/>
        <family val="2"/>
      </rPr>
      <t>.com</t>
    </r>
    <r>
      <rPr>
        <sz val="14"/>
        <color rgb="FF4B2364"/>
        <rFont val="Tahoma"/>
        <family val="2"/>
      </rPr>
      <t xml:space="preserve"> to delve deeper to understand political orientation.</t>
    </r>
  </si>
  <si>
    <r>
      <t xml:space="preserve">Takeaway - </t>
    </r>
    <r>
      <rPr>
        <b/>
        <i/>
        <sz val="10"/>
        <color rgb="FF00823C"/>
        <rFont val="Arial Narrow"/>
        <family val="2"/>
      </rPr>
      <t>apply to your campaign needs</t>
    </r>
  </si>
  <si>
    <r>
      <t xml:space="preserve">See a 90-second thank-you message to </t>
    </r>
    <r>
      <rPr>
        <sz val="12"/>
        <color rgb="FF0070C0"/>
        <rFont val="Tahoma"/>
        <family val="2"/>
      </rPr>
      <t>all liberals</t>
    </r>
    <r>
      <rPr>
        <sz val="12"/>
        <color theme="1"/>
        <rFont val="Tahoma"/>
        <family val="2"/>
      </rPr>
      <t>.</t>
    </r>
  </si>
  <si>
    <r>
      <t xml:space="preserve">See as 90-second thank-you message to </t>
    </r>
    <r>
      <rPr>
        <sz val="12"/>
        <color rgb="FFC00000"/>
        <rFont val="Tahoma"/>
        <family val="2"/>
      </rPr>
      <t>all conservatives</t>
    </r>
    <r>
      <rPr>
        <sz val="12"/>
        <color theme="1"/>
        <rFont val="Tahoma"/>
        <family val="2"/>
      </rPr>
      <t>.</t>
    </r>
  </si>
  <si>
    <t>Watch my eCourse - Defusing Polarization: Beyond Divisive Politics.</t>
  </si>
  <si>
    <t>Slipping into political tension</t>
  </si>
  <si>
    <t>Your client's political views</t>
  </si>
  <si>
    <r>
      <rPr>
        <b/>
        <sz val="12"/>
        <color theme="1"/>
        <rFont val="Cambria"/>
        <family val="1"/>
      </rPr>
      <t>Your client's political outlook</t>
    </r>
    <r>
      <rPr>
        <sz val="12"/>
        <color theme="1"/>
        <rFont val="Cambria"/>
        <family val="1"/>
      </rPr>
      <t xml:space="preserve"> inevitably slips into the therapeutic process. Perhaps you prefer to avoid political differences. But your client relies on politics to convey their publicly affected needs. Those needs are not being met, so they now come to you. How you handle this opportunity correlates with how well you can help your client. And if you can retain your client. 
</t>
    </r>
  </si>
  <si>
    <t>Your client's presenting political outlook:</t>
  </si>
  <si>
    <t>Your own political outlook:</t>
  </si>
  <si>
    <t>Moving therapy beyond popular politics</t>
  </si>
  <si>
    <r>
      <rPr>
        <b/>
        <sz val="12"/>
        <color theme="1"/>
        <rFont val="Cambria"/>
        <family val="1"/>
      </rPr>
      <t>Your client can have political views</t>
    </r>
    <r>
      <rPr>
        <sz val="12"/>
        <color theme="1"/>
        <rFont val="Cambria"/>
        <family val="1"/>
      </rPr>
      <t xml:space="preserve"> sharply divergent from yours without undermining the therapeutic process. Ideally. As long as you recognized the many limits in popular politics. Your client's political views can serve as stepping stones for deeper understanding, or stumbling blocks to any meaningful therapy. This tool breaks down the difference.</t>
    </r>
  </si>
  <si>
    <t>Your client risks your rejection.</t>
  </si>
  <si>
    <t>You risk losing the client, and more.</t>
  </si>
  <si>
    <t>After building up rapport with your client, your client may drop their guard to express their political views on some issue. Perhaps transference emerges, as they project their political angst onto you. If reacting with countertransference by instantly disagreeing (or agreeing) with your client's political views, because it emotionally elicits your vulnerable needs, you risk undermining the therapeutic alliance. Your elicited needs easily distracts full attention to their needs.</t>
  </si>
  <si>
    <r>
      <rPr>
        <b/>
        <sz val="12"/>
        <color theme="1"/>
        <rFont val="Cambria"/>
        <family val="1"/>
      </rPr>
      <t>Harmony Politics</t>
    </r>
    <r>
      <rPr>
        <sz val="12"/>
        <color theme="1"/>
        <rFont val="Cambria"/>
        <family val="1"/>
      </rPr>
      <t xml:space="preserve"> turns popular politics on its head. It rethinks politics as a way for you to relate to your clients' needs, in at least three ways.
</t>
    </r>
  </si>
  <si>
    <t>1. Politics reveals your client's unresolved needs.</t>
  </si>
  <si>
    <t>2. Politics unmasks your client's vulnerable needs.</t>
  </si>
  <si>
    <t>3. Politics exposes structural barriers to needs.</t>
  </si>
  <si>
    <t xml:space="preserve">Our true foes are structurally unresolved needs from too much generalizing. Not each other.
</t>
  </si>
  <si>
    <r>
      <t xml:space="preserve">Therapeutic </t>
    </r>
    <r>
      <rPr>
        <b/>
        <sz val="24"/>
        <color rgb="FF00823C"/>
        <rFont val="Tahoma"/>
        <family val="2"/>
      </rPr>
      <t>Harmony</t>
    </r>
    <r>
      <rPr>
        <b/>
        <sz val="22"/>
        <color rgb="FF00501E"/>
        <rFont val="Tahoma"/>
        <family val="2"/>
      </rPr>
      <t xml:space="preserve"> </t>
    </r>
    <r>
      <rPr>
        <b/>
        <sz val="24"/>
        <color rgb="FF7030A0"/>
        <rFont val="Tahoma"/>
        <family val="2"/>
      </rPr>
      <t>Politics</t>
    </r>
  </si>
  <si>
    <t>Client present populist sentiment?</t>
  </si>
  <si>
    <t>Client's relational orientation (RO):</t>
  </si>
  <si>
    <t>Client's easement orientation (EO):</t>
  </si>
  <si>
    <t>Your client's trust in your expertise</t>
  </si>
  <si>
    <t>Your client's "relational orientation" (RO)</t>
  </si>
  <si>
    <t>Your client's "easement orientation" (EO)</t>
  </si>
  <si>
    <t>1. Identifying affected needs - "degeneralize"</t>
  </si>
  <si>
    <t>2. Expressing affected needs - "dealienate"</t>
  </si>
  <si>
    <t>3. Addressing affected needs - "depolarize"</t>
  </si>
  <si>
    <t>ISSUES</t>
  </si>
  <si>
    <t>POLICE BRUTALITY</t>
  </si>
  <si>
    <t>VOTING FAIRNESS</t>
  </si>
  <si>
    <t>COVID SAFETY</t>
  </si>
  <si>
    <t>Police brutality</t>
  </si>
  <si>
    <t>Voting fairness</t>
  </si>
  <si>
    <t>Covid safety</t>
  </si>
  <si>
    <t>police brutality</t>
  </si>
  <si>
    <t>voting fairness</t>
  </si>
  <si>
    <t>covid safety</t>
  </si>
  <si>
    <t>Voter suppression</t>
  </si>
  <si>
    <t>Voter fraud</t>
  </si>
  <si>
    <t>voter suppression</t>
  </si>
  <si>
    <t>voter fraud</t>
  </si>
  <si>
    <t>Systemic</t>
  </si>
  <si>
    <t>Overreported</t>
  </si>
  <si>
    <t>Left stance</t>
  </si>
  <si>
    <t>Right stance</t>
  </si>
  <si>
    <t>Pro-choice</t>
  </si>
  <si>
    <t>Reproductive rights</t>
  </si>
  <si>
    <t>Unborn rights</t>
  </si>
  <si>
    <t>reproductive rights</t>
  </si>
  <si>
    <t>unborn rights</t>
  </si>
  <si>
    <t>pro-choice</t>
  </si>
  <si>
    <t>pro-life</t>
  </si>
  <si>
    <t>Pro-life</t>
  </si>
  <si>
    <t>W need</t>
  </si>
  <si>
    <t>D need</t>
  </si>
  <si>
    <t>W focus</t>
  </si>
  <si>
    <t>D focus</t>
  </si>
  <si>
    <t>Stance action</t>
  </si>
  <si>
    <t>W ease</t>
  </si>
  <si>
    <t>protect the mother's choice</t>
  </si>
  <si>
    <t>protect the unborn's life</t>
  </si>
  <si>
    <t>trust citizens to choose</t>
  </si>
  <si>
    <t>Racialized policing</t>
  </si>
  <si>
    <t>Few racist cops</t>
  </si>
  <si>
    <t>communities of color</t>
  </si>
  <si>
    <t>Distrust big business elites</t>
  </si>
  <si>
    <t>Distrust big government elites</t>
  </si>
  <si>
    <t>Left populism</t>
  </si>
  <si>
    <t>Right populism</t>
  </si>
  <si>
    <t>Easy entry</t>
  </si>
  <si>
    <t>Vetted entry</t>
  </si>
  <si>
    <t>Soft borders</t>
  </si>
  <si>
    <t>poor immigrants</t>
  </si>
  <si>
    <t>separate families</t>
  </si>
  <si>
    <t>cage children</t>
  </si>
  <si>
    <t>W worse1</t>
  </si>
  <si>
    <t>D worse1</t>
  </si>
  <si>
    <t>W worse2</t>
  </si>
  <si>
    <t>D worse2</t>
  </si>
  <si>
    <t>lose jobs to migrants</t>
  </si>
  <si>
    <t>lose workforce</t>
  </si>
  <si>
    <t>build a wall</t>
  </si>
  <si>
    <t>PROGRESSIVE</t>
  </si>
  <si>
    <t>Progressive</t>
  </si>
  <si>
    <t>progressive</t>
  </si>
  <si>
    <t>Trumpism</t>
  </si>
  <si>
    <t>LIBERAL</t>
  </si>
  <si>
    <t>LIBERTARIAN</t>
  </si>
  <si>
    <t>COMMUNIST</t>
  </si>
  <si>
    <t>TEA PARTY</t>
  </si>
  <si>
    <t>ALT-RIGHT</t>
  </si>
  <si>
    <t>FAR-FIGHT</t>
  </si>
  <si>
    <t>SOCIAL DEMOCRAT</t>
  </si>
  <si>
    <t>CENTRIST</t>
  </si>
  <si>
    <t>INDEPENDENT</t>
  </si>
  <si>
    <t>UNDECIDED</t>
  </si>
  <si>
    <t>OTHER</t>
  </si>
  <si>
    <t>TRUMPIST</t>
  </si>
  <si>
    <t>LEFT ANARCHIST</t>
  </si>
  <si>
    <t>Populism</t>
  </si>
  <si>
    <t>populism</t>
  </si>
  <si>
    <t>CONSERVATIVE</t>
  </si>
  <si>
    <t>risk their life to save another</t>
  </si>
  <si>
    <t>more general than specific</t>
  </si>
  <si>
    <t>more relief than resolve</t>
  </si>
  <si>
    <t>more specific than general</t>
  </si>
  <si>
    <t>more resolve than relief</t>
  </si>
  <si>
    <t>uncertain</t>
  </si>
  <si>
    <t>W worse3</t>
  </si>
  <si>
    <t>D worse3</t>
  </si>
  <si>
    <t>W challenge2</t>
  </si>
  <si>
    <t>W challenge1</t>
  </si>
  <si>
    <t>isolation</t>
  </si>
  <si>
    <t>stress</t>
  </si>
  <si>
    <t>opposing/similar</t>
  </si>
  <si>
    <t xml:space="preserve">For starters, politics provides you and your clients a popular way to convey your affected priority of needs. If you expect your client to experience the same priority of needs as you, and your client expresses </t>
  </si>
  <si>
    <t xml:space="preserve"> political views, you risk countertransference. You risk rejecting your client, who may then reject you.
</t>
  </si>
  <si>
    <t>-related needs, your client may suddenly cancel any further sessions.</t>
  </si>
  <si>
    <t xml:space="preserve">. If you seem to threaten their trusted political way to cope with their </t>
  </si>
  <si>
    <t xml:space="preserve">If clinging to the notion that politics is based on rational agreements, you may unconsciously expect your client to link their thinking with yours on </t>
  </si>
  <si>
    <t xml:space="preserve">As a counselor, you can now understand how your client experiences </t>
  </si>
  <si>
    <t xml:space="preserve">-related challenges like </t>
  </si>
  <si>
    <t xml:space="preserve"> and </t>
  </si>
  <si>
    <t xml:space="preserve"> through the lens of their prioritized needs. Think of their political views as a helpful window into their priority of needs.</t>
  </si>
  <si>
    <t xml:space="preserve">You gravitate to certain political beliefs because they serve your particular set of needs. Now you can relate to the particular set of needs of others expressed by beliefs different from your own, including your clients. Your political beliefs about </t>
  </si>
  <si>
    <t xml:space="preserve"> serve your specific needs. Your client likey has a different experience of needs around </t>
  </si>
  <si>
    <t xml:space="preserve">. You understand their experience of </t>
  </si>
  <si>
    <t xml:space="preserve"> through their political views. You leave notions of rational choice at the door. </t>
  </si>
  <si>
    <t xml:space="preserve">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
</t>
  </si>
  <si>
    <t xml:space="preserve">You probably do not think of political disagreement as rejection. But the more their needs tie into their </t>
  </si>
  <si>
    <t>Personal</t>
  </si>
  <si>
    <t>Gun control</t>
  </si>
  <si>
    <t>Gun rights</t>
  </si>
  <si>
    <t>Market solutions</t>
  </si>
  <si>
    <t>L epith</t>
  </si>
  <si>
    <t>R epith</t>
  </si>
  <si>
    <t>Free speech</t>
  </si>
  <si>
    <t>free speech</t>
  </si>
  <si>
    <t>Equal access</t>
  </si>
  <si>
    <t>Responsible health</t>
  </si>
  <si>
    <t>Nature corrects</t>
  </si>
  <si>
    <t>Priv insurance</t>
  </si>
  <si>
    <t>Gov't administered</t>
  </si>
  <si>
    <t>Self-protection</t>
  </si>
  <si>
    <t>Gov't protection</t>
  </si>
  <si>
    <t>Reform</t>
  </si>
  <si>
    <t>Improve</t>
  </si>
  <si>
    <t>Gov't led</t>
  </si>
  <si>
    <t>Market led</t>
  </si>
  <si>
    <t>easy entry</t>
  </si>
  <si>
    <t>Gov't regulations</t>
  </si>
  <si>
    <t>market solutions</t>
  </si>
  <si>
    <t>vetted entry</t>
  </si>
  <si>
    <t>self-protection</t>
  </si>
  <si>
    <t>soft borders</t>
  </si>
  <si>
    <t>reform</t>
  </si>
  <si>
    <t>systemic</t>
  </si>
  <si>
    <t>racialized policing</t>
  </si>
  <si>
    <t>firm borders</t>
  </si>
  <si>
    <t>Firm borders</t>
  </si>
  <si>
    <t>personal</t>
  </si>
  <si>
    <t>few racist cops</t>
  </si>
  <si>
    <t>gun control</t>
  </si>
  <si>
    <t>gun rights</t>
  </si>
  <si>
    <t>microaggressions</t>
  </si>
  <si>
    <t>Every voice heard</t>
  </si>
  <si>
    <t>Meritorious speech</t>
  </si>
  <si>
    <t xml:space="preserve">The more your client's needs remain unresolved, the more apt to generalize for relief. The more they cling to political generalizations. </t>
  </si>
  <si>
    <t>The more your client's needs can resolve, the less prone to generalize for relief. The less attached they are to political generalizations.</t>
  </si>
  <si>
    <t>equal access</t>
  </si>
  <si>
    <t>responsible health</t>
  </si>
  <si>
    <t>fear</t>
  </si>
  <si>
    <t>insecurity</t>
  </si>
  <si>
    <t>anxiety</t>
  </si>
  <si>
    <t>noncitizen voting</t>
  </si>
  <si>
    <t>Risk death</t>
  </si>
  <si>
    <t>Risk economy</t>
  </si>
  <si>
    <t>end all forms of racism</t>
  </si>
  <si>
    <t>Individual racists</t>
  </si>
  <si>
    <t>Structural racism</t>
  </si>
  <si>
    <t>Support police</t>
  </si>
  <si>
    <t>Support POC</t>
  </si>
  <si>
    <t>Minority voters</t>
  </si>
  <si>
    <t>Patriot voters</t>
  </si>
  <si>
    <t>market led</t>
  </si>
  <si>
    <t>structural racism</t>
  </si>
  <si>
    <t>patriot voters</t>
  </si>
  <si>
    <t>every voice heard</t>
  </si>
  <si>
    <t>meritorious speech</t>
  </si>
  <si>
    <t>gun owners</t>
  </si>
  <si>
    <t>tighten gun laws</t>
  </si>
  <si>
    <t>uninsured</t>
  </si>
  <si>
    <t>victims</t>
  </si>
  <si>
    <t>consumers</t>
  </si>
  <si>
    <t>producers</t>
  </si>
  <si>
    <t>high risk individuals</t>
  </si>
  <si>
    <t>reduce carbon emissions</t>
  </si>
  <si>
    <t>overhaul policing</t>
  </si>
  <si>
    <t>tax the 1%</t>
  </si>
  <si>
    <t>reduce taxes</t>
  </si>
  <si>
    <t>call them _____"</t>
  </si>
  <si>
    <t>alienation</t>
  </si>
  <si>
    <t>loneliness</t>
  </si>
  <si>
    <t>anguish</t>
  </si>
  <si>
    <t>powerlessness</t>
  </si>
  <si>
    <t>EMOTIONS</t>
  </si>
  <si>
    <t>POPGEN: suppress emotions with rational supremacy</t>
  </si>
  <si>
    <t>anger</t>
  </si>
  <si>
    <t>W felt need</t>
  </si>
  <si>
    <t>D challenge1</t>
  </si>
  <si>
    <t>D challenge2</t>
  </si>
  <si>
    <t>D felt need</t>
  </si>
  <si>
    <t>D ease</t>
  </si>
  <si>
    <t>W gen soc</t>
  </si>
  <si>
    <t>D gen self</t>
  </si>
  <si>
    <t>W guard self</t>
  </si>
  <si>
    <t>D guard soc</t>
  </si>
  <si>
    <t>local cohesion</t>
  </si>
  <si>
    <t>psychosocial priority needs</t>
  </si>
  <si>
    <t>equal support</t>
  </si>
  <si>
    <t>full inclusion</t>
  </si>
  <si>
    <t>"…as other side gen ____ while guarding their ____"</t>
  </si>
  <si>
    <t>"Your side generalizes for ____ while guarding ____"</t>
  </si>
  <si>
    <t>disillusion</t>
  </si>
  <si>
    <t>disgust</t>
  </si>
  <si>
    <t>irritation</t>
  </si>
  <si>
    <t>pessimism</t>
  </si>
  <si>
    <t>rejection</t>
  </si>
  <si>
    <t>discrimination</t>
  </si>
  <si>
    <t>disincentivization</t>
  </si>
  <si>
    <t>vigilance</t>
  </si>
  <si>
    <t>vulnerability</t>
  </si>
  <si>
    <t>suspicion</t>
  </si>
  <si>
    <t>terror</t>
  </si>
  <si>
    <t>helplessness</t>
  </si>
  <si>
    <t>hostility</t>
  </si>
  <si>
    <t>outrage</t>
  </si>
  <si>
    <t>humiliation</t>
  </si>
  <si>
    <t>exasperation</t>
  </si>
  <si>
    <t>frustration</t>
  </si>
  <si>
    <t>seclusion</t>
  </si>
  <si>
    <t>uncertainty</t>
  </si>
  <si>
    <t>distress</t>
  </si>
  <si>
    <t>W overgen</t>
  </si>
  <si>
    <t>D overgen</t>
  </si>
  <si>
    <t>W degen</t>
  </si>
  <si>
    <t>D degen</t>
  </si>
  <si>
    <t>let anyone enter</t>
  </si>
  <si>
    <t>keep all out</t>
  </si>
  <si>
    <t>those risking income loss</t>
  </si>
  <si>
    <t>affected nativists</t>
  </si>
  <si>
    <t>desperate immigrants</t>
  </si>
  <si>
    <t>environmental activists</t>
  </si>
  <si>
    <t>repeal all regulations</t>
  </si>
  <si>
    <t>degen: "empathize with ___"</t>
  </si>
  <si>
    <t>CATASTROPHIZE</t>
  </si>
  <si>
    <t>equal protection</t>
  </si>
  <si>
    <t>life sanctity</t>
  </si>
  <si>
    <t>group dependability</t>
  </si>
  <si>
    <t>[A]</t>
  </si>
  <si>
    <t>[B]</t>
  </si>
  <si>
    <t>[C]</t>
  </si>
  <si>
    <t>[D]</t>
  </si>
  <si>
    <t>self-initiative</t>
  </si>
  <si>
    <t>equal inclusion</t>
  </si>
  <si>
    <t>full equality</t>
  </si>
  <si>
    <t>equal opportunity</t>
  </si>
  <si>
    <t>equal safety</t>
  </si>
  <si>
    <t>merited belonging</t>
  </si>
  <si>
    <t>1st responders support</t>
  </si>
  <si>
    <t>ballot access</t>
  </si>
  <si>
    <t>internal incentives</t>
  </si>
  <si>
    <t>health traditions</t>
  </si>
  <si>
    <t>public spaces</t>
  </si>
  <si>
    <t>unique health needs</t>
  </si>
  <si>
    <t>traditional health results</t>
  </si>
  <si>
    <t>democratic autonomy</t>
  </si>
  <si>
    <t>medical privacy</t>
  </si>
  <si>
    <t>for freedom of movement</t>
  </si>
  <si>
    <t>for secure borders</t>
  </si>
  <si>
    <t>for a livable habitat</t>
  </si>
  <si>
    <t>for economic resources</t>
  </si>
  <si>
    <t>for freedom from fear</t>
  </si>
  <si>
    <t>for self-protection</t>
  </si>
  <si>
    <t>for bodily autonomy</t>
  </si>
  <si>
    <t>to give voice for the voiceless unborn</t>
  </si>
  <si>
    <t>to freely access healthcare</t>
  </si>
  <si>
    <t>for stable healthcare</t>
  </si>
  <si>
    <t>to address causes of crime</t>
  </si>
  <si>
    <t>to safeguard consumers</t>
  </si>
  <si>
    <t>to incentivize producers</t>
  </si>
  <si>
    <t>to recognize structural discrimination</t>
  </si>
  <si>
    <t>to affirm removal of covert racism</t>
  </si>
  <si>
    <t>for unbiased first responders</t>
  </si>
  <si>
    <t>to support first responders</t>
  </si>
  <si>
    <t>for unhindered voting</t>
  </si>
  <si>
    <t>to sustain relevancy</t>
  </si>
  <si>
    <t>to avoid the pandemic's spread</t>
  </si>
  <si>
    <t>to avoid further economic damage</t>
  </si>
  <si>
    <t>to hear the least heard</t>
  </si>
  <si>
    <t>to insure a free flow of ideas</t>
  </si>
  <si>
    <t>stop using all fossil fuels</t>
  </si>
  <si>
    <t>outlaw all guns</t>
  </si>
  <si>
    <t>repeal all gun control laws</t>
  </si>
  <si>
    <t>allow abortion on demand for all new moms</t>
  </si>
  <si>
    <t>prohibit abortion under any circumstance</t>
  </si>
  <si>
    <t>provide healthcare only to those living responsibly</t>
  </si>
  <si>
    <t>abolish the police</t>
  </si>
  <si>
    <t>let the economy run without any government input</t>
  </si>
  <si>
    <t>abolish all forms of detention</t>
  </si>
  <si>
    <t>let government manage the economy</t>
  </si>
  <si>
    <t>shame all racial faux pas</t>
  </si>
  <si>
    <t>delare racism as all in the past</t>
  </si>
  <si>
    <t>let police be harsh as necessary</t>
  </si>
  <si>
    <t>see voter fraud keeping Democrats in power</t>
  </si>
  <si>
    <t>see voter suppression keeping Republicans in power</t>
  </si>
  <si>
    <t>follow China's lockdown model</t>
  </si>
  <si>
    <t>let herd immunity run its course</t>
  </si>
  <si>
    <t>deplatform any speaker for a microaggression</t>
  </si>
  <si>
    <t>overgen: "overgeneralize by saying "</t>
  </si>
  <si>
    <t>shooting victims</t>
  </si>
  <si>
    <t>distressed new mothers</t>
  </si>
  <si>
    <t>voiceless unborn</t>
  </si>
  <si>
    <t>traditionally insured</t>
  </si>
  <si>
    <t>killed officer's family</t>
  </si>
  <si>
    <t>distressed conservatives</t>
  </si>
  <si>
    <t>wrongly convicted</t>
  </si>
  <si>
    <t>chronically unemployed</t>
  </si>
  <si>
    <t>discrimination victims</t>
  </si>
  <si>
    <t>police lethal-force victims</t>
  </si>
  <si>
    <t>distressed liberals</t>
  </si>
  <si>
    <t>healthcare worker victims</t>
  </si>
  <si>
    <t>Needs come first. Political and other beliefs serving those beliefs arrive after.</t>
  </si>
  <si>
    <t>the new mother</t>
  </si>
  <si>
    <t>the unborn</t>
  </si>
  <si>
    <r>
      <t xml:space="preserve">Anankelogy appreciates politics as the outward expression of an inward psychosocial orientation. Needs come first, their expression in politics arrives later. If more of your </t>
    </r>
    <r>
      <rPr>
        <i/>
        <sz val="12"/>
        <color theme="1"/>
        <rFont val="Cambria"/>
        <family val="1"/>
      </rPr>
      <t>self-needs</t>
    </r>
    <r>
      <rPr>
        <sz val="12"/>
        <color theme="1"/>
        <rFont val="Cambria"/>
        <family val="1"/>
      </rPr>
      <t xml:space="preserve"> resolve than your </t>
    </r>
    <r>
      <rPr>
        <i/>
        <sz val="12"/>
        <color theme="1"/>
        <rFont val="Cambria"/>
        <family val="1"/>
      </rPr>
      <t>social-needs</t>
    </r>
    <r>
      <rPr>
        <sz val="12"/>
        <color theme="1"/>
        <rFont val="Cambria"/>
        <family val="1"/>
      </rPr>
      <t xml:space="preserve">, because of your life situation, you tend to have a </t>
    </r>
    <r>
      <rPr>
        <b/>
        <sz val="12"/>
        <color theme="1"/>
        <rFont val="Cambria"/>
        <family val="1"/>
      </rPr>
      <t>wide-orientation</t>
    </r>
    <r>
      <rPr>
        <sz val="12"/>
        <color theme="1"/>
        <rFont val="Cambria"/>
        <family val="1"/>
      </rPr>
      <t xml:space="preserve">. You express your prioritized needs with </t>
    </r>
    <r>
      <rPr>
        <b/>
        <i/>
        <sz val="12"/>
        <color theme="1"/>
        <rFont val="Cambria"/>
        <family val="1"/>
      </rPr>
      <t>liberalism</t>
    </r>
    <r>
      <rPr>
        <sz val="12"/>
        <color theme="1"/>
        <rFont val="Cambria"/>
        <family val="1"/>
      </rPr>
      <t xml:space="preserve">. If more of your </t>
    </r>
    <r>
      <rPr>
        <i/>
        <sz val="12"/>
        <color theme="1"/>
        <rFont val="Cambria"/>
        <family val="1"/>
      </rPr>
      <t>social-needs</t>
    </r>
    <r>
      <rPr>
        <sz val="12"/>
        <color theme="1"/>
        <rFont val="Cambria"/>
        <family val="1"/>
      </rPr>
      <t xml:space="preserve"> resolve than your </t>
    </r>
    <r>
      <rPr>
        <i/>
        <sz val="12"/>
        <color theme="1"/>
        <rFont val="Cambria"/>
        <family val="1"/>
      </rPr>
      <t>self-needs</t>
    </r>
    <r>
      <rPr>
        <sz val="12"/>
        <color theme="1"/>
        <rFont val="Cambria"/>
        <family val="1"/>
      </rPr>
      <t xml:space="preserve">, because of your situation, you tend to have a </t>
    </r>
    <r>
      <rPr>
        <b/>
        <sz val="12"/>
        <color theme="1"/>
        <rFont val="Cambria"/>
        <family val="1"/>
      </rPr>
      <t>deep-orientation</t>
    </r>
    <r>
      <rPr>
        <sz val="12"/>
        <color theme="1"/>
        <rFont val="Cambria"/>
        <family val="1"/>
      </rPr>
      <t xml:space="preserve">. You express your prioritized needs with </t>
    </r>
    <r>
      <rPr>
        <b/>
        <i/>
        <sz val="12"/>
        <color theme="1"/>
        <rFont val="Cambria"/>
        <family val="1"/>
      </rPr>
      <t>conservatism</t>
    </r>
    <r>
      <rPr>
        <sz val="12"/>
        <color theme="1"/>
        <rFont val="Cambria"/>
        <family val="1"/>
      </rPr>
      <t xml:space="preserve">.
</t>
    </r>
  </si>
  <si>
    <r>
      <t xml:space="preserve">Politics typically divides between a side accommodating </t>
    </r>
    <r>
      <rPr>
        <i/>
        <sz val="12"/>
        <color theme="1"/>
        <rFont val="Cambria"/>
        <family val="1"/>
      </rPr>
      <t>self-needs</t>
    </r>
    <r>
      <rPr>
        <sz val="12"/>
        <color theme="1"/>
        <rFont val="Cambria"/>
        <family val="1"/>
      </rPr>
      <t xml:space="preserve"> prioritizing over </t>
    </r>
    <r>
      <rPr>
        <i/>
        <sz val="12"/>
        <color theme="1"/>
        <rFont val="Cambria"/>
        <family val="1"/>
      </rPr>
      <t>social-needs</t>
    </r>
    <r>
      <rPr>
        <sz val="12"/>
        <color theme="1"/>
        <rFont val="Cambria"/>
        <family val="1"/>
      </rPr>
      <t xml:space="preserve"> and a side accommodating </t>
    </r>
    <r>
      <rPr>
        <i/>
        <sz val="12"/>
        <color theme="1"/>
        <rFont val="Cambria"/>
        <family val="1"/>
      </rPr>
      <t>social-needs</t>
    </r>
    <r>
      <rPr>
        <sz val="12"/>
        <color theme="1"/>
        <rFont val="Cambria"/>
        <family val="1"/>
      </rPr>
      <t xml:space="preserve"> prioritizing over </t>
    </r>
    <r>
      <rPr>
        <i/>
        <sz val="12"/>
        <color theme="1"/>
        <rFont val="Cambria"/>
        <family val="1"/>
      </rPr>
      <t>self-needs</t>
    </r>
    <r>
      <rPr>
        <sz val="12"/>
        <color theme="1"/>
        <rFont val="Cambria"/>
        <family val="1"/>
      </rPr>
      <t xml:space="preserve">. Learn more about this psychosocial orientation in the </t>
    </r>
    <r>
      <rPr>
        <b/>
        <sz val="12"/>
        <color theme="1"/>
        <rFont val="Cambria"/>
        <family val="1"/>
      </rPr>
      <t>HP</t>
    </r>
    <r>
      <rPr>
        <sz val="12"/>
        <color theme="1"/>
        <rFont val="Cambria"/>
        <family val="1"/>
      </rPr>
      <t xml:space="preserve"> tab.
</t>
    </r>
  </si>
  <si>
    <r>
      <t xml:space="preserve">The new social science of </t>
    </r>
    <r>
      <rPr>
        <b/>
        <i/>
        <sz val="12"/>
        <color theme="1"/>
        <rFont val="Cambria"/>
        <family val="1"/>
      </rPr>
      <t>anankelogy</t>
    </r>
    <r>
      <rPr>
        <sz val="12"/>
        <color theme="1"/>
        <rFont val="Cambria"/>
        <family val="1"/>
      </rPr>
      <t xml:space="preserve">, the study of need, provides a robust understanding of politics as a way to agree on support to ease shared needs. According to anankelogy, politics is </t>
    </r>
    <r>
      <rPr>
        <i/>
        <sz val="12"/>
        <color theme="1"/>
        <rFont val="Cambria"/>
        <family val="1"/>
      </rPr>
      <t>the art of generalizing how to agreeably address needs in different situations</t>
    </r>
    <r>
      <rPr>
        <sz val="12"/>
        <color theme="1"/>
        <rFont val="Cambria"/>
        <family val="1"/>
      </rPr>
      <t xml:space="preserve">. Urban situations tend to create a different priority of needs than rural situations. Contrary to popular belief, politics is less about reasoned arguing and more about irrational needs.
</t>
    </r>
  </si>
  <si>
    <t>You cannot know everyone's needs. Nor can others know all of your needs.</t>
  </si>
  <si>
    <t>Anankelogy also finds we have a set way for easing our painful needs. Simplified here, you either prioritize relief or resolve. You either go first to what eases the mounting pain from your unresolved public facing needs, or you endure the grinding discomfort to prioritize resolving the need. Only by resolving the needs will its pain finally dissapate. Politics temps you to first go for the easy road of pain relief. Once attached to relieving your pain, your needs are less likely to resolve. You then rely on the pain relief of politics to get by.</t>
  </si>
  <si>
    <t>CLIENT:</t>
  </si>
  <si>
    <t>COUNSELOR:</t>
  </si>
  <si>
    <r>
      <rPr>
        <b/>
        <sz val="10"/>
        <color rgb="FF00B050"/>
        <rFont val="Arial Narrow"/>
        <family val="2"/>
      </rPr>
      <t>CLIENT POSITION</t>
    </r>
    <r>
      <rPr>
        <sz val="10"/>
        <color rgb="FF00B050"/>
        <rFont val="Arial Narrow"/>
        <family val="2"/>
      </rPr>
      <t>:</t>
    </r>
  </si>
  <si>
    <r>
      <rPr>
        <b/>
        <sz val="10"/>
        <color rgb="FF00B050"/>
        <rFont val="Arial Narrow"/>
        <family val="2"/>
      </rPr>
      <t>CLIENT FOCUS</t>
    </r>
    <r>
      <rPr>
        <sz val="10"/>
        <color rgb="FF00B050"/>
        <rFont val="Arial Narrow"/>
        <family val="2"/>
      </rPr>
      <t>:</t>
    </r>
  </si>
  <si>
    <r>
      <rPr>
        <b/>
        <sz val="10"/>
        <color rgb="FF7030A0"/>
        <rFont val="Arial Narrow"/>
        <family val="2"/>
      </rPr>
      <t>COUNSELOR POSITION</t>
    </r>
    <r>
      <rPr>
        <sz val="10"/>
        <color rgb="FF7030A0"/>
        <rFont val="Arial Narrow"/>
        <family val="2"/>
      </rPr>
      <t>:</t>
    </r>
  </si>
  <si>
    <r>
      <rPr>
        <b/>
        <sz val="10"/>
        <color rgb="FF7030A0"/>
        <rFont val="Arial Narrow"/>
        <family val="2"/>
      </rPr>
      <t>COUNSELOR FOCUS</t>
    </r>
    <r>
      <rPr>
        <sz val="10"/>
        <color rgb="FF7030A0"/>
        <rFont val="Arial Narrow"/>
        <family val="2"/>
      </rPr>
      <t>:</t>
    </r>
  </si>
  <si>
    <t>self-needs, like authenticity and privacy</t>
  </si>
  <si>
    <t>social-needs, like cohesion and support</t>
  </si>
  <si>
    <t>social-needs, like inclusion and fairness</t>
  </si>
  <si>
    <t>self-needs, like self-initiative and independence</t>
  </si>
  <si>
    <t xml:space="preserve">This HP tool helps you translate your client's political rhetoric into their current priority of needs. First, at the level of access to public resources to address their </t>
  </si>
  <si>
    <t xml:space="preserve">Politics lets your client guard their vulnerable needs beneath a cloak of publically supported beliefs. They count on that support to insist what others must do, to respect their </t>
  </si>
  <si>
    <t xml:space="preserve">-affected needs. They get to check how much you respect their </t>
  </si>
  <si>
    <t xml:space="preserve">-affected needs. You can show the deepest respect by affirming their underlying needs, without premature agreement or disagreement for what to do about such needs. You acknowledge how important it must be for them to </t>
  </si>
  <si>
    <t xml:space="preserve">HP helps you distinguish between the inflexible prioritized needs around </t>
  </si>
  <si>
    <t xml:space="preserve">Politics expresses agreement about ideas, about </t>
  </si>
  <si>
    <t xml:space="preserve">. You resist that pull, to go straight to the needs affected by </t>
  </si>
  <si>
    <t xml:space="preserve">. You affirm those needs without jumping ahead to what is to be done about those vulnerable needs affected by </t>
  </si>
  <si>
    <t xml:space="preserve"> against </t>
  </si>
  <si>
    <t xml:space="preserve">Politics is largely a contest around generalizations. </t>
  </si>
  <si>
    <t xml:space="preserve"> issue starts with the generalization of pitting </t>
  </si>
  <si>
    <t xml:space="preserve">. Helping your client see beyond this overgeneralizing binary can free them from viewing the other political side as some mortal enemy. </t>
  </si>
  <si>
    <t xml:space="preserve"> You can help them see unresolved needs on all sides as the true foe.</t>
  </si>
  <si>
    <t xml:space="preserve">-affected needs of </t>
  </si>
  <si>
    <t xml:space="preserve"> over the </t>
  </si>
  <si>
    <t xml:space="preserve">. This positions each other's priority of publicly affected needs against each other. It is about one group generalizing their </t>
  </si>
  <si>
    <t xml:space="preserve">-related needs as the only standard for society, which disrespects the different </t>
  </si>
  <si>
    <t xml:space="preserve">-related needs of others. This always exposes a structural error beyond personal control.
</t>
  </si>
  <si>
    <t xml:space="preserve"> against the needs of </t>
  </si>
  <si>
    <t xml:space="preserve">, or with the needs of </t>
  </si>
  <si>
    <t xml:space="preserve">Our challenge, as helping professionals, is to help each individual resolve their needs in sync with others resolving theirs. That requires letting go of each other's pain-relieving generalizations. To turn opposing political views on </t>
  </si>
  <si>
    <t xml:space="preserve"> into specific steps for resolving </t>
  </si>
  <si>
    <t xml:space="preserve">-related needs, starting with your client's </t>
  </si>
  <si>
    <t xml:space="preserve">-related needs. Welcome to Harmony Politics, the antidote to the divisiveness of popular politics. And a free tool for you to retain your ideologically diverse clients.
</t>
  </si>
  <si>
    <t xml:space="preserve">You first experience a need </t>
  </si>
  <si>
    <t xml:space="preserve">, or vicariously experience others' need </t>
  </si>
  <si>
    <t xml:space="preserve">. Your client first experiences a need </t>
  </si>
  <si>
    <t>".</t>
  </si>
  <si>
    <t xml:space="preserve"> while guarding </t>
  </si>
  <si>
    <t xml:space="preserve"> while guarding their </t>
  </si>
  <si>
    <t>. To ease that need, your client may overgeneralize by saying "</t>
  </si>
  <si>
    <t>" while the other side overgeneralizes by saying "</t>
  </si>
  <si>
    <t xml:space="preserve">. The other side generalizes </t>
  </si>
  <si>
    <t xml:space="preserve">Through the lens of their psychosocial orientation, your client views the affected needs of </t>
  </si>
  <si>
    <t xml:space="preserve"> over the affected needs of </t>
  </si>
  <si>
    <t xml:space="preserve">. Their priority of needs compels them to </t>
  </si>
  <si>
    <t xml:space="preserve">. They can hardly empathize with the other side's priority to </t>
  </si>
  <si>
    <t xml:space="preserve">Spurred into further generalizing, each side imagines the worst in the other. Your client may express outrage that </t>
  </si>
  <si>
    <t xml:space="preserve"> or </t>
  </si>
  <si>
    <t xml:space="preserve">Democrats </t>
  </si>
  <si>
    <t xml:space="preserve">Republicans </t>
  </si>
  <si>
    <t>You have no need to debate when you can more honestly relate.</t>
  </si>
  <si>
    <t>De-alienating</t>
  </si>
  <si>
    <t>De-polarizing</t>
  </si>
  <si>
    <t>De-generalizing</t>
  </si>
  <si>
    <t>TAKEAWAY</t>
  </si>
  <si>
    <t>We cannot solve our specific problems from the level of generalizing that created them.</t>
  </si>
  <si>
    <t>agree</t>
  </si>
  <si>
    <t>disagree</t>
  </si>
  <si>
    <t xml:space="preserve">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t>
  </si>
  <si>
    <t xml:space="preserve"> than to vulnerably admit they struggle with </t>
  </si>
  <si>
    <t xml:space="preserve">It generally is easier for them to change their expressed views than alter their politically charged feelings. They personally cannot do much about the issue of </t>
  </si>
  <si>
    <t xml:space="preserve">, but they can feel supported by those who agree with their </t>
  </si>
  <si>
    <t xml:space="preserve"> stance. Their feeling of </t>
  </si>
  <si>
    <t xml:space="preserve"> express the vulnerability of their publicly affected needs. They cannot change those feelings or their vulnerable needs for </t>
  </si>
  <si>
    <t xml:space="preserve"> as easily as they can alter their </t>
  </si>
  <si>
    <t xml:space="preserve"> views to fit a friendly or hostile audience. </t>
  </si>
  <si>
    <t xml:space="preserve">You peal back their layers of protected alienation to help resolve their deeper needs. Harmony Politics helps you reverse engineer their emotionally charged </t>
  </si>
  <si>
    <t xml:space="preserve"> could undermine this intimate journey into greater self-awareness.</t>
  </si>
  <si>
    <t xml:space="preserve"> with their </t>
  </si>
  <si>
    <t xml:space="preserve">. If you miss this opportunity to connect beyond their </t>
  </si>
  <si>
    <t xml:space="preserve"> stance on </t>
  </si>
  <si>
    <r>
      <t>In large societies like ours, we rely on impersonal norms to ensure we minimally respect each other's public facing needs. Politics contest if those norms should favor easing those needs mostly through others (</t>
    </r>
    <r>
      <rPr>
        <b/>
        <i/>
        <sz val="12"/>
        <color theme="1"/>
        <rFont val="Cambria"/>
        <family val="1"/>
      </rPr>
      <t>wide-oriented</t>
    </r>
    <r>
      <rPr>
        <sz val="12"/>
        <color theme="1"/>
        <rFont val="Cambria"/>
        <family val="1"/>
      </rPr>
      <t>) or mostly on one's own (</t>
    </r>
    <r>
      <rPr>
        <b/>
        <i/>
        <sz val="12"/>
        <color theme="1"/>
        <rFont val="Cambria"/>
        <family val="1"/>
      </rPr>
      <t>deep-oriented</t>
    </r>
    <r>
      <rPr>
        <sz val="12"/>
        <color theme="1"/>
        <rFont val="Cambria"/>
        <family val="1"/>
      </rPr>
      <t xml:space="preserve">). Without knowing each other's needs personally, we expect others to conform to </t>
    </r>
    <r>
      <rPr>
        <b/>
        <sz val="12"/>
        <color theme="1"/>
        <rFont val="Cambria"/>
        <family val="1"/>
      </rPr>
      <t>public norms</t>
    </r>
    <r>
      <rPr>
        <sz val="12"/>
        <color theme="1"/>
        <rFont val="Cambria"/>
        <family val="1"/>
      </rPr>
      <t xml:space="preserve"> to safeguard our public facing needs. This adds to the challenge to knowing your client's affected needs.</t>
    </r>
  </si>
  <si>
    <t>Two wrongs don’t make a right, but sometimes they make a law.</t>
  </si>
  <si>
    <t xml:space="preserve">Too much generalizing pulls both sides into error. Too often, such errors crystallize into overgeneralizing norms contested in politics. We step back from these alienating generalizations to know each other' needs. The more you know another's needs, and the more they know yours, the easier to address each other's needs. Instead of politics prioritizing your own needs, we prioritize the needs of others in the name of love. 
</t>
  </si>
  <si>
    <t xml:space="preserve">The less your client's </t>
  </si>
  <si>
    <t xml:space="preserve">Instead of overgeneralizing by insisting we must </t>
  </si>
  <si>
    <t xml:space="preserve">. Ask your client how it impacts what they need when the other side insists we must </t>
  </si>
  <si>
    <t xml:space="preserve">. You remain present for their painful reaction. You focus their attention to specific needs, like the need </t>
  </si>
  <si>
    <t xml:space="preserve"> and for </t>
  </si>
  <si>
    <t xml:space="preserve">. The more your client can empathize with </t>
  </si>
  <si>
    <t xml:space="preserve">. You ask them if they still think this is more important than the need </t>
  </si>
  <si>
    <t xml:space="preserve">, ask them if this can make it easier for the other side to empathize with </t>
  </si>
  <si>
    <t xml:space="preserve"> affected needs, you can help free their focus on their impacted psychosocial needs. You can then segue to de-polarizing.
</t>
  </si>
  <si>
    <r>
      <t xml:space="preserve">Divisive politics tends to be </t>
    </r>
    <r>
      <rPr>
        <b/>
        <sz val="12"/>
        <color theme="1"/>
        <rFont val="Cambria"/>
        <family val="1"/>
      </rPr>
      <t>FAKE</t>
    </r>
    <r>
      <rPr>
        <sz val="12"/>
        <color theme="1"/>
        <rFont val="Cambria"/>
        <family val="1"/>
      </rPr>
      <t xml:space="preserve">, </t>
    </r>
    <r>
      <rPr>
        <b/>
        <sz val="12"/>
        <color theme="1"/>
        <rFont val="Cambria"/>
        <family val="1"/>
      </rPr>
      <t>f</t>
    </r>
    <r>
      <rPr>
        <sz val="12"/>
        <color theme="1"/>
        <rFont val="Cambria"/>
        <family val="1"/>
      </rPr>
      <t xml:space="preserve">reely </t>
    </r>
    <r>
      <rPr>
        <b/>
        <sz val="12"/>
        <color theme="1"/>
        <rFont val="Cambria"/>
        <family val="1"/>
      </rPr>
      <t>a</t>
    </r>
    <r>
      <rPr>
        <sz val="12"/>
        <color theme="1"/>
        <rFont val="Cambria"/>
        <family val="1"/>
      </rPr>
      <t xml:space="preserve">nd </t>
    </r>
    <r>
      <rPr>
        <b/>
        <sz val="12"/>
        <color theme="1"/>
        <rFont val="Cambria"/>
        <family val="1"/>
      </rPr>
      <t>k</t>
    </r>
    <r>
      <rPr>
        <sz val="12"/>
        <color theme="1"/>
        <rFont val="Cambria"/>
        <family val="1"/>
      </rPr>
      <t xml:space="preserve">nowingly </t>
    </r>
    <r>
      <rPr>
        <b/>
        <sz val="12"/>
        <color theme="1"/>
        <rFont val="Cambria"/>
        <family val="1"/>
      </rPr>
      <t>e</t>
    </r>
    <r>
      <rPr>
        <sz val="12"/>
        <color theme="1"/>
        <rFont val="Cambria"/>
        <family val="1"/>
      </rPr>
      <t xml:space="preserve">xaggerated. Politics serves better as a window than a door. You can peer in with its broad generalizations, but cannot enter into meaningful solutions without first shifting to applicable specifics. Too often, politics fails to become that stepping stone to relevant specifics. Too often, politics hardens into stumbling blocks of self-serving exaggerations.
</t>
    </r>
  </si>
  <si>
    <r>
      <t xml:space="preserve">This process of stepping gradually away from generalizing is called </t>
    </r>
    <r>
      <rPr>
        <b/>
        <sz val="12"/>
        <color theme="1"/>
        <rFont val="Cambria"/>
        <family val="1"/>
      </rPr>
      <t>degeneralizing</t>
    </r>
    <r>
      <rPr>
        <sz val="12"/>
        <color theme="1"/>
        <rFont val="Cambria"/>
        <family val="1"/>
      </rPr>
      <t xml:space="preserve">. Instead of bouncing back and forth between broad generalizations, you guide your client to transition from trusted generalizing to something a little less general. You support their shift from </t>
    </r>
    <r>
      <rPr>
        <i/>
        <sz val="12"/>
        <color theme="1"/>
        <rFont val="Cambria"/>
        <family val="1"/>
      </rPr>
      <t>pain-avoiding generalizations</t>
    </r>
    <r>
      <rPr>
        <sz val="12"/>
        <color theme="1"/>
        <rFont val="Cambria"/>
        <family val="1"/>
      </rPr>
      <t xml:space="preserve"> to </t>
    </r>
    <r>
      <rPr>
        <i/>
        <sz val="12"/>
        <color theme="1"/>
        <rFont val="Cambria"/>
        <family val="1"/>
      </rPr>
      <t>need-resolving specifics</t>
    </r>
    <r>
      <rPr>
        <sz val="12"/>
        <color theme="1"/>
        <rFont val="Cambria"/>
        <family val="1"/>
      </rPr>
      <t xml:space="preserve">, one purposeful step at a time. You add some disinfecting sunlight to what fuels their exaggerations, their unresolved needs. You help them remove the poison of alienation.
</t>
    </r>
  </si>
  <si>
    <t>?</t>
  </si>
  <si>
    <t xml:space="preserve"> as merely an exception to your client side's sound arguments. </t>
  </si>
  <si>
    <t xml:space="preserve">, or something like it, ask what that would do for them if allowed to come to past. Would that satisfy their apparent need for </t>
  </si>
  <si>
    <t xml:space="preserve"> as examplary of the other side, while characterizing anyone on the client's side who argues to </t>
  </si>
  <si>
    <t xml:space="preserve">. Since this pain-relief does not resolve the needs provoking such pain, your client's </t>
  </si>
  <si>
    <t xml:space="preserve">-related pain persists. Your client risks staying shallow and alienated to cope with unending pain of their unresolved needs. Shift from that overgeneralizing binary to deeper understanding of your client's </t>
  </si>
  <si>
    <t xml:space="preserve">-impacted needs.
</t>
  </si>
  <si>
    <t xml:space="preserve"> or against </t>
  </si>
  <si>
    <t xml:space="preserve">, or some similar generalization for relief, you help them identify and express their specific </t>
  </si>
  <si>
    <t xml:space="preserve">-affected needs. You guide them to see how their unique situation prompts them to </t>
  </si>
  <si>
    <t xml:space="preserve"> over </t>
  </si>
  <si>
    <r>
      <t xml:space="preserve">This process of going deeper to connect both sides is called </t>
    </r>
    <r>
      <rPr>
        <b/>
        <sz val="12"/>
        <color rgb="FF000000"/>
        <rFont val="Cambria"/>
        <family val="1"/>
      </rPr>
      <t>dealienating</t>
    </r>
    <r>
      <rPr>
        <sz val="12"/>
        <color rgb="FF000000"/>
        <rFont val="Cambria"/>
        <family val="1"/>
      </rPr>
      <t xml:space="preserve">. Instead of settling for alienating norms, you guide your client to transition from disappointing expectations of others to knowing what you can actually do for each other. You support their shift from </t>
    </r>
    <r>
      <rPr>
        <i/>
        <sz val="12"/>
        <color rgb="FF000000"/>
        <rFont val="Cambria"/>
        <family val="1"/>
      </rPr>
      <t>normative alienation</t>
    </r>
    <r>
      <rPr>
        <sz val="12"/>
        <color rgb="FF000000"/>
        <rFont val="Cambria"/>
        <family val="1"/>
      </rPr>
      <t xml:space="preserve"> to </t>
    </r>
    <r>
      <rPr>
        <i/>
        <sz val="12"/>
        <color rgb="FF000000"/>
        <rFont val="Cambria"/>
        <family val="1"/>
      </rPr>
      <t>mutual expression of affected needs</t>
    </r>
    <r>
      <rPr>
        <sz val="12"/>
        <color rgb="FF000000"/>
        <rFont val="Cambria"/>
        <family val="1"/>
      </rPr>
      <t>. You help them upend the status quo of political leaders dictating what they should believe and do. You help them reverse the trap of sliding into political polarization.</t>
    </r>
  </si>
  <si>
    <t xml:space="preserve">If your client ever thought of the other side as full of repugnant </t>
  </si>
  <si>
    <t xml:space="preserve">As you support resolving their affected self-needs on par with resolving their affected social-needs, you see their polarization gradually collapse. You nurture their conciliation between a wide and deep orientation to </t>
  </si>
  <si>
    <t xml:space="preserve">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t>
  </si>
  <si>
    <t>, you focus on their less visibly affected psychosocial needs.</t>
  </si>
  <si>
    <t xml:space="preserve"> depends on their deeper unmet psychosocial need for </t>
  </si>
  <si>
    <t xml:space="preserve"> and their guarded psychosocial need for </t>
  </si>
  <si>
    <t xml:space="preserve"> because their need behind their desire </t>
  </si>
  <si>
    <t xml:space="preserve"> remains unresolved. Their desire </t>
  </si>
  <si>
    <r>
      <t xml:space="preserve">This process of conciliating both sides is called </t>
    </r>
    <r>
      <rPr>
        <b/>
        <sz val="12"/>
        <color rgb="FF000000"/>
        <rFont val="Cambria"/>
        <family val="1"/>
      </rPr>
      <t>depolarizing</t>
    </r>
    <r>
      <rPr>
        <sz val="12"/>
        <color rgb="FF000000"/>
        <rFont val="Cambria"/>
        <family val="1"/>
      </rPr>
      <t xml:space="preserve">. Instead of pitting one side's priority of needs against the other's priority of needs, you guide your client to recognize the pressing needs on both sides of the issue. You support their shift from </t>
    </r>
    <r>
      <rPr>
        <i/>
        <sz val="12"/>
        <color rgb="FF000000"/>
        <rFont val="Cambria"/>
        <family val="1"/>
      </rPr>
      <t>mutual hostilities</t>
    </r>
    <r>
      <rPr>
        <sz val="12"/>
        <color rgb="FF000000"/>
        <rFont val="Cambria"/>
        <family val="1"/>
      </rPr>
      <t xml:space="preserve"> to </t>
    </r>
    <r>
      <rPr>
        <i/>
        <sz val="12"/>
        <color rgb="FF000000"/>
        <rFont val="Cambria"/>
        <family val="1"/>
      </rPr>
      <t>mutual resolution of relevant needs</t>
    </r>
    <r>
      <rPr>
        <sz val="12"/>
        <color rgb="FF000000"/>
        <rFont val="Cambria"/>
        <family val="1"/>
      </rPr>
      <t>. You help them connect resolution of their publicly affected needs with the other side being able to resolve their publicly affected needs. You help them spread some need-resolving love.</t>
    </r>
  </si>
  <si>
    <t>Popular politics tempts us to be disivisive. We are told we must each take a packaged side, generalizations and all. We are to skip any nuance to hold our coalition together. Staying neutral, they say, makes us complicit with the wrong side. We must fight for what we know is right, after accepting the generalization that others with an opposing priority of needs must be wrong. But you realize soon enough how opposing what another needs does not extinguish moral conflict, but enflames it.</t>
  </si>
  <si>
    <t xml:space="preserve">Harmony Politics counters such divisive politics in three phases: </t>
  </si>
  <si>
    <r>
      <t xml:space="preserve">The Internet empowers your client to access all kinds of helpful information. They can research CBT for themselves, or the latest research on evidence-based therapies to treat addictions. The more they factcheck what they hear from you, or from the media, or from others, the more suspicious of your acclaimed expertise. In our current populist political climate, you may come face to face with your client's </t>
    </r>
    <r>
      <rPr>
        <b/>
        <i/>
        <sz val="12"/>
        <color theme="1"/>
        <rFont val="Cambria"/>
        <family val="1"/>
      </rPr>
      <t>relational orientation</t>
    </r>
    <r>
      <rPr>
        <sz val="12"/>
        <color theme="1"/>
        <rFont val="Cambria"/>
        <family val="1"/>
      </rPr>
      <t xml:space="preserve"> and </t>
    </r>
    <r>
      <rPr>
        <b/>
        <i/>
        <sz val="12"/>
        <color theme="1"/>
        <rFont val="Cambria"/>
        <family val="1"/>
      </rPr>
      <t>easement orientation</t>
    </r>
    <r>
      <rPr>
        <sz val="12"/>
        <color theme="1"/>
        <rFont val="Cambria"/>
        <family val="1"/>
      </rPr>
      <t>.</t>
    </r>
  </si>
  <si>
    <r>
      <t xml:space="preserve">1)  </t>
    </r>
    <r>
      <rPr>
        <b/>
        <i/>
        <sz val="12"/>
        <color theme="1"/>
        <rFont val="Cambria"/>
        <family val="1"/>
      </rPr>
      <t>Identify</t>
    </r>
    <r>
      <rPr>
        <sz val="12"/>
        <color theme="1"/>
        <rFont val="Cambria"/>
        <family val="1"/>
      </rPr>
      <t xml:space="preserve"> affected needs</t>
    </r>
  </si>
  <si>
    <r>
      <t xml:space="preserve">2)  </t>
    </r>
    <r>
      <rPr>
        <b/>
        <i/>
        <sz val="12"/>
        <color theme="1"/>
        <rFont val="Cambria"/>
        <family val="1"/>
      </rPr>
      <t>Express</t>
    </r>
    <r>
      <rPr>
        <sz val="12"/>
        <color theme="1"/>
        <rFont val="Cambria"/>
        <family val="1"/>
      </rPr>
      <t xml:space="preserve"> affected needs</t>
    </r>
  </si>
  <si>
    <r>
      <t xml:space="preserve">3)  </t>
    </r>
    <r>
      <rPr>
        <b/>
        <i/>
        <sz val="12"/>
        <color theme="1"/>
        <rFont val="Cambria"/>
        <family val="1"/>
      </rPr>
      <t>Address</t>
    </r>
    <r>
      <rPr>
        <sz val="12"/>
        <color theme="1"/>
        <rFont val="Cambria"/>
        <family val="1"/>
      </rPr>
      <t xml:space="preserve"> affected needs</t>
    </r>
  </si>
  <si>
    <t>- to "de-generalize" from overgeneralizing</t>
  </si>
  <si>
    <t>- to "de-alienate" from disappointing expectations</t>
  </si>
  <si>
    <t>- to "de-polarize" from mutual hostilities</t>
  </si>
  <si>
    <t>Political issue raised by your client:</t>
  </si>
  <si>
    <t>Your client's likely political outlook:</t>
  </si>
  <si>
    <t>Your likely political outlook:</t>
  </si>
  <si>
    <t>We must resist government tyranny.</t>
  </si>
  <si>
    <t>We must overcome historical oppression.</t>
  </si>
  <si>
    <t>We all must live equally.</t>
  </si>
  <si>
    <t>We must prioritize the most vulnerable.</t>
  </si>
  <si>
    <t>We must prioritize the most productive.</t>
  </si>
  <si>
    <t>We must first improve our collective capacity.</t>
  </si>
  <si>
    <t>We must first improve our individual capacity.</t>
  </si>
  <si>
    <t>We need the public goods of government.</t>
  </si>
  <si>
    <t>We need the private goods of free enterprise.</t>
  </si>
  <si>
    <t>It must be efficient for the meritorious few.</t>
  </si>
  <si>
    <t>Individuals must live freely.</t>
  </si>
  <si>
    <t>Let us be different and find full inclusion.</t>
  </si>
  <si>
    <t>Let us be traditional and guard our cohesion.</t>
  </si>
  <si>
    <t>Minority groups still risk trauma.</t>
  </si>
  <si>
    <t>Patriotic individuals still risk terror.</t>
  </si>
  <si>
    <t>Select best response that fits you for each.</t>
  </si>
  <si>
    <t>Select best response that fits your client for each.</t>
  </si>
  <si>
    <t xml:space="preserve">According to your responses, you are more </t>
  </si>
  <si>
    <t xml:space="preserve"> than </t>
  </si>
  <si>
    <t xml:space="preserve">According to your responses, your client is more </t>
  </si>
  <si>
    <t>independent</t>
  </si>
  <si>
    <t>According to your responses, you are an independent.</t>
  </si>
  <si>
    <t>NOTE: This tool will not work properly until you select a political outlook for yourself.</t>
  </si>
  <si>
    <t>NOTE: This tool will not work properly until you select a political outlook for your client.</t>
  </si>
  <si>
    <t>Please fill in each of the eight items to estimate your political view.</t>
  </si>
  <si>
    <t>Please fill in each of the eight items to estimate your client's political view.</t>
  </si>
  <si>
    <t xml:space="preserve">We simplify your outlook as primarily </t>
  </si>
  <si>
    <t xml:space="preserve">We simplify your client's outlook as primarily </t>
  </si>
  <si>
    <t>. No need to fill out.</t>
  </si>
  <si>
    <t>. No need to complete this.</t>
  </si>
  <si>
    <t>It must be effective for the needy many.</t>
  </si>
  <si>
    <t xml:space="preserve">Politics runs thick with generalizing. Your specific experiences in life may resist fitting neatly into the liberal-conservative divide. Your client may also defy simple categorizing. A client may present a liberal position on one issue and a more conservative stance on other issues. After engaging others of an opposing political side and empathizing with their affected needs, your client may shift their position. Your client may be processing their feelings and beliefs about a hot botton issue right now, using you as a sounding board. With all that in mind, let this serve as a rule of thumb. Let us move beyond popular politics. 
</t>
  </si>
  <si>
    <t xml:space="preserve">Popular politics tempts us to trust generalizing to deal with our many specific problems of unresolved needs.
</t>
  </si>
  <si>
    <t>To summarize, you realize politics is not as rationally based as widely assumed. Rather, you see your client using guarded political views to leak out their vulnerable needs. You now can tap into your client's sensitive needs by reverse engineering their political expression. You replace debating with deeper relating, toward resolving the underlying needs.</t>
  </si>
  <si>
    <r>
      <rPr>
        <b/>
        <sz val="12"/>
        <color theme="1"/>
        <rFont val="Cambria"/>
        <family val="1"/>
      </rPr>
      <t>1. Divisive politics misplaces the conflict. Harmony Politics refocuses on affected needs</t>
    </r>
    <r>
      <rPr>
        <sz val="12"/>
        <color theme="1"/>
        <rFont val="Cambria"/>
        <family val="1"/>
      </rPr>
      <t xml:space="preserve">.
</t>
    </r>
    <r>
      <rPr>
        <sz val="11"/>
        <color theme="1"/>
        <rFont val="Cambria"/>
        <family val="1"/>
      </rPr>
      <t>The conflict is not between those experiencing a contrasting priority of needs, but between those clinging to generalizing for relief and those shifting to specifics to resolve the politicize need. You redirect your client's focus to their affected needs. You support your client facing those needs amidst the discomfort of not knowing how they will be relieved.</t>
    </r>
    <r>
      <rPr>
        <sz val="12"/>
        <color theme="1"/>
        <rFont val="Cambria"/>
        <family val="1"/>
      </rPr>
      <t xml:space="preserve">
</t>
    </r>
  </si>
  <si>
    <r>
      <rPr>
        <b/>
        <sz val="12"/>
        <color theme="1"/>
        <rFont val="Cambria"/>
        <family val="1"/>
      </rPr>
      <t>2. Divisive politics relies extensively on generalizing. Harmony Politics gets to specifics.</t>
    </r>
    <r>
      <rPr>
        <sz val="12"/>
        <color theme="1"/>
        <rFont val="Cambria"/>
        <family val="1"/>
      </rPr>
      <t xml:space="preserve">
</t>
    </r>
    <r>
      <rPr>
        <sz val="11"/>
        <color theme="1"/>
        <rFont val="Cambria"/>
        <family val="1"/>
      </rPr>
      <t>Politics attracts those in pain from unresolved public facing needs. Politics offers your client widely agreed upon generalizations for relief. The more your client's needs feel relieved by generalizing, the less likely the specific needs behind that pain can resolve. Consequently, your client feels stuck in pain. You help your client remove their pain by resolving the specific needs glossed over by politics.</t>
    </r>
  </si>
  <si>
    <r>
      <rPr>
        <b/>
        <sz val="12"/>
        <color theme="1"/>
        <rFont val="Cambria"/>
        <family val="1"/>
      </rPr>
      <t>3. Divisive politics assumes too much choice. Harmony Politics points to unchosen needs.</t>
    </r>
    <r>
      <rPr>
        <sz val="12"/>
        <color theme="1"/>
        <rFont val="Cambria"/>
        <family val="1"/>
      </rPr>
      <t xml:space="preserve">
</t>
    </r>
    <r>
      <rPr>
        <sz val="11"/>
        <color theme="1"/>
        <rFont val="Cambria"/>
        <family val="1"/>
      </rPr>
      <t>Your client's visible political outlook masks a less visible psychosocial orientation. Your client's life situation shape those needs. Political sides coalesce around this competing priority of needs. You support your client through the challenging journey to skip these popular reactions, to address their underlying psychosocial needs. You help your client replace conventional demanding with unconventional love.</t>
    </r>
  </si>
  <si>
    <t>Introducing psychosociotherapy</t>
  </si>
  <si>
    <t>blacklisted</t>
  </si>
  <si>
    <t>generalize to relieve</t>
  </si>
  <si>
    <t>guard more resolved</t>
  </si>
  <si>
    <t>References</t>
  </si>
  <si>
    <t>mass shooting victims</t>
  </si>
  <si>
    <t>the insured</t>
  </si>
  <si>
    <t>see healthcare as a right</t>
  </si>
  <si>
    <t>the accused</t>
  </si>
  <si>
    <t>POC</t>
  </si>
  <si>
    <t>tradition</t>
  </si>
  <si>
    <t>POC voters</t>
  </si>
  <si>
    <t>remove all barriers to voting</t>
  </si>
  <si>
    <t>those least heard</t>
  </si>
  <si>
    <t>those with most to say</t>
  </si>
  <si>
    <t>psychosociotherapy</t>
  </si>
  <si>
    <t>. Your client likely feels stuck in emotional pain until sufficient balance removes that pain. Political generalizing offers relief from that pain. For both sides.</t>
  </si>
  <si>
    <t xml:space="preserve">If you have lost clients in the past over political differences, you can now reach out to them and tell them you have learned from your mistakes. Or you can start branding yourself to new clients as a counselor who embraces all regardless of ideology. Well, as long as the client's political expression does not immediately threaten you.
</t>
  </si>
  <si>
    <r>
      <t xml:space="preserve">Counselors are known to be wounded warriors, who professionally help others in ways they once needed such help. You have opportunity to help your clients heal up their political battle scars. With these </t>
    </r>
    <r>
      <rPr>
        <i/>
        <sz val="12"/>
        <color rgb="FF000000"/>
        <rFont val="Cambria"/>
        <family val="1"/>
      </rPr>
      <t>anankelogical</t>
    </r>
    <r>
      <rPr>
        <sz val="12"/>
        <color rgb="FF000000"/>
        <rFont val="Cambria"/>
        <family val="1"/>
      </rPr>
      <t xml:space="preserve"> tools for resolving needs, you help your client make the leap from seeking help to being in a qualified position to passionately help others. Along the way, you brand yourself to a helper who more than help others recover but to also thrive. Ask me what else psychosociotherapy can do for your practice.</t>
    </r>
  </si>
  <si>
    <t>impact parity model</t>
  </si>
  <si>
    <r>
      <rPr>
        <b/>
        <i/>
        <sz val="11"/>
        <color theme="1"/>
        <rFont val="Cambria"/>
        <family val="1"/>
      </rPr>
      <t>Power relations</t>
    </r>
    <r>
      <rPr>
        <sz val="11"/>
        <color theme="1"/>
        <rFont val="Cambria"/>
        <family val="1"/>
      </rPr>
      <t xml:space="preserve"> easily distort how well each side can resolve their needs. Your client hits a wall when doing all they can to change themselves to fit into a problematic environment. Now you can inspire them to shift focus from adjusting themselves to fit powerful others to incentivizing powerful others to fit the needs of your distressed client.</t>
    </r>
  </si>
  <si>
    <t>need-response field</t>
  </si>
  <si>
    <t>Applied anankelogy creates a new field focused on serving specific needs as they occur.</t>
  </si>
  <si>
    <r>
      <t xml:space="preserve">Your client's psychosocial orientation presents a </t>
    </r>
    <r>
      <rPr>
        <i/>
        <sz val="12"/>
        <color theme="1"/>
        <rFont val="Cambria"/>
        <family val="1"/>
      </rPr>
      <t>strong side</t>
    </r>
    <r>
      <rPr>
        <sz val="12"/>
        <color theme="1"/>
        <rFont val="Cambria"/>
        <family val="1"/>
      </rPr>
      <t xml:space="preserve"> and </t>
    </r>
    <r>
      <rPr>
        <i/>
        <sz val="12"/>
        <color theme="1"/>
        <rFont val="Cambria"/>
        <family val="1"/>
      </rPr>
      <t>weak side</t>
    </r>
    <r>
      <rPr>
        <sz val="12"/>
        <color theme="1"/>
        <rFont val="Cambria"/>
        <family val="1"/>
      </rPr>
      <t xml:space="preserve">. Guarding their more resolved need is their strong side. Generalizing to relieve their other need is their weak side. The opposing side flips these. Each side can demonstrate more love by 1) respectfully conveying to the other side the impact of a political loss, and 2) asking how a win could impact the needs of the other side. Meaningful competion is not between political winners and losers, but between who can create the most value by resolving needs and those stuck in pain-relieving generalizing. It is not what your client gets from political battles, but what they give.
</t>
    </r>
  </si>
  <si>
    <r>
      <t xml:space="preserve">Your client's internal therapeutic changes are more sustainable when their external threats are addressed. </t>
    </r>
    <r>
      <rPr>
        <b/>
        <sz val="12"/>
        <color theme="1"/>
        <rFont val="Cambria"/>
        <family val="1"/>
      </rPr>
      <t>Psychosociotherapy</t>
    </r>
    <r>
      <rPr>
        <sz val="12"/>
        <color theme="1"/>
        <rFont val="Cambria"/>
        <family val="1"/>
      </rPr>
      <t xml:space="preserve"> using </t>
    </r>
    <r>
      <rPr>
        <b/>
        <sz val="12"/>
        <color theme="1"/>
        <rFont val="Cambria"/>
        <family val="1"/>
      </rPr>
      <t>need-response</t>
    </r>
    <r>
      <rPr>
        <sz val="12"/>
        <color theme="1"/>
        <rFont val="Cambria"/>
        <family val="1"/>
      </rPr>
      <t xml:space="preserve"> adds this needed depth to counseling. I look forward to working with you to resolve specific power-impacted needs between your client and powerful others. To grow love we all need.</t>
    </r>
  </si>
  <si>
    <t>Harmony Politics is one of many spreadsheet tools under development. Check out more.</t>
  </si>
  <si>
    <r>
      <rPr>
        <b/>
        <sz val="13"/>
        <color theme="9" tint="-0.249977111117893"/>
        <rFont val="Tahoma"/>
        <family val="2"/>
      </rPr>
      <t>Harmony</t>
    </r>
    <r>
      <rPr>
        <b/>
        <sz val="13"/>
        <color theme="1"/>
        <rFont val="Tahoma"/>
        <family val="2"/>
      </rPr>
      <t xml:space="preserve"> </t>
    </r>
    <r>
      <rPr>
        <b/>
        <sz val="13"/>
        <color rgb="FF7030A0"/>
        <rFont val="Tahoma"/>
        <family val="2"/>
      </rPr>
      <t>Politics</t>
    </r>
    <r>
      <rPr>
        <sz val="10"/>
        <color theme="1"/>
        <rFont val="Cambria"/>
        <family val="1"/>
      </rPr>
      <t xml:space="preserve">
Link your political outlook to your psychosocial and other publicly affected needs. Empathize fully with both politcal sides.</t>
    </r>
  </si>
  <si>
    <r>
      <rPr>
        <b/>
        <sz val="13"/>
        <color theme="9" tint="-0.249977111117893"/>
        <rFont val="Tahoma"/>
        <family val="2"/>
      </rPr>
      <t>Exaction</t>
    </r>
    <r>
      <rPr>
        <b/>
        <sz val="13"/>
        <color theme="1"/>
        <rFont val="Tahoma"/>
        <family val="2"/>
      </rPr>
      <t xml:space="preserve"> </t>
    </r>
    <r>
      <rPr>
        <b/>
        <sz val="13"/>
        <color rgb="FF7030A0"/>
        <rFont val="Tahoma"/>
        <family val="2"/>
      </rPr>
      <t>Invoice</t>
    </r>
    <r>
      <rPr>
        <sz val="10"/>
        <color theme="1"/>
        <rFont val="Cambria"/>
        <family val="1"/>
      </rPr>
      <t xml:space="preserve">
Identify and report hidden costs of  coerced compliance. Put a price on power's negative influence on you. Hold power accountable.</t>
    </r>
  </si>
  <si>
    <r>
      <rPr>
        <b/>
        <sz val="13"/>
        <color theme="9" tint="-0.249977111117893"/>
        <rFont val="Tahoma"/>
        <family val="2"/>
      </rPr>
      <t>Legitimacy</t>
    </r>
    <r>
      <rPr>
        <b/>
        <sz val="13"/>
        <color theme="1"/>
        <rFont val="Tahoma"/>
        <family val="2"/>
      </rPr>
      <t xml:space="preserve"> </t>
    </r>
    <r>
      <rPr>
        <b/>
        <sz val="13"/>
        <color rgb="FF7030A0"/>
        <rFont val="Tahoma"/>
        <family val="2"/>
      </rPr>
      <t>Audit</t>
    </r>
    <r>
      <rPr>
        <sz val="10"/>
        <color theme="1"/>
        <rFont val="Cambria"/>
        <family val="1"/>
      </rPr>
      <t xml:space="preserve">
Check various authority's level of responsiveness to entrusted needs. Link that gaged responsiveness to how willingly involved in your life.</t>
    </r>
  </si>
  <si>
    <r>
      <rPr>
        <b/>
        <sz val="13"/>
        <color theme="9" tint="-0.249977111117893"/>
        <rFont val="Tahoma"/>
        <family val="2"/>
      </rPr>
      <t>Liberty</t>
    </r>
    <r>
      <rPr>
        <b/>
        <sz val="13"/>
        <color theme="1"/>
        <rFont val="Tahoma"/>
        <family val="2"/>
      </rPr>
      <t xml:space="preserve"> </t>
    </r>
    <r>
      <rPr>
        <b/>
        <sz val="13"/>
        <color rgb="FF7030A0"/>
        <rFont val="Tahoma"/>
        <family val="2"/>
      </rPr>
      <t>Avowal</t>
    </r>
    <r>
      <rPr>
        <sz val="10"/>
        <color theme="1"/>
        <rFont val="Cambria"/>
        <family val="1"/>
      </rPr>
      <t xml:space="preserve">
Declare your liberty resolve needs. Replace alienation of impersonal norms with a loving passion to resolve each other's affected needs.</t>
    </r>
  </si>
  <si>
    <r>
      <rPr>
        <sz val="12"/>
        <rFont val="Cambria"/>
        <family val="1"/>
      </rPr>
      <t xml:space="preserve">You can invite me to join a special session with your client, if necessary. With your client's informed decision, and their every HIPAA right and other concern covered in an agreeable </t>
    </r>
    <r>
      <rPr>
        <sz val="12"/>
        <color rgb="FF0070C0"/>
        <rFont val="Cambria"/>
        <family val="1"/>
      </rPr>
      <t>business associate contract</t>
    </r>
    <r>
      <rPr>
        <vertAlign val="superscript"/>
        <sz val="12"/>
        <color rgb="FF0070C0"/>
        <rFont val="Cambria"/>
        <family val="1"/>
      </rPr>
      <t>4</t>
    </r>
    <r>
      <rPr>
        <sz val="12"/>
        <rFont val="Cambria"/>
        <family val="1"/>
      </rPr>
      <t>, I can introduce you and your client to psychosociotherapy. It shifts any stigma from the client courageously seeking improvement to those negatively impacting the client, who have yet to show such courageous improvement.</t>
    </r>
  </si>
  <si>
    <t>GO TO</t>
  </si>
  <si>
    <t>i</t>
  </si>
  <si>
    <r>
      <rPr>
        <b/>
        <sz val="13"/>
        <color rgb="FF009646"/>
        <rFont val="Tahoma"/>
        <family val="2"/>
      </rPr>
      <t>Four</t>
    </r>
    <r>
      <rPr>
        <b/>
        <sz val="13"/>
        <color theme="1"/>
        <rFont val="Tahoma"/>
        <family val="2"/>
      </rPr>
      <t xml:space="preserve"> </t>
    </r>
    <r>
      <rPr>
        <b/>
        <sz val="13"/>
        <color rgb="FF7030A0"/>
        <rFont val="Tahoma"/>
        <family val="2"/>
      </rPr>
      <t>Seasons</t>
    </r>
    <r>
      <rPr>
        <sz val="10"/>
        <color theme="1"/>
        <rFont val="Cambria"/>
        <family val="2"/>
      </rPr>
      <t xml:space="preserve">
Enter your birthdate and see your life's seasonal patterns. See how your affected psychosocial needs shapes your political outtlook.</t>
    </r>
  </si>
  <si>
    <r>
      <rPr>
        <b/>
        <sz val="12"/>
        <color theme="9" tint="0.39997558519241921"/>
        <rFont val="Tahoma"/>
        <family val="2"/>
      </rPr>
      <t>solving problems</t>
    </r>
    <r>
      <rPr>
        <b/>
        <sz val="12"/>
        <color rgb="FFFF99FF"/>
        <rFont val="Tahoma"/>
        <family val="2"/>
      </rPr>
      <t xml:space="preserve"> </t>
    </r>
    <r>
      <rPr>
        <b/>
        <sz val="12"/>
        <color theme="0" tint="-0.34998626667073579"/>
        <rFont val="Tahoma"/>
        <family val="2"/>
      </rPr>
      <t>by</t>
    </r>
    <r>
      <rPr>
        <b/>
        <sz val="12"/>
        <color rgb="FFFF99FF"/>
        <rFont val="Tahoma"/>
        <family val="2"/>
      </rPr>
      <t xml:space="preserve"> </t>
    </r>
    <r>
      <rPr>
        <b/>
        <sz val="12"/>
        <color rgb="FFFF00FF"/>
        <rFont val="Tahoma"/>
        <family val="2"/>
      </rPr>
      <t>resolving needs</t>
    </r>
  </si>
  <si>
    <r>
      <rPr>
        <b/>
        <sz val="25"/>
        <color theme="0" tint="-0.34998626667073579"/>
        <rFont val="Tahoma"/>
        <family val="2"/>
      </rPr>
      <t>By</t>
    </r>
    <r>
      <rPr>
        <b/>
        <sz val="25"/>
        <color theme="1"/>
        <rFont val="Tahoma"/>
        <family val="2"/>
      </rPr>
      <t xml:space="preserve"> </t>
    </r>
    <r>
      <rPr>
        <b/>
        <sz val="25"/>
        <color rgb="FFA5FFC8"/>
        <rFont val="Tahoma"/>
        <family val="2"/>
      </rPr>
      <t>Value</t>
    </r>
    <r>
      <rPr>
        <b/>
        <sz val="25"/>
        <color theme="1"/>
        <rFont val="Tahoma"/>
        <family val="2"/>
      </rPr>
      <t xml:space="preserve"> </t>
    </r>
    <r>
      <rPr>
        <b/>
        <sz val="25"/>
        <color rgb="FFFF99FF"/>
        <rFont val="Tahoma"/>
        <family val="2"/>
      </rPr>
      <t>Relating</t>
    </r>
  </si>
  <si>
    <r>
      <t xml:space="preserve">If your </t>
    </r>
    <r>
      <rPr>
        <i/>
        <sz val="10"/>
        <color theme="1"/>
        <rFont val="Cambria"/>
        <family val="1"/>
      </rPr>
      <t>social-needs</t>
    </r>
    <r>
      <rPr>
        <sz val="10"/>
        <color theme="1"/>
        <rFont val="Cambria"/>
        <family val="1"/>
      </rPr>
      <t xml:space="preserve"> resolve more than your </t>
    </r>
    <r>
      <rPr>
        <i/>
        <sz val="10"/>
        <color theme="1"/>
        <rFont val="Cambria"/>
        <family val="1"/>
      </rPr>
      <t>self-needs</t>
    </r>
    <r>
      <rPr>
        <sz val="10"/>
        <color theme="1"/>
        <rFont val="Cambria"/>
        <family val="1"/>
      </rPr>
      <t xml:space="preserve">, because of your life's situation, you become </t>
    </r>
    <r>
      <rPr>
        <b/>
        <sz val="10"/>
        <color theme="1"/>
        <rFont val="Cambria"/>
        <family val="1"/>
      </rPr>
      <t>deep-oriented</t>
    </r>
    <r>
      <rPr>
        <sz val="10"/>
        <color theme="1"/>
        <rFont val="Cambria"/>
        <family val="1"/>
      </rPr>
      <t xml:space="preserve">. You view your prioritized needs through the deep magnifying glass of </t>
    </r>
    <r>
      <rPr>
        <sz val="10"/>
        <color rgb="FF910000"/>
        <rFont val="Cambria"/>
        <family val="1"/>
      </rPr>
      <t>conservatism</t>
    </r>
    <r>
      <rPr>
        <sz val="10"/>
        <color theme="1"/>
        <rFont val="Cambria"/>
        <family val="1"/>
      </rPr>
      <t>.</t>
    </r>
  </si>
  <si>
    <r>
      <t xml:space="preserve">If your </t>
    </r>
    <r>
      <rPr>
        <i/>
        <sz val="10"/>
        <color theme="1"/>
        <rFont val="Cambria"/>
        <family val="1"/>
      </rPr>
      <t>self-needs</t>
    </r>
    <r>
      <rPr>
        <sz val="10"/>
        <color theme="1"/>
        <rFont val="Cambria"/>
        <family val="1"/>
      </rPr>
      <t xml:space="preserve"> resolve more than your </t>
    </r>
    <r>
      <rPr>
        <i/>
        <sz val="10"/>
        <color theme="1"/>
        <rFont val="Cambria"/>
        <family val="1"/>
      </rPr>
      <t>social-needs</t>
    </r>
    <r>
      <rPr>
        <sz val="10"/>
        <color theme="1"/>
        <rFont val="Cambria"/>
        <family val="1"/>
      </rPr>
      <t xml:space="preserve">, because of your life's situation, you become </t>
    </r>
    <r>
      <rPr>
        <b/>
        <sz val="10"/>
        <color theme="1"/>
        <rFont val="Cambria"/>
        <family val="1"/>
      </rPr>
      <t>wide-oriented</t>
    </r>
    <r>
      <rPr>
        <sz val="10"/>
        <color theme="1"/>
        <rFont val="Cambria"/>
        <family val="1"/>
      </rPr>
      <t xml:space="preserve">. You view your prioritized needs through the wide binocular lens of </t>
    </r>
    <r>
      <rPr>
        <sz val="10"/>
        <color rgb="FF003CB4"/>
        <rFont val="Cambria"/>
        <family val="1"/>
      </rPr>
      <t>liberalism</t>
    </r>
    <r>
      <rPr>
        <sz val="10"/>
        <color theme="1"/>
        <rFont val="Cambria"/>
        <family val="1"/>
      </rPr>
      <t>.</t>
    </r>
  </si>
  <si>
    <t>Aims</t>
  </si>
  <si>
    <t>issue</t>
  </si>
  <si>
    <t>yours</t>
  </si>
  <si>
    <t>client's</t>
  </si>
  <si>
    <t>pick:</t>
  </si>
  <si>
    <t xml:space="preserve">-related needs. Second, at the deeper level of their impacted psychosocial needs. </t>
  </si>
  <si>
    <t>Politics allows your client (and you) to express vulnerable needs, under guard of broad support.</t>
  </si>
  <si>
    <t xml:space="preserve">Your client only takes a liberal stance after their self-needs resolve more than their social-needs. They are more certain of their authentic selves than how society will accept them. Your client only takes a conservative stance after their social-needs resolve more than their self-needs. They seek individual rights against encroachment upon their traditional forms of cohesion. 
</t>
  </si>
  <si>
    <t>Mandated protections</t>
  </si>
  <si>
    <t>Elective protections</t>
  </si>
  <si>
    <t>mandated protections</t>
  </si>
  <si>
    <t>socialistic policies</t>
  </si>
  <si>
    <t>capitalistic policies</t>
  </si>
  <si>
    <t>Capitalistic policies</t>
  </si>
  <si>
    <t>Socialistic policies</t>
  </si>
  <si>
    <t>. You offer no judgment how that can serve or hinder their needs.</t>
  </si>
  <si>
    <r>
      <rPr>
        <b/>
        <sz val="12"/>
        <color theme="1"/>
        <rFont val="Cambria"/>
        <family val="1"/>
      </rPr>
      <t xml:space="preserve">Unsure what to consider </t>
    </r>
    <r>
      <rPr>
        <sz val="12"/>
        <color theme="1"/>
        <rFont val="Cambria"/>
        <family val="1"/>
      </rPr>
      <t>as</t>
    </r>
    <r>
      <rPr>
        <b/>
        <sz val="12"/>
        <color theme="1"/>
        <rFont val="Cambria"/>
        <family val="1"/>
      </rPr>
      <t xml:space="preserve"> </t>
    </r>
    <r>
      <rPr>
        <sz val="12"/>
        <color theme="1"/>
        <rFont val="Cambria"/>
        <family val="1"/>
      </rPr>
      <t xml:space="preserve">your political outlook? Or your clients? Then answer these items below to estimate where you each likely fit along the political spectrum. </t>
    </r>
  </si>
  <si>
    <t xml:space="preserve">As an honored role in this helping profession, you are more helpful when guiding your client beyond the fragile certainty of </t>
  </si>
  <si>
    <t xml:space="preserve"> politics. You can offer much more value by helpling them link their experience of needs behind their guarded views. "Before we get to that," you can tell your client seeking your agreement, "Let's get right to the point. Let's address your needs behind those views." You work with your client to cultivate the honesty necesary to process their vulnerably affected needs.</t>
  </si>
  <si>
    <t xml:space="preserve"> expressed in political terms, and the overgeneralizing expectations to ease such prioritized needs, also expressed in political terms. The former is not only legit but often essential. The latter is often problematic, for both sides. </t>
  </si>
  <si>
    <t xml:space="preserve">You remain vulnerable to others for mosts of your needs. Your food supply. Your safety from harm. Your need for companionship, for belonging, for support during emergencies. Your client faces most of these same public facing needs as you. Politics exist to ease such public facing needs. </t>
  </si>
  <si>
    <t>The more your client generalizes to ease the pain of such needs, the less these needs resolve. Their public facing needs will continue to provoke more pain.</t>
  </si>
  <si>
    <t>The more your client moves past political generalizing, the easier to resolve such needs. Their public facing needs will then be gradually less painful.</t>
  </si>
  <si>
    <t xml:space="preserve">You need not step onto this path alone. I can coach you to build up your brand as one who builds bridges between opposing political sides. Or simply consult with me on how to apply this to your practice. </t>
  </si>
  <si>
    <t xml:space="preserve"> If you can afford FREE, then you can afford me. I am not charging anything upfront, as I too am building up my brand.</t>
  </si>
  <si>
    <t>That includes earning your client's trust in your expertise.</t>
  </si>
  <si>
    <t>That includes addressing any client distrust in your expertise.</t>
  </si>
  <si>
    <t>You first experience a need, which then prioritizes your attention over other needs. Those on the other political side experience an opposing priority of needs. Your client could experience this opposing priority. If attached to political generalizing, you risk some transference and countertransference with your client. You could needlessly provoke your client's defensiveness. If your client shares your prioritizing of this need, you risk getting lost in the same blind spots with your client. You mitigate by detaching from generalizing.</t>
  </si>
  <si>
    <t>Your shared outlook could still result in some transference and countertransference. You both risk overgeneralizing the client's reaction to their publicly affected needs. You mitigate by detaching from generalizing.</t>
  </si>
  <si>
    <t>Your contrasting outlook could result in some transference and countertransference. You risk provoking your client's defensiveness instead of understanding how they experience their publicly affected needs. You mitigate by detaching from generalizing.</t>
  </si>
  <si>
    <t xml:space="preserve">Through the lens of their psychosocial orientation, your client views the affected needs of their own politial side over the affected needs on the other side. Their intensifying priority of needs compels them to ease their pain first. They can hardly empathize with pain on the other side. Your client likely feels stuck in emotional pain until sufficient resolution removes that pain. Political generalizing offers general relief from that pain. </t>
  </si>
  <si>
    <t xml:space="preserve">Spurred into further generalizing, each side imagines the worst in the other. Your client may express outrage that the other side seems callous to your client's side's suffering. Your client could feel further outraged by the other side overgeneralizing their stance. Such catastrophizing may ease their pain. Rational thinking must take a back seat to the persisting pain of your client's publicly affected needs.
</t>
  </si>
  <si>
    <t xml:space="preserve">Divisive politics lets you judge the other side by its most exaggerated generalizations. Then it upholds your side by casting its most exaggerated genralizations as mere aberration. Divisive politics tempts your client to view those arguing the opposite extreme as an example of the other side, while characterizing anyone on the client's side who argues for an exaggerated position as merely an exception to your client side's sound arguments. 
</t>
  </si>
  <si>
    <t xml:space="preserve">Any attachment your client has to political generalizations is likely fueled by pain of unresolved needs. Instead of challenging your client's generalizing, invite them to get a little more specific. If they support a contested political stance, ask what that would do for them if allowed to come to past. Would that satisfy their apparent need or simply ease the pain?
</t>
  </si>
  <si>
    <t xml:space="preserve">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how others are respect their politicized need than to admit their underlying emotional pain.
</t>
  </si>
  <si>
    <t xml:space="preserve">It generally is easier for them to change their expressed views than alter their politically charged feelings. They personally cannot do much about how others respect their public facing needs, but they can feel supported by those who agree with their particular stance. Their underlying feelings express the vulnerability of their publicly affected needs. They cannot change those feelings or their vulnerable needs as easily as they can alter their political views to fit a friendly or hostile audience. 
</t>
  </si>
  <si>
    <t xml:space="preserve">Your client can feel alienated from you when you stay at the popularly expected level of agreement-disagreement. They likely expect you to </t>
  </si>
  <si>
    <t>Your client can feel alienated from you when you stay at the popularly expected level of agreement-disagreement. They likely expect you to agree with their political stance on a raised issue. If you miss this opportunity to connect beyond their political views, with a hint of disagreement, the client reflexively self-censors their politically charged feelings. They tested the waters and withdrew. They cannot change the needs fueling those feelings. They can more easily change your relation with you. This missed opportunity risks leaving your client stuck in alienation.</t>
  </si>
  <si>
    <t xml:space="preserve">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t>
  </si>
  <si>
    <t>Popular politics entices you and your client to stay shallow and alienated. You both are given a generalization to agree or disagree, with little room for nuance. If your client attaches to a widely supported position, it should ease their politicized pain.  Since this pain-relief does not resolve the needs provoking such pain, your client's politicized pain persists. Your client risks staying shallow and alienated to cope with unending pain of their unresolved needs. Shift from that overgeneralizing binary to deeper understanding of your client's politicized needs.</t>
  </si>
  <si>
    <t>Harmony Politics encourages you to go deep and connect with your client's and anyone's political views. Instead of arguing for one position against another, or some similar generalization for relief, you help them identify and express their specific affected needs. You guide them to see how their unique situation prompts them to prioritize one need over another. After seeing why each side prioritizes their particular needs, your client can appreciate politics is relative to needs. Then they can go deep and connect with political others, just as you went deep and connected with them.</t>
  </si>
  <si>
    <t xml:space="preserve"> needs resolve, the more drawn to extreme positions for relief. Political polarization feeds on our increasing volume of unresolved needs. You as their counselor can provide a meaningful alternative to the disappointment of divisive politics.</t>
  </si>
  <si>
    <t>Instead of overgeneralizing by insisting we must react politically, you encourage your client to empathize with the other side. Ask your client how it impacts what they need when the other side insists we must the opposite of their own needs. You remain present for their painful reaction. You focus their attention to specific needs. You ask them if they still think this is more important than the affected needs of those on the other side.</t>
  </si>
  <si>
    <t xml:space="preserve">When you see they are ready to focus more on resolving affected needs, you encourage them to see the other side's need for </t>
  </si>
  <si>
    <t xml:space="preserve"> is no more or less important than your need for </t>
  </si>
  <si>
    <t xml:space="preserve">, does your client still think that way? Or can your client humanize the other side with competing needs? Can your client now understand why those most desperate on the other side may think of your client as complicit with other </t>
  </si>
  <si>
    <t xml:space="preserve">? Once your client can envision receiving more respect from the other side for their </t>
  </si>
  <si>
    <t>If your client ever thought of the other side as all wrongheaded, does your client still think that way? Or can your client humanize the other side with competing needs? Can your client now understand why those most desperate on the other side may think of your client as complicit with other loathsome folks? Once your client can envision receiving more respect from the other side for their politicized needs, you can help free their focus on their impacted psychosocial needs. You can then segue to de-polarizing.</t>
  </si>
  <si>
    <t>. This need for psychosocial balance fuels political tension.</t>
  </si>
  <si>
    <t xml:space="preserve">Situations beyond their personal control dictates these needs. Politics give expression to these impacts, with the support of those similar affected. Because we often blindly trust politics to ease such needs. As your client focuses on their more visible need </t>
  </si>
  <si>
    <t>Nature pulls us to balance our self-needs and social-needs. Your client experiences intense emotions to compel them to resolve their affected psychosocial needs. These needs typically compel them to guard their more resolved psychsocial needs, while often spurring them to generalize how to relieve their less resolved psychosocial needs. This need for psychosocial balance fuels political tension.</t>
  </si>
  <si>
    <t xml:space="preserve">. Your clients psychosocial orientation compels them to prioritize the </t>
  </si>
  <si>
    <t>natural correction</t>
  </si>
  <si>
    <t>government regulations</t>
  </si>
  <si>
    <t>government protection</t>
  </si>
  <si>
    <t>government led</t>
  </si>
  <si>
    <t>private insurance</t>
  </si>
  <si>
    <t>centralized healthcare</t>
  </si>
  <si>
    <t>improvement</t>
  </si>
  <si>
    <t>supporting POC</t>
  </si>
  <si>
    <t>supporting police</t>
  </si>
  <si>
    <t>media bias</t>
  </si>
  <si>
    <t>underappreciated officers</t>
  </si>
  <si>
    <t>risking death</t>
  </si>
  <si>
    <t>risking economy</t>
  </si>
  <si>
    <t xml:space="preserve"> politics pits </t>
  </si>
  <si>
    <t>voluntary protections</t>
  </si>
  <si>
    <t>economic liberty</t>
  </si>
  <si>
    <t>public speech</t>
  </si>
  <si>
    <t>PUBLIC SPEECH</t>
  </si>
  <si>
    <t>Public speech</t>
  </si>
  <si>
    <t>hate speech</t>
  </si>
  <si>
    <t>Hate speech</t>
  </si>
  <si>
    <t>, there would be no working society. This division is more of a structural problem, beyond the scope of traditional psychotherapy.</t>
  </si>
  <si>
    <t xml:space="preserve">It is an overgeneralization to expect society to officially side with one priority over the other. These competing needs emerge as an arbitrary artifact of culture. If society always sided with the needs of </t>
  </si>
  <si>
    <t>the uninsured</t>
  </si>
  <si>
    <t>habitat loss</t>
  </si>
  <si>
    <t>climate catastrophe</t>
  </si>
  <si>
    <t>Climate catastrophe</t>
  </si>
  <si>
    <t xml:space="preserve">. Those on the other political side directly or vicariously experience a prioritizing need </t>
  </si>
  <si>
    <t>resist exaggerating risk</t>
  </si>
  <si>
    <t>help all immigrants</t>
  </si>
  <si>
    <t>U.S. citizens</t>
  </si>
  <si>
    <t>let in murderers</t>
  </si>
  <si>
    <t>let in criminal gangs</t>
  </si>
  <si>
    <t xml:space="preserve">. Such catastrophizing may ease some pain on each side. Rational thinking must take a back seat to the persisting pain of your client's publicly affected needs.
</t>
  </si>
  <si>
    <t xml:space="preserve"> and may even </t>
  </si>
  <si>
    <t>to keep areas crime-free</t>
  </si>
  <si>
    <t>spur wrongful convictions</t>
  </si>
  <si>
    <t>punish criminals</t>
  </si>
  <si>
    <t>reduce all violence</t>
  </si>
  <si>
    <t>coddle criminals</t>
  </si>
  <si>
    <t>target poor POC</t>
  </si>
  <si>
    <t>enable violence</t>
  </si>
  <si>
    <t>Antifa</t>
  </si>
  <si>
    <t>Proud Boys</t>
  </si>
  <si>
    <t>BLM</t>
  </si>
  <si>
    <t>provide high quality healthcare to all for free</t>
  </si>
  <si>
    <t>force loss of care</t>
  </si>
  <si>
    <t>remove preexisting conditions</t>
  </si>
  <si>
    <t>deference to law</t>
  </si>
  <si>
    <t>would tax us to death</t>
  </si>
  <si>
    <t xml:space="preserve">. Your client may get defensive when opponents claim </t>
  </si>
  <si>
    <t>deny climate impact</t>
  </si>
  <si>
    <t>risk habitat loss</t>
  </si>
  <si>
    <t>strangle the economy</t>
  </si>
  <si>
    <t>downplay mass shootings</t>
  </si>
  <si>
    <t>be defenseless to shooters</t>
  </si>
  <si>
    <t>would confiscate all guns</t>
  </si>
  <si>
    <t>commit infanticide</t>
  </si>
  <si>
    <t>murder children</t>
  </si>
  <si>
    <t>close clinics</t>
  </si>
  <si>
    <t>force births from rape</t>
  </si>
  <si>
    <t>let the poor suffer</t>
  </si>
  <si>
    <t>socialize healthcare</t>
  </si>
  <si>
    <t>increase inequality</t>
  </si>
  <si>
    <t>curb property rights</t>
  </si>
  <si>
    <t>revive overt racism</t>
  </si>
  <si>
    <t>feed structural racism</t>
  </si>
  <si>
    <t>Sexual harrass</t>
  </si>
  <si>
    <t>see racism everywhere</t>
  </si>
  <si>
    <t>deny due process</t>
  </si>
  <si>
    <t>excuse lethal force</t>
  </si>
  <si>
    <t>traumatize POC</t>
  </si>
  <si>
    <t>unleash lawlessness</t>
  </si>
  <si>
    <t>would defund the police</t>
  </si>
  <si>
    <t>intimidate POC voters</t>
  </si>
  <si>
    <t>exaggerate voter suppression</t>
  </si>
  <si>
    <t>rig elections</t>
  </si>
  <si>
    <t>exaggerate voter fraud</t>
  </si>
  <si>
    <t>ignore safety</t>
  </si>
  <si>
    <t>risk other's death</t>
  </si>
  <si>
    <t>force business failures</t>
  </si>
  <si>
    <t>use hate speech</t>
  </si>
  <si>
    <t>deplatform offensive speech</t>
  </si>
  <si>
    <t>enable cancel culture</t>
  </si>
  <si>
    <t>equate speech with money</t>
  </si>
  <si>
    <t>overregulates our lives</t>
  </si>
  <si>
    <t>trigger more shootings</t>
  </si>
  <si>
    <t>exploit the poor</t>
  </si>
  <si>
    <t>smear the biased as bigots</t>
  </si>
  <si>
    <t>seek to shut down all</t>
  </si>
  <si>
    <t>Identity politics</t>
  </si>
  <si>
    <t>LGBT+</t>
  </si>
  <si>
    <t>state surveillance</t>
  </si>
  <si>
    <t>terrorism</t>
  </si>
  <si>
    <t>student loans</t>
  </si>
  <si>
    <t>religious freedom</t>
  </si>
  <si>
    <t>net neutrality</t>
  </si>
  <si>
    <t>big tech</t>
  </si>
  <si>
    <t>minimum wage</t>
  </si>
  <si>
    <t>energy [fracking]</t>
  </si>
  <si>
    <t>drug policy</t>
  </si>
  <si>
    <t xml:space="preserve">Divisive politics lets you judge the other side by its most exaggerated generalizations. Then it upholds your side by casting its most exaggerated generalizations as mere aberration. Divisive politics tempts your client to view those arguing to </t>
  </si>
  <si>
    <t>domestic terror</t>
  </si>
  <si>
    <t>identitarians</t>
  </si>
  <si>
    <t xml:space="preserve">Any attachment your client has to political generalizations is likely fueled by pain of unresolved needs. Instead of challenging your client's generalizing, invite them to get a little more specific. If they politically seek to </t>
  </si>
  <si>
    <t>bring back the death penalty</t>
  </si>
  <si>
    <t>neediness</t>
  </si>
  <si>
    <t>neglect</t>
  </si>
  <si>
    <t>economic policy</t>
  </si>
  <si>
    <t>. You understand but curb their generalized reactions.</t>
  </si>
  <si>
    <t>deplatform speakers</t>
  </si>
  <si>
    <t>assert 1st Amend rights</t>
  </si>
  <si>
    <t>demand voter ID registration</t>
  </si>
  <si>
    <t>assert 2nd Amend rights</t>
  </si>
  <si>
    <t>save healthcare choices</t>
  </si>
  <si>
    <t>ease the healthcare system</t>
  </si>
  <si>
    <t xml:space="preserve"> over attempts to </t>
  </si>
  <si>
    <t>remove a few bad apples</t>
  </si>
  <si>
    <t>celebrate ending overt racism</t>
  </si>
  <si>
    <t xml:space="preserve">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t>
  </si>
  <si>
    <t xml:space="preserve">, it may ease their </t>
  </si>
  <si>
    <t xml:space="preserve">Popular politics entices you and your client to stay shallow and alienated. You both are given a generalization to agree or disagree, with little room for nuance. If your client agrees it is good to </t>
  </si>
  <si>
    <t xml:space="preserve">Harmony Politics encourages you to go deep and connect with your client's and anyone's political views. Instead of arguing a stance for </t>
  </si>
  <si>
    <t>individual racism</t>
  </si>
  <si>
    <t>system wide racism</t>
  </si>
  <si>
    <t>liberal voters</t>
  </si>
  <si>
    <t>conservative voters</t>
  </si>
  <si>
    <t>They can empathize with an opposing priority of needs, in the name of love.</t>
  </si>
  <si>
    <t xml:space="preserve">. After seeing why each side prioritizes their particular needs, your client can appreciate politics is relative to needs. Then they can go deep and connect with political others, just as you went deep and connected with them. </t>
  </si>
  <si>
    <t>removed speakers</t>
  </si>
  <si>
    <t>crime victims</t>
  </si>
  <si>
    <t>business owners</t>
  </si>
  <si>
    <t>blacklisted "racists"</t>
  </si>
  <si>
    <t>failed small businesses</t>
  </si>
  <si>
    <t xml:space="preserve">, or similar stance, you encourage your client to empathize with </t>
  </si>
  <si>
    <t>mock safe space users as snowflakes</t>
  </si>
  <si>
    <t>retraumatized POC</t>
  </si>
  <si>
    <t>"snowflakes"</t>
  </si>
  <si>
    <t>"illegals"</t>
  </si>
  <si>
    <t>"climate alarmists"</t>
  </si>
  <si>
    <t>"gun confiscators"</t>
  </si>
  <si>
    <t>"baby killers"</t>
  </si>
  <si>
    <t>"socialists"</t>
  </si>
  <si>
    <t>"criminals"</t>
  </si>
  <si>
    <t>"capitalists"</t>
  </si>
  <si>
    <t>"reverse racists"</t>
  </si>
  <si>
    <t>"cop killers"</t>
  </si>
  <si>
    <t>"anti-democratic"</t>
  </si>
  <si>
    <t>"paternalistic"</t>
  </si>
  <si>
    <t>"xenophobes"</t>
  </si>
  <si>
    <t>"climate deniers"</t>
  </si>
  <si>
    <t>"killers"</t>
  </si>
  <si>
    <t>"misoginists"</t>
  </si>
  <si>
    <t>"illness profiteers"</t>
  </si>
  <si>
    <t>"racists"</t>
  </si>
  <si>
    <t>"killer cops"</t>
  </si>
  <si>
    <t>"reckless"</t>
  </si>
  <si>
    <t>"bigots"</t>
  </si>
  <si>
    <t>defensiveness</t>
  </si>
  <si>
    <t>feeling intruded</t>
  </si>
  <si>
    <t>feeling misunderstood</t>
  </si>
  <si>
    <t xml:space="preserve">Nature pulls us to balance our self-needs and social-needs. Your client may experience intense emotions like </t>
  </si>
  <si>
    <r>
      <rPr>
        <b/>
        <sz val="24"/>
        <color rgb="FF00823C"/>
        <rFont val="Tahoma"/>
        <family val="2"/>
      </rPr>
      <t>Value</t>
    </r>
    <r>
      <rPr>
        <b/>
        <sz val="24"/>
        <color theme="9" tint="-0.499984740745262"/>
        <rFont val="Tahoma"/>
        <family val="2"/>
      </rPr>
      <t xml:space="preserve"> </t>
    </r>
    <r>
      <rPr>
        <b/>
        <sz val="24"/>
        <color rgb="FF7030A0"/>
        <rFont val="Tahoma"/>
        <family val="2"/>
      </rPr>
      <t>Relating</t>
    </r>
    <r>
      <rPr>
        <b/>
        <sz val="22"/>
        <color rgb="FF004B1E"/>
        <rFont val="Tahoma"/>
        <family val="2"/>
      </rPr>
      <t>'s other free tools</t>
    </r>
  </si>
  <si>
    <r>
      <rPr>
        <b/>
        <sz val="13"/>
        <color theme="9" tint="-0.249977111117893"/>
        <rFont val="Tahoma"/>
        <family val="2"/>
      </rPr>
      <t>Innocence</t>
    </r>
    <r>
      <rPr>
        <b/>
        <sz val="13"/>
        <color theme="1"/>
        <rFont val="Tahoma"/>
        <family val="2"/>
      </rPr>
      <t xml:space="preserve"> </t>
    </r>
    <r>
      <rPr>
        <b/>
        <sz val="13"/>
        <color rgb="FF7030A0"/>
        <rFont val="Tahoma"/>
        <family val="2"/>
      </rPr>
      <t>Validity</t>
    </r>
    <r>
      <rPr>
        <sz val="10"/>
        <color theme="1"/>
        <rFont val="Cambria"/>
        <family val="1"/>
      </rPr>
      <t xml:space="preserve">
For the many wrongly convicted not yet exonerated. Enter case details, and share its calculated estimate of innocence with others.</t>
    </r>
  </si>
  <si>
    <r>
      <rPr>
        <vertAlign val="superscript"/>
        <sz val="9"/>
        <color theme="1"/>
        <rFont val="Arial Narrow"/>
        <family val="2"/>
      </rPr>
      <t>1</t>
    </r>
    <r>
      <rPr>
        <sz val="9"/>
        <color theme="1"/>
        <rFont val="Arial Narrow"/>
        <family val="2"/>
      </rPr>
      <t>Pies, R. (2020). Culture Wars, COVID-19 and Countertransference. What America’s Cultural Rifts Might Mean for Psychiatry and Psychotherapy. https://pro.psychcentral.com/culture-wars-covid-19-and-countertransference. Accessed 2020-11-07.</t>
    </r>
  </si>
  <si>
    <r>
      <t xml:space="preserve">First, let go of the popular yet overgeneralized notion that we rationally choose our political beliefs. </t>
    </r>
    <r>
      <rPr>
        <sz val="12"/>
        <color rgb="FF0070C0"/>
        <rFont val="Cambria"/>
        <family val="1"/>
      </rPr>
      <t>Jonathan Haidt</t>
    </r>
    <r>
      <rPr>
        <vertAlign val="superscript"/>
        <sz val="12"/>
        <color rgb="FF0070C0"/>
        <rFont val="Cambria"/>
        <family val="1"/>
      </rPr>
      <t>2</t>
    </r>
    <r>
      <rPr>
        <sz val="12"/>
        <color theme="1"/>
        <rFont val="Cambria"/>
        <family val="1"/>
      </rPr>
      <t xml:space="preserve"> is one among many to debunk this popular view. The prioritizing needs come first. Political beliefs attach to give expression to these needs.
</t>
    </r>
  </si>
  <si>
    <r>
      <rPr>
        <vertAlign val="superscript"/>
        <sz val="9"/>
        <color theme="1"/>
        <rFont val="Arial Narrow"/>
        <family val="2"/>
      </rPr>
      <t>2</t>
    </r>
    <r>
      <rPr>
        <sz val="9"/>
        <color theme="1"/>
        <rFont val="Arial Narrow"/>
        <family val="2"/>
      </rPr>
      <t>Haidt, J. (2013). The righteous mind. Penguin Books.</t>
    </r>
  </si>
  <si>
    <r>
      <rPr>
        <vertAlign val="superscript"/>
        <sz val="9"/>
        <color theme="1"/>
        <rFont val="Arial Narrow"/>
        <family val="2"/>
      </rPr>
      <t>3</t>
    </r>
    <r>
      <rPr>
        <sz val="9"/>
        <color theme="1"/>
        <rFont val="Arial Narrow"/>
        <family val="2"/>
      </rPr>
      <t>HHS. (2013). Business Associate Contracts. https://www.hhs.gov/hipaa/for-professionals/covered-entities/sample-business-associate-agreement-provisions/index.html. Accessed 2020-11-08.</t>
    </r>
  </si>
  <si>
    <r>
      <t xml:space="preserve">Contents </t>
    </r>
    <r>
      <rPr>
        <sz val="14"/>
        <color theme="1" tint="0.499984740745262"/>
        <rFont val="Tahoma"/>
        <family val="2"/>
      </rPr>
      <t>-</t>
    </r>
    <r>
      <rPr>
        <sz val="11"/>
        <color theme="1" tint="0.499984740745262"/>
        <rFont val="Tahoma"/>
        <family val="2"/>
      </rPr>
      <t>click on the page title below or its page # to go to that page</t>
    </r>
  </si>
  <si>
    <t xml:space="preserve">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t>
  </si>
  <si>
    <t>One political side generalizes for relief of an unresolved psychosocial need, while guarding a more resolved psychosocial need. The other political side generalizes for relief of a psychosocial need, while guarding a more resolved psychosocial need. Wide-oriented liberalism generalizes how to guard their more resolved self-needs, like authenticity, and generalizes how to relieve the pain of their less resolved social-needs, like socital inclusion. Deep-oriented conservatism generalizes how to guard their more resolved social-needs, like group cohesion, and generalizes how to relieve the pain of their less resolved self-needs, like independence.</t>
  </si>
  <si>
    <t xml:space="preserve">Deeper and more specifically, political contests reveal long standing obstacles to resolving needs. As public policy favors the prioritized need of one political side, it often limits the other side's capacity to fully resolve their priority of needs. The more one side can address their needs, their underling psychosocial needs resolve and ease their pain. The less the other side can address their needs, their underlying psychosocial needs remain painfully bare. Democracy then sinks into a passive-aggressive struggle to take turns easing the pain of each other's public facing needs. </t>
  </si>
  <si>
    <t>It is an overgeneralization to expect society to officially side with one priority over the other. These competing needs emerge as an arbitrary artifact of culture. If humanity always sided with the needs of the wide-oriented against the needs of deep-oriented, or with the needs of the deep-oriented against the needs of wide-oriented, there would be no humanity. This division is more of a structural problem, beyond the scope of traditional psychotherapy.</t>
  </si>
  <si>
    <r>
      <t xml:space="preserve">Therapeutic </t>
    </r>
    <r>
      <rPr>
        <b/>
        <sz val="22"/>
        <color rgb="FF009646"/>
        <rFont val="Tahoma"/>
        <family val="2"/>
      </rPr>
      <t>Harmony</t>
    </r>
    <r>
      <rPr>
        <b/>
        <sz val="22"/>
        <color rgb="FF00501E"/>
        <rFont val="Tahoma"/>
        <family val="2"/>
      </rPr>
      <t xml:space="preserve"> </t>
    </r>
    <r>
      <rPr>
        <b/>
        <sz val="22"/>
        <color rgb="FF7030A0"/>
        <rFont val="Tahoma"/>
        <family val="2"/>
      </rPr>
      <t>Politics</t>
    </r>
  </si>
  <si>
    <r>
      <rPr>
        <sz val="12"/>
        <color rgb="FF0070C0"/>
        <rFont val="Cambria"/>
        <family val="1"/>
      </rPr>
      <t>Anankelogy</t>
    </r>
    <r>
      <rPr>
        <sz val="12"/>
        <color theme="1"/>
        <rFont val="Cambria"/>
        <family val="1"/>
      </rPr>
      <t>, the new social science for understanding needs, finds we have a set way for relating to others, and toward other things. Simplified here, you either relate to other as generally as possible, or you relate to other's specifics. Politics entices you, and your client, to cling to comforting generalizations. Politics builds on coalitions that must avoid potentially divisive specifics. Politics routinely overlooks the specifics necessary to resolve needs, which would remove the pain.</t>
    </r>
  </si>
  <si>
    <r>
      <t xml:space="preserve">Therapeutic </t>
    </r>
    <r>
      <rPr>
        <b/>
        <sz val="22"/>
        <color rgb="FF00823C"/>
        <rFont val="Tahoma"/>
        <family val="2"/>
      </rPr>
      <t>Harmony</t>
    </r>
    <r>
      <rPr>
        <b/>
        <sz val="22"/>
        <color rgb="FF00501E"/>
        <rFont val="Tahoma"/>
        <family val="2"/>
      </rPr>
      <t xml:space="preserve"> </t>
    </r>
    <r>
      <rPr>
        <b/>
        <sz val="22"/>
        <color rgb="FF7030A0"/>
        <rFont val="Tahoma"/>
        <family val="2"/>
      </rPr>
      <t>Politics</t>
    </r>
  </si>
  <si>
    <r>
      <t xml:space="preserve">This tool covers just enough to get you started on your own. </t>
    </r>
    <r>
      <rPr>
        <sz val="12"/>
        <color rgb="FF0070C0"/>
        <rFont val="Tahoma"/>
        <family val="2"/>
      </rPr>
      <t>Contact me</t>
    </r>
    <r>
      <rPr>
        <sz val="12"/>
        <rFont val="Tahoma"/>
        <family val="2"/>
      </rPr>
      <t xml:space="preserve"> for support.</t>
    </r>
  </si>
  <si>
    <r>
      <t xml:space="preserve">Competitive </t>
    </r>
    <r>
      <rPr>
        <b/>
        <sz val="22"/>
        <color rgb="FF7030A0"/>
        <rFont val="Tahoma"/>
        <family val="2"/>
      </rPr>
      <t>responsiveness</t>
    </r>
  </si>
  <si>
    <t>Brand yourself as a counselor responsive to the needs on both sides.</t>
  </si>
  <si>
    <r>
      <t xml:space="preserve">Wellness is psychosocial. Your self-needs </t>
    </r>
    <r>
      <rPr>
        <i/>
        <sz val="10.5"/>
        <color theme="1"/>
        <rFont val="Tahoma"/>
        <family val="2"/>
      </rPr>
      <t>and</t>
    </r>
    <r>
      <rPr>
        <sz val="10.5"/>
        <color theme="1"/>
        <rFont val="Tahoma"/>
        <family val="2"/>
      </rPr>
      <t xml:space="preserve"> social-needs must resolve for you to fully function.</t>
    </r>
  </si>
  <si>
    <r>
      <t xml:space="preserve">Politics is not as rationally based as widely assumed. But expresses your </t>
    </r>
    <r>
      <rPr>
        <i/>
        <sz val="10.5"/>
        <color theme="1"/>
        <rFont val="Tahoma"/>
        <family val="2"/>
      </rPr>
      <t>psychosocial orientation</t>
    </r>
    <r>
      <rPr>
        <sz val="10.5"/>
        <color theme="1"/>
        <rFont val="Tahoma"/>
        <family val="2"/>
      </rPr>
      <t>.</t>
    </r>
  </si>
  <si>
    <r>
      <t xml:space="preserve">The </t>
    </r>
    <r>
      <rPr>
        <b/>
        <sz val="11"/>
        <color theme="1"/>
        <rFont val="Cambria"/>
        <family val="1"/>
      </rPr>
      <t>impact parity model</t>
    </r>
    <r>
      <rPr>
        <sz val="11"/>
        <color theme="1"/>
        <rFont val="Cambria"/>
        <family val="1"/>
      </rPr>
      <t xml:space="preserve">, or IPM, empowers your client to address power relations. The IPM identifies the powerholder in that relation as the </t>
    </r>
    <r>
      <rPr>
        <i/>
        <sz val="11"/>
        <color theme="1"/>
        <rFont val="Cambria"/>
        <family val="1"/>
      </rPr>
      <t>ascribed impactor</t>
    </r>
    <r>
      <rPr>
        <sz val="11"/>
        <color theme="1"/>
        <rFont val="Cambria"/>
        <family val="1"/>
      </rPr>
      <t xml:space="preserve">, or </t>
    </r>
    <r>
      <rPr>
        <b/>
        <sz val="11"/>
        <color theme="1"/>
        <rFont val="Cambria"/>
        <family val="1"/>
      </rPr>
      <t>AI</t>
    </r>
    <r>
      <rPr>
        <sz val="11"/>
        <color theme="1"/>
        <rFont val="Cambria"/>
        <family val="1"/>
      </rPr>
      <t xml:space="preserve">. It identifies your relatively less powerful client as the </t>
    </r>
    <r>
      <rPr>
        <i/>
        <sz val="11"/>
        <color theme="1"/>
        <rFont val="Cambria"/>
        <family val="1"/>
      </rPr>
      <t>reporting impactee</t>
    </r>
    <r>
      <rPr>
        <sz val="11"/>
        <color theme="1"/>
        <rFont val="Cambria"/>
        <family val="1"/>
      </rPr>
      <t xml:space="preserve">, or </t>
    </r>
    <r>
      <rPr>
        <b/>
        <sz val="11"/>
        <color theme="1"/>
        <rFont val="Cambria"/>
        <family val="1"/>
      </rPr>
      <t>RI</t>
    </r>
    <r>
      <rPr>
        <sz val="11"/>
        <color theme="1"/>
        <rFont val="Cambria"/>
        <family val="1"/>
      </rPr>
      <t xml:space="preserve">. 
Your client receives support to </t>
    </r>
    <r>
      <rPr>
        <i/>
        <sz val="11"/>
        <color theme="1"/>
        <rFont val="Cambria"/>
        <family val="1"/>
      </rPr>
      <t>speak truth to power</t>
    </r>
    <r>
      <rPr>
        <sz val="11"/>
        <color theme="1"/>
        <rFont val="Cambria"/>
        <family val="1"/>
      </rPr>
      <t xml:space="preserve"> (</t>
    </r>
    <r>
      <rPr>
        <b/>
        <sz val="11"/>
        <color theme="1"/>
        <rFont val="Cambria"/>
        <family val="1"/>
      </rPr>
      <t>STTP</t>
    </r>
    <r>
      <rPr>
        <sz val="11"/>
        <color theme="1"/>
        <rFont val="Cambria"/>
        <family val="1"/>
      </rPr>
      <t xml:space="preserve">), including to you. The IPM incentivizes the AI to </t>
    </r>
    <r>
      <rPr>
        <i/>
        <sz val="11"/>
        <color theme="1"/>
        <rFont val="Cambria"/>
        <family val="1"/>
      </rPr>
      <t>listen to those impacted</t>
    </r>
    <r>
      <rPr>
        <sz val="11"/>
        <color theme="1"/>
        <rFont val="Cambria"/>
        <family val="1"/>
      </rPr>
      <t xml:space="preserve"> (</t>
    </r>
    <r>
      <rPr>
        <b/>
        <sz val="11"/>
        <color theme="1"/>
        <rFont val="Cambria"/>
        <family val="1"/>
      </rPr>
      <t>LTTI</t>
    </r>
    <r>
      <rPr>
        <sz val="11"/>
        <color theme="1"/>
        <rFont val="Cambria"/>
        <family val="1"/>
      </rPr>
      <t xml:space="preserve">). The IPM inspires those in power to invest in those they impact with their power. </t>
    </r>
  </si>
  <si>
    <t>When you see they are ready to focus more on resolving affected needs, you encourage them to see the other side's affected needs are no more or less important than your politically affected needs. The more your client can empathize with the other side's priority of needs, ask them if this can make it easier for the other side to empathize with their priority of needs.</t>
  </si>
  <si>
    <r>
      <rPr>
        <b/>
        <sz val="12"/>
        <color theme="1"/>
        <rFont val="Cambria"/>
        <family val="1"/>
      </rPr>
      <t>Ready to go beyond conventional counseling?</t>
    </r>
    <r>
      <rPr>
        <sz val="12"/>
        <color theme="1"/>
        <rFont val="Cambria"/>
        <family val="1"/>
      </rPr>
      <t xml:space="preserve"> Use this tool to recover any lost rapport with your client over political differences. Contact me at </t>
    </r>
    <r>
      <rPr>
        <sz val="10"/>
        <color rgb="FF009646"/>
        <rFont val="Arial Black"/>
        <family val="2"/>
      </rPr>
      <t>Value</t>
    </r>
    <r>
      <rPr>
        <sz val="10"/>
        <color theme="1"/>
        <rFont val="Arial Black"/>
        <family val="2"/>
      </rPr>
      <t xml:space="preserve"> </t>
    </r>
    <r>
      <rPr>
        <sz val="10"/>
        <color rgb="FF7030A0"/>
        <rFont val="Arial Black"/>
        <family val="2"/>
      </rPr>
      <t>Relating</t>
    </r>
    <r>
      <rPr>
        <sz val="12"/>
        <color theme="1"/>
        <rFont val="Cambria"/>
        <family val="1"/>
      </rPr>
      <t xml:space="preserve"> to fit this tool to your particular counseling needs. Does your client need advocacy to address their public facing needs? I look forward to introducing you to </t>
    </r>
    <r>
      <rPr>
        <b/>
        <sz val="12"/>
        <color theme="1"/>
        <rFont val="Cambria"/>
        <family val="1"/>
      </rPr>
      <t>psychosociotherapy</t>
    </r>
    <r>
      <rPr>
        <sz val="12"/>
        <color theme="1"/>
        <rFont val="Cambria"/>
        <family val="1"/>
      </rPr>
      <t>, to empower your client to speak truth to political power, wherever they must confront it.</t>
    </r>
  </si>
  <si>
    <r>
      <t xml:space="preserve">This tool helps you address psychosocial needs at the personal level with traditional psychotherapy. It can only go so far. Discover how </t>
    </r>
    <r>
      <rPr>
        <b/>
        <sz val="11.5"/>
        <color theme="1"/>
        <rFont val="Tahoma"/>
        <family val="2"/>
      </rPr>
      <t>psychosociotherapy</t>
    </r>
    <r>
      <rPr>
        <sz val="11.5"/>
        <color theme="1"/>
        <rFont val="Tahoma"/>
        <family val="2"/>
      </rPr>
      <t xml:space="preserve"> can address your client's psychosocial needs on both a personal and interpersonal or social level. Instead of helping your client adjust to harsh political realities, you empower your client to adjust their relationships with politically powerful others, in a mutually beneficial conciliatory way.</t>
    </r>
  </si>
  <si>
    <r>
      <t xml:space="preserve">I invite you to help me develop a fresh online model for therapy. Instead of focusing on changes within your client, </t>
    </r>
    <r>
      <rPr>
        <i/>
        <sz val="11"/>
        <color theme="1"/>
        <rFont val="Cambria"/>
        <family val="1"/>
      </rPr>
      <t>psychosociotherapy</t>
    </r>
    <r>
      <rPr>
        <sz val="11"/>
        <color theme="1"/>
        <rFont val="Cambria"/>
        <family val="1"/>
      </rPr>
      <t xml:space="preserve"> supports your client to change their relations with powerful others. You work with me to give them a solid starting point. I invite you to empower your client to speak their truth to political power, using what I call the </t>
    </r>
    <r>
      <rPr>
        <i/>
        <sz val="11"/>
        <color theme="1"/>
        <rFont val="Cambria"/>
        <family val="1"/>
      </rPr>
      <t>impact parity model</t>
    </r>
    <r>
      <rPr>
        <sz val="11"/>
        <color theme="1"/>
        <rFont val="Cambria"/>
        <family val="1"/>
      </rPr>
      <t>.</t>
    </r>
  </si>
  <si>
    <r>
      <rPr>
        <b/>
        <sz val="12"/>
        <color theme="1"/>
        <rFont val="Cambria"/>
        <family val="1"/>
      </rPr>
      <t>Revolutionary revenue model</t>
    </r>
    <r>
      <rPr>
        <sz val="11"/>
        <color theme="1"/>
        <rFont val="Cambria"/>
        <family val="1"/>
      </rPr>
      <t xml:space="preserve">
Psychosociotherapy does not rely on insurance. Nor is it an out-of-pocket personal health expense. It creates value for both sides in a power relation. The IPM incentivizes the AI, who typically has greater resources and the most to gain from this model, to invest in your RI client. They receive valuable data for better serving others like the RI. Just as you are learning to attract and sustain RI clients. AI's must compete with each other to be most responsive to clients' underserved needs. </t>
    </r>
  </si>
  <si>
    <r>
      <t xml:space="preserve">Political leaders lead poorly when pitting us against each other. Their legitimacy sinks when failing to integrate the needs of both sides. They need your politically passionate client to lead a better way. Harmony Politics can empower you and your client to </t>
    </r>
    <r>
      <rPr>
        <i/>
        <sz val="12"/>
        <color theme="1"/>
        <rFont val="Cambria"/>
        <family val="1"/>
      </rPr>
      <t>lead</t>
    </r>
    <r>
      <rPr>
        <sz val="12"/>
        <color theme="1"/>
        <rFont val="Cambria"/>
        <family val="1"/>
      </rPr>
      <t xml:space="preserve"> these leaders. You and your client can replace petty divisive politics with the more compelling competition of who loves the most, by being more responsive to politicized needs.</t>
    </r>
  </si>
  <si>
    <r>
      <t xml:space="preserve">Your client could become disillusioned with therapy itself. They may see it as </t>
    </r>
    <r>
      <rPr>
        <sz val="12"/>
        <color rgb="FF0070C0"/>
        <rFont val="Cambria"/>
        <family val="1"/>
      </rPr>
      <t>hopelessly partisan.</t>
    </r>
    <r>
      <rPr>
        <vertAlign val="superscript"/>
        <sz val="12"/>
        <color rgb="FF0070C0"/>
        <rFont val="Cambria"/>
        <family val="1"/>
      </rPr>
      <t>1</t>
    </r>
    <r>
      <rPr>
        <sz val="12"/>
        <color theme="1"/>
        <rFont val="Cambria"/>
        <family val="1"/>
      </rPr>
      <t xml:space="preserve"> They likely will warn others not to see you. You then risk your professional reputation. And the reputation of the profession.</t>
    </r>
  </si>
  <si>
    <t>Getting started</t>
  </si>
  <si>
    <t>Invitations</t>
  </si>
  <si>
    <t>Wk 01</t>
  </si>
  <si>
    <t>Wk 02</t>
  </si>
  <si>
    <t>Wk 03</t>
  </si>
  <si>
    <t>Wk 04</t>
  </si>
  <si>
    <t>Wk 05</t>
  </si>
  <si>
    <t>Wk 06</t>
  </si>
  <si>
    <t>Wk 07</t>
  </si>
  <si>
    <t>Wk 08</t>
  </si>
  <si>
    <t>Wk 09</t>
  </si>
  <si>
    <t>Wk 10</t>
  </si>
  <si>
    <t>Wk 11</t>
  </si>
  <si>
    <t>Wk 12</t>
  </si>
  <si>
    <t>Wk 13</t>
  </si>
  <si>
    <t>Wk 14</t>
  </si>
  <si>
    <t>Wk 15</t>
  </si>
  <si>
    <t>Wk 16</t>
  </si>
  <si>
    <t>Wk 17</t>
  </si>
  <si>
    <t>Wk 18</t>
  </si>
  <si>
    <t>Wk 19</t>
  </si>
  <si>
    <t>Wk 20</t>
  </si>
  <si>
    <t>Wk 21</t>
  </si>
  <si>
    <t>Wk 22</t>
  </si>
  <si>
    <t>Wk 23</t>
  </si>
  <si>
    <t>Wk 24</t>
  </si>
  <si>
    <t>Wk 25</t>
  </si>
  <si>
    <t>Wk 26</t>
  </si>
  <si>
    <t>Wk 27</t>
  </si>
  <si>
    <t>Overview with revenue potential</t>
  </si>
  <si>
    <t>Political proactivism identifies and addresses the inflexible needs on both sides of a political issue.</t>
  </si>
  <si>
    <t>With our help, you attract social and financial support for your passionate cause to resolve needs.</t>
  </si>
  <si>
    <r>
      <t xml:space="preserve">The </t>
    </r>
    <r>
      <rPr>
        <b/>
        <sz val="12"/>
        <color theme="1"/>
        <rFont val="Cambria"/>
        <family val="1"/>
      </rPr>
      <t>Reporting Impactee</t>
    </r>
    <r>
      <rPr>
        <sz val="12"/>
        <color theme="1"/>
        <rFont val="Cambria"/>
        <family val="1"/>
      </rPr>
      <t xml:space="preserve"> is impacted by the power relation more then impacting it.</t>
    </r>
  </si>
  <si>
    <r>
      <t xml:space="preserve">The </t>
    </r>
    <r>
      <rPr>
        <b/>
        <sz val="12"/>
        <color theme="1"/>
        <rFont val="Cambria"/>
        <family val="1"/>
      </rPr>
      <t>Ascribed Impactor</t>
    </r>
    <r>
      <rPr>
        <sz val="12"/>
        <color theme="1"/>
        <rFont val="Cambria"/>
        <family val="1"/>
      </rPr>
      <t xml:space="preserve"> impacts the power relation more than being impacted by it.</t>
    </r>
  </si>
  <si>
    <t>counselor</t>
  </si>
  <si>
    <t>journalist</t>
  </si>
  <si>
    <t>public servant</t>
  </si>
  <si>
    <t>EXAMPLE</t>
  </si>
  <si>
    <t xml:space="preserve">Your tone is engaging. </t>
  </si>
  <si>
    <t xml:space="preserve">Your tone is now declarative. They had their chance to get on board. </t>
  </si>
  <si>
    <t>Your tone is celebratory with all who joined you.</t>
  </si>
  <si>
    <r>
      <rPr>
        <b/>
        <sz val="22"/>
        <color rgb="FF1E5A28"/>
        <rFont val="Tahoma"/>
        <family val="2"/>
      </rPr>
      <t>Welcome to</t>
    </r>
    <r>
      <rPr>
        <b/>
        <sz val="22"/>
        <color rgb="FF7030A0"/>
        <rFont val="Tahoma"/>
        <family val="2"/>
      </rPr>
      <t xml:space="preserve"> </t>
    </r>
    <r>
      <rPr>
        <b/>
        <sz val="22"/>
        <color rgb="FF00823C"/>
        <rFont val="Tahoma"/>
        <family val="2"/>
      </rPr>
      <t>proactive</t>
    </r>
    <r>
      <rPr>
        <b/>
        <sz val="22"/>
        <color rgb="FF7030A0"/>
        <rFont val="Tahoma"/>
        <family val="2"/>
      </rPr>
      <t xml:space="preserve"> advocacy</t>
    </r>
  </si>
  <si>
    <t>Your unexpected empathy and love for each other</t>
  </si>
  <si>
    <t>Your expected distrust and loathing of each other</t>
  </si>
  <si>
    <t xml:space="preserve">A need-responsive </t>
  </si>
  <si>
    <t>politics</t>
  </si>
  <si>
    <t>Needs come first</t>
  </si>
  <si>
    <t>Others need differently than you</t>
  </si>
  <si>
    <t>Stuck on your differences</t>
  </si>
  <si>
    <t>Slipping into needless battle</t>
  </si>
  <si>
    <t>Liberated by love</t>
  </si>
  <si>
    <t xml:space="preserve">When it comes to </t>
  </si>
  <si>
    <t xml:space="preserve">, you need to focus more on </t>
  </si>
  <si>
    <t xml:space="preserve"> for </t>
  </si>
  <si>
    <t xml:space="preserve">. Your situation in life proritizes your need for </t>
  </si>
  <si>
    <t>. Their reasoning can mount compelling arguments to support their side. They must, when their needs depend on it. Much like yours.</t>
  </si>
  <si>
    <t xml:space="preserve">Others experience a strikingly different priority of needs. They need to focus more on </t>
  </si>
  <si>
    <t>. They tend to take</t>
  </si>
  <si>
    <t xml:space="preserve">. So you gravitate toward </t>
  </si>
  <si>
    <t xml:space="preserve">There is no good nor bad except for need. What appears bad for them seems bad to you. What seems good for them feels bad for you. The generalizing of divisive </t>
  </si>
  <si>
    <t>1. Void of moral leadership</t>
  </si>
  <si>
    <t>2. Exaggerating slips into extremes</t>
  </si>
  <si>
    <t>3. Erupting into hate</t>
  </si>
  <si>
    <t>4. Imagining the worse of each other</t>
  </si>
  <si>
    <t xml:space="preserve">Conventionally, the other side seems like a threat to your prioritized needs. The more you seek to </t>
  </si>
  <si>
    <t xml:space="preserve">, the more they seek to </t>
  </si>
  <si>
    <t xml:space="preserve">. You both must serve your different priority of </t>
  </si>
  <si>
    <t xml:space="preserve"> affected needs. Political generalizing arrives after the fact. If it wasn't for your diverging priority of </t>
  </si>
  <si>
    <t xml:space="preserve"> needs, you likely wouldn't care about </t>
  </si>
  <si>
    <t xml:space="preserve">In the absence of a bridge for mutual respect, each side entertains extreme </t>
  </si>
  <si>
    <t xml:space="preserve">. That easily provokes extreme elements on the other side. They insist we </t>
  </si>
  <si>
    <t xml:space="preserve"> to serve their prioritized </t>
  </si>
  <si>
    <t xml:space="preserve">. Their obnoxious voices likely denounce your side as full of </t>
  </si>
  <si>
    <t xml:space="preserve"> affected needs. Divisive politics fails you every time.</t>
  </si>
  <si>
    <t xml:space="preserve"> and even </t>
  </si>
  <si>
    <t>" and perhaps "</t>
  </si>
  <si>
    <t xml:space="preserve"> politics as a solution to the problem? Or can you see such divisive politics as the problem?</t>
  </si>
  <si>
    <t xml:space="preserve">Soon, loud voices on your side denounce the other side as a bunch of </t>
  </si>
  <si>
    <t>Argue</t>
  </si>
  <si>
    <t>Reject</t>
  </si>
  <si>
    <t>Demand</t>
  </si>
  <si>
    <t>Listen</t>
  </si>
  <si>
    <t>Affirm</t>
  </si>
  <si>
    <t>Offer</t>
  </si>
  <si>
    <t>I hear your need for safer neighborhoods. I don’t mean letting in criminal gangs who could harm your family, or mine.</t>
  </si>
  <si>
    <t>I affirm your need for secure boundaries around you.</t>
  </si>
  <si>
    <t>The more I respect your need for protective national borders, can I trust you to respect my need for fair entry for the most vulnerably disadvantaged?</t>
  </si>
  <si>
    <t>Keep families together!</t>
  </si>
  <si>
    <t>Abolish ICE!</t>
  </si>
  <si>
    <t>Remove barriers to those disadvantaged by our own neocolonial meddling.</t>
  </si>
  <si>
    <t>Keep criminal gangs out!</t>
  </si>
  <si>
    <t>Abolish DACA!</t>
  </si>
  <si>
    <t>Remove incentives for illegals to break our laws!</t>
  </si>
  <si>
    <t xml:space="preserve">Our divisive </t>
  </si>
  <si>
    <t xml:space="preserve">Our responsive </t>
  </si>
  <si>
    <t xml:space="preserve">Your need </t>
  </si>
  <si>
    <t xml:space="preserve"> can complement their need </t>
  </si>
  <si>
    <t xml:space="preserve">. Together, you both move beyond alienating exaggerations to connect with each other's specific </t>
  </si>
  <si>
    <t xml:space="preserve"> impacted needs. You replace arguing with listening. You replace rejecting each other's needs with affirming each other's </t>
  </si>
  <si>
    <t xml:space="preserve"> impacted needs. You replace demanding with offering what you can do for their needs, while suggesting what they can do for yours. All with empathy and love.</t>
  </si>
  <si>
    <t xml:space="preserve">Moral leadership inspires you to switch from claiming we must </t>
  </si>
  <si>
    <t xml:space="preserve"> to respecting the needs of </t>
  </si>
  <si>
    <t xml:space="preserve">. As you back away from defensive generalizing, you challenge the other side to switch from claiming we must all </t>
  </si>
  <si>
    <t>. Or they risk losing moral ground to you.</t>
  </si>
  <si>
    <t>We are already too late to avoid climate catastrophes, like more floods and hurricanes.</t>
  </si>
  <si>
    <t>Climate deniers must trust the scientific consensus on this.</t>
  </si>
  <si>
    <t>Force the worst culprits to cut greenhouse gas emissions immediately.</t>
  </si>
  <si>
    <t>Government lawyers and their regulations will likely make the problem worse.</t>
  </si>
  <si>
    <t>Climate alarmists must stop exaggerating the weather.</t>
  </si>
  <si>
    <t>Incentivize businesses to emit less gasses, without the nanny state regulations.</t>
  </si>
  <si>
    <t>I hear your fear of economic failure from environmental overregulation.</t>
  </si>
  <si>
    <t>I affirm your need to trust individuals more to respect our shared climate.</t>
  </si>
  <si>
    <t>The more I respect your need to trust market solutions over government regulations, can you respect my need to immediately reduce emissions from worst culprits?</t>
  </si>
  <si>
    <t>I hear your fear of mass homelessness from increasing storms and floods.</t>
  </si>
  <si>
    <t>I affirm your need to avoid avoidable weather disasters.</t>
  </si>
  <si>
    <t>The more I respect your need to immediately reduce emissions, can I count on you to respect my need for non-government solutions for the climate?</t>
  </si>
  <si>
    <t>I hear your need to give immigrants a new lease on life. I don’t mean excluding migrants who enter legally.</t>
  </si>
  <si>
    <t>I affirm your need to help underdogs like yourself.</t>
  </si>
  <si>
    <t>The more I respect your need to let the least advantaged find opportunity here, can I trust you to respect my need for protective national borders?</t>
  </si>
  <si>
    <t>No one should be able to buy or own a gun without a full background check.</t>
  </si>
  <si>
    <t>Enough with your gun rights.</t>
  </si>
  <si>
    <t>Keep guns out of the hands of children and mentally deranged killers.</t>
  </si>
  <si>
    <t>Criminal shooters already break gun control measures.</t>
  </si>
  <si>
    <t>Enough with your gun laws. Stop criminalizing my self-defense.</t>
  </si>
  <si>
    <t>Keep the government out of my 2nd Amendment rights.</t>
  </si>
  <si>
    <t>I hear your need for a self-sufficient defense.</t>
  </si>
  <si>
    <t>I affirm your need to personally defend yourself and loved ones.</t>
  </si>
  <si>
    <t>The more I honor your need to arm yourself, I trust you will honor our need to remain safe from gun violence when we cannot defend ourselves.</t>
  </si>
  <si>
    <t>I hear your petrifying fear of violent shooters.</t>
  </si>
  <si>
    <t>I affirm your need to stay secure from all gun violence.</t>
  </si>
  <si>
    <t>The more I honor your need for laws to keep you safe from gun violence, the more I trust you will honor my need to arm myself.</t>
  </si>
  <si>
    <t>Argue pro-choice</t>
  </si>
  <si>
    <t>Reject fetus as life</t>
  </si>
  <si>
    <t>Demand privacy rights</t>
  </si>
  <si>
    <t>Argue pro-life</t>
  </si>
  <si>
    <t>Reject abortion as an easy option</t>
  </si>
  <si>
    <t>Demand preservation of life</t>
  </si>
  <si>
    <t>Affirm life's potential</t>
  </si>
  <si>
    <t>Affirm reproductive needs</t>
  </si>
  <si>
    <t>Keep the government out of arbitrarily deciding when life begins.</t>
  </si>
  <si>
    <t>Every woman has a right over her own body, including her reproductive organs.</t>
  </si>
  <si>
    <t>Her fetus in not her fate.</t>
  </si>
  <si>
    <t>Keep the government out of her private decisions about her own reproductive challenges.</t>
  </si>
  <si>
    <t>The unborn child has a right to a life denied by abortionists.</t>
  </si>
  <si>
    <t>Terminating a life is murder.</t>
  </si>
  <si>
    <t>I hear your need to give voice to the voiceless not yet born.</t>
  </si>
  <si>
    <t>I affirm your need to defend an arguably vulnerable life.</t>
  </si>
  <si>
    <t>The more I honor such unborn rights, the more I trust you to honor reproductive rights.</t>
  </si>
  <si>
    <t>I hear your need to support the woman during an unsupported pregnancy.</t>
  </si>
  <si>
    <t>I affirm your need to trust her responsible judgment.</t>
  </si>
  <si>
    <t>The more I honor such reproductive rights, the more I trust you to honor unborn rights.</t>
  </si>
  <si>
    <t>Healthcare is a right. No one should get sick and die because they cannot afford quality care.</t>
  </si>
  <si>
    <t>Uncouple healthcare from the market.</t>
  </si>
  <si>
    <t>Provide healthcare to all, funded by public tax revenues.</t>
  </si>
  <si>
    <t>Healthcare will get worse if run by government lawyers.</t>
  </si>
  <si>
    <t>Don’t risk my health by imposing a long waiting list.</t>
  </si>
  <si>
    <t>Keep healthcare incentivized by the market, to ensure quality outcomes for all.</t>
  </si>
  <si>
    <t>I hear your need for maintaining private insurance choices for quality care.</t>
  </si>
  <si>
    <t>I affirm your need for individually tailored options.</t>
  </si>
  <si>
    <t>The more I support your quality healthcare choices, the more I count on you to support equal access to healthcare independent of my income status.</t>
  </si>
  <si>
    <t>I hear your need for equally accessible healthcare, independent of your job history.</t>
  </si>
  <si>
    <t>I affirm your need for healthcare regardless of income.</t>
  </si>
  <si>
    <t>The more I support your equal access to healthcare independent of income status, the more I count on you to support my quality healthcare choices.</t>
  </si>
  <si>
    <t>The U.S. incarcerates more of its people than any other nation in the world.</t>
  </si>
  <si>
    <t>End cash bail and end court fines and fees.</t>
  </si>
  <si>
    <t>Replace the prison industrial complex with programs serving our underserved needs.</t>
  </si>
  <si>
    <t>Although imperfect, our criminal justice system is among the best in the world.</t>
  </si>
  <si>
    <t>End parole for the most violent offenders.</t>
  </si>
  <si>
    <t>Lock up every violent offender, to keep our neighborhoods safe.</t>
  </si>
  <si>
    <t>I hear your need to favor the complaints of victims over accused persons of color.</t>
  </si>
  <si>
    <t>I affirm your need to keep individuals safe from crime.</t>
  </si>
  <si>
    <t>The more I empathize with the needs of accusers, the more I expect you to empathize with the needs of the accused.</t>
  </si>
  <si>
    <t>I hear your need to favor accused persons of color over unverified complaints of victims.</t>
  </si>
  <si>
    <t>I affirm your need for collective security from law enforcement overreach.</t>
  </si>
  <si>
    <t>The more I empathize with the needs of the accused, the more I expect you to empathize with the needs of victimized accusers.</t>
  </si>
  <si>
    <t>A free market functions best when government functions as a referee.</t>
  </si>
  <si>
    <t>Argue socialistic policies</t>
  </si>
  <si>
    <t>Reject capitalism</t>
  </si>
  <si>
    <t>Argue capitalistic policies</t>
  </si>
  <si>
    <t>Reject socialism</t>
  </si>
  <si>
    <t>A purely capitalist economy cannot work.</t>
  </si>
  <si>
    <t>Replace capitalistic advantages with socialistic policies so all needs get equally served.</t>
  </si>
  <si>
    <t>Government intrusions undermine incentives for creativity and productivity.</t>
  </si>
  <si>
    <t>A purely socialist economy cannot work.</t>
  </si>
  <si>
    <t>Replace socialistic regulations with free market policies to produce all that we need.</t>
  </si>
  <si>
    <t>I hear your need to incentivize productivity with a profit motive.</t>
  </si>
  <si>
    <t>I affirm the needs of over-regulated producers.</t>
  </si>
  <si>
    <t>The more I uphold the needs of distressed producers, I trust you to uphold the needs of exploitable consumers.</t>
  </si>
  <si>
    <t>I hear your need to protect the poor from exploitation.</t>
  </si>
  <si>
    <t>I affirm the needs of vulnerable shoppers.</t>
  </si>
  <si>
    <t>The more I uphold the needs of exploitable consumers, I trust you to uphold the needs of distressed producers.</t>
  </si>
  <si>
    <t>Yes, overt racism is down, but covert racism persists.</t>
  </si>
  <si>
    <t>Dismissing our complaints doesn’t make racism do away.</t>
  </si>
  <si>
    <t>Listen empathetically to people of color when they complain of structural forms of racism.</t>
  </si>
  <si>
    <t>It’s easier to learn from our mistakes when not forced into conformity.</t>
  </si>
  <si>
    <t>Shaming every piece of implicit bias doesn’t make racism go away.</t>
  </si>
  <si>
    <t>Stop race baiting us, or excluding those of us who are white because we are white.</t>
  </si>
  <si>
    <t>I hear your need not to be shamed over racial slights where you meant no harm.</t>
  </si>
  <si>
    <t>I affirm your need to never be race-baited.</t>
  </si>
  <si>
    <t>The more sensitive I am to shaming your whiteness, the more sensitive you could be to the persisting forms of anti-black discrimination.</t>
  </si>
  <si>
    <t>I hear your need to improve awareness of less visible forms of racial bias.</t>
  </si>
  <si>
    <t>I affirm your need to never be racially profiled.</t>
  </si>
  <si>
    <t>The more sensitive I am to persisting forms of anti-black discrimination, the more sensitive you could be to shaming my unchosen whiteness.</t>
  </si>
  <si>
    <t>Police, as a habit, objectify people of color as expected criminals.</t>
  </si>
  <si>
    <t>No, it’s not a just a few bad apples.</t>
  </si>
  <si>
    <t>Make every officer accountable for their impact, in each interaction with us.</t>
  </si>
  <si>
    <t>Police are vilified by the media, for the bad actions of a few.</t>
  </si>
  <si>
    <t>No, we will not defund the police.</t>
  </si>
  <si>
    <t>Honor our first responders by appreciating the stress they put up with, to protect us.</t>
  </si>
  <si>
    <t>I hear your need to count on police, to be able to fully do their job.</t>
  </si>
  <si>
    <t>I affirm your need to respect the dangerous challenges police often face.</t>
  </si>
  <si>
    <t>The more I empathize with overworked and undertrained officers, the more I need you to empathize with traumatized victims of police brutality.</t>
  </si>
  <si>
    <t>I affirm your need to be personally respected by all enforcers of the law.</t>
  </si>
  <si>
    <t>The more I empathize with traumatized victims of police brutality, the more I need you to empathize with undertrained and overworked officers.</t>
  </si>
  <si>
    <t>Republicans demand voter ID and other formalities to discourage Democrats from voting.</t>
  </si>
  <si>
    <t>Complaints of voter fraud divert attention from their voter suppression efforts.</t>
  </si>
  <si>
    <t>Stop all voter suppression schemes.</t>
  </si>
  <si>
    <t>Democrats play tricks, like double voting and other fraud, to steal elections.</t>
  </si>
  <si>
    <t>Complaints of voter suppression divert attention from their voter fraud efforts.</t>
  </si>
  <si>
    <t>Stop all voter fraud schemes.</t>
  </si>
  <si>
    <t>I hear your need to trust the election process is not rigged in favor of Democrats.</t>
  </si>
  <si>
    <t>I acknowledge your fear of voter fraud. It only takes a few cases to cast doubt on the whole process.</t>
  </si>
  <si>
    <t>The more you suspect voter fraud that could cause Republicans to lose, the more I suspect voter suppression that could cause Democrats to lose. Let’s eliminate both.</t>
  </si>
  <si>
    <t>I hear your need to trust the election process is not rigged in favor of Republicans.</t>
  </si>
  <si>
    <t>I acknowledge your fear of voter suppression. It only takes a few cases to cast doubt on the whole process.</t>
  </si>
  <si>
    <t>The more you suspect voter suppression that could cause Democrats to lose, the more I suspect voter fraud that could cause Republicans to lose. Yes, let’s eliminate both.</t>
  </si>
  <si>
    <t>Wearing a mask in public during this pandemic is not too much to ask.</t>
  </si>
  <si>
    <t>Disregarding scientifically-based safety measures is deadly irresponsible.</t>
  </si>
  <si>
    <t>Don’t overwhelm our hospitals by assuming you can’t spread this lethal virus.</t>
  </si>
  <si>
    <t>Mandating mask wearing and social distancing amounts to government overreach.</t>
  </si>
  <si>
    <t>Setting household gathering limits is arbitrary and unconstitutional.</t>
  </si>
  <si>
    <t>Don’t overwhelm our economy by shutting down every vulnerable business.</t>
  </si>
  <si>
    <t>I hear your complaint, that state ordered shutdowns amount to an unfunded government mandate.</t>
  </si>
  <si>
    <t>I affirm your need to make your own responsible safety decisions, balancing economic responsibilities.</t>
  </si>
  <si>
    <t>The more I empathize with closed businesses, I trust you to empathize with overwhelmed hospitals.</t>
  </si>
  <si>
    <t>I hear your complaint, that disregarding safety measures could overwhelm hospitals right when you need them most.</t>
  </si>
  <si>
    <t>I affirm your need to prioritize safety over economic activity.</t>
  </si>
  <si>
    <t>The more I empathize with overwhelmed hospitals, I trust you to empathize with closed businesses.</t>
  </si>
  <si>
    <t>Hate speech is not free speech, when it traumatizes the unsuspecting listener.</t>
  </si>
  <si>
    <t>Deplatform antagonistic speakers.</t>
  </si>
  <si>
    <t>Cancel any public speaker who spouts xenophobic ideas harmful to the most vulnerable.</t>
  </si>
  <si>
    <t>We need the free flow of ideas for open debate, to find the best ideas.</t>
  </si>
  <si>
    <t>Deplatforming is not the answer.</t>
  </si>
  <si>
    <t>Respect everyone’s First Amendment right to free speech.</t>
  </si>
  <si>
    <t>I hear your critique, that cancel culture which deplatforms evocative public speakers slows the free flow of ideas in public spaces, allowing the spread of groupthink beliefs.</t>
  </si>
  <si>
    <t>I affirm your need for free speech, and not be silenced by political correctness.</t>
  </si>
  <si>
    <t>The more I empathize with your need for free speech, the more I trust you to empathize with our need to shut down hate speech before it can traumatize us any further.</t>
  </si>
  <si>
    <t>I hear your critique, that merit-based public speech easily distorts who can be heard, effectively silencing those with little if any marketability.</t>
  </si>
  <si>
    <t>I affirm your need to be heard, and not be hurt by advantage-based platforms.</t>
  </si>
  <si>
    <t>The more I empathize with your need to shut down trauma-inducing hate speech, the more I trust you to empathize with our need for the free speech flow of ideas.</t>
  </si>
  <si>
    <t>Argue for free speech</t>
  </si>
  <si>
    <t>Reject hostile speakers</t>
  </si>
  <si>
    <t>Demand canceling</t>
  </si>
  <si>
    <t>Argue against hate speech</t>
  </si>
  <si>
    <t>Reject deplatforming</t>
  </si>
  <si>
    <t>Demand free speech</t>
  </si>
  <si>
    <t>Listen to cancel culture harm</t>
  </si>
  <si>
    <t>Affirm need to express</t>
  </si>
  <si>
    <t>Offer freer speech</t>
  </si>
  <si>
    <t>Listen to silenced voices</t>
  </si>
  <si>
    <t>Affirm need to be heard</t>
  </si>
  <si>
    <t>Offer respect for trauma</t>
  </si>
  <si>
    <t>Listen to women</t>
  </si>
  <si>
    <t>Listen to voiceless</t>
  </si>
  <si>
    <t>Offer unborn hope</t>
  </si>
  <si>
    <t>Offer mother hope</t>
  </si>
  <si>
    <t>Argue soft borders</t>
  </si>
  <si>
    <t>Reject enforcement</t>
  </si>
  <si>
    <t>Demand barrier removal</t>
  </si>
  <si>
    <t>Argue firm borders</t>
  </si>
  <si>
    <t>Reject incentives</t>
  </si>
  <si>
    <t>Demand incentives removal</t>
  </si>
  <si>
    <t>Listen for security need</t>
  </si>
  <si>
    <t>Affirm security need</t>
  </si>
  <si>
    <t>Offer firmer boundaries</t>
  </si>
  <si>
    <t>Listen for equality need</t>
  </si>
  <si>
    <t>Affirm underdogs</t>
  </si>
  <si>
    <t>Offer deserving entry</t>
  </si>
  <si>
    <t>Argue climate catastrophe</t>
  </si>
  <si>
    <t>Reject minimizing</t>
  </si>
  <si>
    <t>Demand emissions reductions</t>
  </si>
  <si>
    <t>Argue deregulating</t>
  </si>
  <si>
    <t>Reject exaggerating</t>
  </si>
  <si>
    <t>Demand economic freedom</t>
  </si>
  <si>
    <t>Listen regulation impacts</t>
  </si>
  <si>
    <t>Affirm personal responsibilities</t>
  </si>
  <si>
    <t>Offer market approach a chance</t>
  </si>
  <si>
    <t>Listen climate impacts</t>
  </si>
  <si>
    <t>Affirm shared responsibilities</t>
  </si>
  <si>
    <t>Offer government approach a chance</t>
  </si>
  <si>
    <t>Argue gun control</t>
  </si>
  <si>
    <t>Reject gun rights</t>
  </si>
  <si>
    <t>Demand safety for kids</t>
  </si>
  <si>
    <t>Argue gun rights</t>
  </si>
  <si>
    <t>Reject gun laws</t>
  </si>
  <si>
    <t>Demand 2nd Amendment rights</t>
  </si>
  <si>
    <t>Listen for self-sufficiency</t>
  </si>
  <si>
    <t>Affirm self-defense</t>
  </si>
  <si>
    <t>Offer self-arming</t>
  </si>
  <si>
    <t>Listen for gun trauma</t>
  </si>
  <si>
    <t>Affirm security</t>
  </si>
  <si>
    <t>Offer protection</t>
  </si>
  <si>
    <t>Argue accessible healthcare</t>
  </si>
  <si>
    <t>Reject capitalistic model</t>
  </si>
  <si>
    <t>Demand public funding</t>
  </si>
  <si>
    <t>Argue quality healthcare</t>
  </si>
  <si>
    <t>Reject socialistic model</t>
  </si>
  <si>
    <t>Demand private choices</t>
  </si>
  <si>
    <t>Listen for quality</t>
  </si>
  <si>
    <t>Affirm choices</t>
  </si>
  <si>
    <t>Offer controllable care</t>
  </si>
  <si>
    <t>Listen for equality</t>
  </si>
  <si>
    <t>Affirm access</t>
  </si>
  <si>
    <t>Offer affordable care</t>
  </si>
  <si>
    <t>Argue to abolish prisons</t>
  </si>
  <si>
    <t>Reject conflicts of interest</t>
  </si>
  <si>
    <t>Demand abolishing prisons</t>
  </si>
  <si>
    <t>Argue to improve system</t>
  </si>
  <si>
    <t>Reject soft on crime</t>
  </si>
  <si>
    <t>Demand safe neighborhoods</t>
  </si>
  <si>
    <t>Listen accuser needs</t>
  </si>
  <si>
    <t>Affirm safety from criminals</t>
  </si>
  <si>
    <t>Offer accuser empathy</t>
  </si>
  <si>
    <t>Listen accused needs</t>
  </si>
  <si>
    <t>Affirm safety from government</t>
  </si>
  <si>
    <t>Offer accused empathy</t>
  </si>
  <si>
    <t>Demand equal access</t>
  </si>
  <si>
    <t>Demand free markets</t>
  </si>
  <si>
    <t>Listen to capitalism’s benefits</t>
  </si>
  <si>
    <t>Affirm producer needs</t>
  </si>
  <si>
    <t>Offer productivity rewards</t>
  </si>
  <si>
    <t>Listen to socialism’s benefits</t>
  </si>
  <si>
    <t>Affirm consumer needs</t>
  </si>
  <si>
    <t>Offer consumer protection</t>
  </si>
  <si>
    <t>Argue systemic problem</t>
  </si>
  <si>
    <t>Reject colorblindness</t>
  </si>
  <si>
    <t>Demand recognition</t>
  </si>
  <si>
    <t>Argue personal problem</t>
  </si>
  <si>
    <t>Reject shaming</t>
  </si>
  <si>
    <t>Demand understanding</t>
  </si>
  <si>
    <t>Listen for embarrassment</t>
  </si>
  <si>
    <t>Affirm blacklisting risk</t>
  </si>
  <si>
    <t>Offer circumspection</t>
  </si>
  <si>
    <t>Listen for discrimination</t>
  </si>
  <si>
    <t>Affirm racial profiling risk</t>
  </si>
  <si>
    <t>Offer sensitivity</t>
  </si>
  <si>
    <t>Argue rethinking police roles</t>
  </si>
  <si>
    <t>Demand accountability</t>
  </si>
  <si>
    <t>Argue respecting police work</t>
  </si>
  <si>
    <t>Reject defunding</t>
  </si>
  <si>
    <t>Demand responsibility</t>
  </si>
  <si>
    <t>Listen first responder impacts</t>
  </si>
  <si>
    <t>Affirm risk to officers</t>
  </si>
  <si>
    <t>Offer first responders respect</t>
  </si>
  <si>
    <t>Listen lethal force impacts</t>
  </si>
  <si>
    <t>Affirm risk to targeted</t>
  </si>
  <si>
    <t>Offer police victims respect</t>
  </si>
  <si>
    <t>Argue v. voter suppression</t>
  </si>
  <si>
    <t>Reject cheating Republicans</t>
  </si>
  <si>
    <t>Demand fairer elections</t>
  </si>
  <si>
    <t>Argue v. voter fraud</t>
  </si>
  <si>
    <t>Reject cheating Democrats</t>
  </si>
  <si>
    <t>Listen for fraud</t>
  </si>
  <si>
    <t>Affirm some Democrats cheat</t>
  </si>
  <si>
    <t>Offer check on fraud</t>
  </si>
  <si>
    <t>Listen for suppression</t>
  </si>
  <si>
    <t>Affirm some Republicans cheat</t>
  </si>
  <si>
    <t>Offer check on suppression</t>
  </si>
  <si>
    <t>Argue public safety</t>
  </si>
  <si>
    <t>Reject irresponsibility</t>
  </si>
  <si>
    <t>Demand healthcare access</t>
  </si>
  <si>
    <t>Argue private responsibility</t>
  </si>
  <si>
    <t>Reject imposed rules</t>
  </si>
  <si>
    <t>Listen to impacted businesses</t>
  </si>
  <si>
    <t>Affirm responsible decisions</t>
  </si>
  <si>
    <t>Offer empathy to businesses</t>
  </si>
  <si>
    <t>Listen to impacted hospitals</t>
  </si>
  <si>
    <t>Affirm safety decisions</t>
  </si>
  <si>
    <t>Offer empathy to hospitals</t>
  </si>
  <si>
    <t>I hear your need for greater accountability for police use of lethal force.</t>
  </si>
  <si>
    <t>CAMPAIGN PHASES</t>
  </si>
  <si>
    <t>Launch phase</t>
  </si>
  <si>
    <t>Client self-invests</t>
  </si>
  <si>
    <t>Followers</t>
  </si>
  <si>
    <t>Supporters</t>
  </si>
  <si>
    <r>
      <rPr>
        <b/>
        <sz val="12"/>
        <color theme="1"/>
        <rFont val="Cambria"/>
        <family val="1"/>
      </rPr>
      <t>TOTAL</t>
    </r>
    <r>
      <rPr>
        <sz val="12"/>
        <color theme="1"/>
        <rFont val="Cambria"/>
        <family val="1"/>
      </rPr>
      <t>:</t>
    </r>
  </si>
  <si>
    <t>to platform</t>
  </si>
  <si>
    <t>Balance</t>
  </si>
  <si>
    <t>Disburse</t>
  </si>
  <si>
    <t>to campaign</t>
  </si>
  <si>
    <t>Base phase</t>
  </si>
  <si>
    <t>Growth phase</t>
  </si>
  <si>
    <t>Patrons</t>
  </si>
  <si>
    <t>weekly</t>
  </si>
  <si>
    <t>Your political outlook:</t>
  </si>
  <si>
    <t>Political issue:</t>
  </si>
  <si>
    <t>You</t>
  </si>
  <si>
    <t>F's</t>
  </si>
  <si>
    <t>S's</t>
  </si>
  <si>
    <t>B C's</t>
  </si>
  <si>
    <t>G C's</t>
  </si>
  <si>
    <t>P's</t>
  </si>
  <si>
    <t>Linkage</t>
  </si>
  <si>
    <t>Responsive</t>
  </si>
  <si>
    <t>Impact</t>
  </si>
  <si>
    <t>direct</t>
  </si>
  <si>
    <t>peripheral</t>
  </si>
  <si>
    <t>sidechain</t>
  </si>
  <si>
    <t>Your prioritized publicly impacted needs:</t>
  </si>
  <si>
    <t>Situations tends to prioritize one over the other.</t>
  </si>
  <si>
    <r>
      <rPr>
        <b/>
        <sz val="11"/>
        <color theme="1"/>
        <rFont val="Cambria"/>
        <family val="1"/>
      </rPr>
      <t>1</t>
    </r>
    <r>
      <rPr>
        <sz val="11"/>
        <color theme="1"/>
        <rFont val="Cambria"/>
        <family val="1"/>
      </rPr>
      <t>.   effective for demand or efficient for supply</t>
    </r>
  </si>
  <si>
    <r>
      <rPr>
        <b/>
        <sz val="11"/>
        <color theme="1"/>
        <rFont val="Cambria"/>
        <family val="1"/>
      </rPr>
      <t>2</t>
    </r>
    <r>
      <rPr>
        <sz val="11"/>
        <color theme="1"/>
        <rFont val="Cambria"/>
        <family val="1"/>
      </rPr>
      <t>.   live equally or live freely</t>
    </r>
  </si>
  <si>
    <r>
      <rPr>
        <b/>
        <sz val="11"/>
        <color theme="1"/>
        <rFont val="Cambria"/>
        <family val="1"/>
      </rPr>
      <t>3</t>
    </r>
    <r>
      <rPr>
        <sz val="11"/>
        <color theme="1"/>
        <rFont val="Cambria"/>
        <family val="1"/>
      </rPr>
      <t>.   social inclusion or social cohesion</t>
    </r>
  </si>
  <si>
    <r>
      <rPr>
        <b/>
        <sz val="11"/>
        <color theme="1"/>
        <rFont val="Cambria"/>
        <family val="1"/>
      </rPr>
      <t>4</t>
    </r>
    <r>
      <rPr>
        <sz val="11"/>
        <color theme="1"/>
        <rFont val="Cambria"/>
        <family val="1"/>
      </rPr>
      <t>.   favor the vulnerable or favor the productive</t>
    </r>
  </si>
  <si>
    <r>
      <rPr>
        <b/>
        <sz val="11"/>
        <color theme="1"/>
        <rFont val="Cambria"/>
        <family val="1"/>
      </rPr>
      <t>5</t>
    </r>
    <r>
      <rPr>
        <sz val="11"/>
        <color theme="1"/>
        <rFont val="Cambria"/>
        <family val="1"/>
      </rPr>
      <t>.   collective capacity or individual capacity</t>
    </r>
  </si>
  <si>
    <r>
      <rPr>
        <b/>
        <sz val="11"/>
        <color theme="1"/>
        <rFont val="Cambria"/>
        <family val="1"/>
      </rPr>
      <t>6</t>
    </r>
    <r>
      <rPr>
        <sz val="11"/>
        <color theme="1"/>
        <rFont val="Cambria"/>
        <family val="1"/>
      </rPr>
      <t>.   public goods or private goods</t>
    </r>
  </si>
  <si>
    <r>
      <rPr>
        <b/>
        <sz val="11"/>
        <color theme="1"/>
        <rFont val="Cambria"/>
        <family val="1"/>
      </rPr>
      <t>7</t>
    </r>
    <r>
      <rPr>
        <sz val="11"/>
        <color theme="1"/>
        <rFont val="Cambria"/>
        <family val="1"/>
      </rPr>
      <t>.   oppression threat or tyranny threat</t>
    </r>
  </si>
  <si>
    <r>
      <rPr>
        <b/>
        <sz val="11"/>
        <color theme="1"/>
        <rFont val="Cambria"/>
        <family val="1"/>
      </rPr>
      <t>8</t>
    </r>
    <r>
      <rPr>
        <sz val="11"/>
        <color theme="1"/>
        <rFont val="Cambria"/>
        <family val="1"/>
      </rPr>
      <t>.   trauma risk or terror risk</t>
    </r>
  </si>
  <si>
    <t>Your priorities shaping your politics:</t>
  </si>
  <si>
    <t>Select the best response fitting you for each.</t>
  </si>
  <si>
    <t xml:space="preserve">Love shifts your focus away from your prioritizing only your politicized needs to empathizing with their impacted needs. Once you encounter each other's specific needs, you draw much closer to resolving them. </t>
  </si>
  <si>
    <t xml:space="preserve"> impacted needs to empathizing with their </t>
  </si>
  <si>
    <t xml:space="preserve"> affected needs, you draw much closer to resolving such needs. </t>
  </si>
  <si>
    <t>pace by price point</t>
  </si>
  <si>
    <t>Sample progress update</t>
  </si>
  <si>
    <t xml:space="preserve">Your </t>
  </si>
  <si>
    <t xml:space="preserve"> affected needs will unlikely resolve if you only argue, reject, and demand. </t>
  </si>
  <si>
    <t xml:space="preserve"> politics exists to sort out our priority of needs, not to drive a deeper wedge between us. Let's close this gap with some empathy and love. Let's find a more need-responsive </t>
  </si>
  <si>
    <t xml:space="preserve"> politics easily abandons you in this painful zone of hostile differences. We cannot solve our specific problems from the level of generalizing that created them.</t>
  </si>
  <si>
    <t>government role</t>
  </si>
  <si>
    <t>market role</t>
  </si>
  <si>
    <t>Your trusted generalizations for public relief</t>
  </si>
  <si>
    <t>Their trusted generalizations for public relief</t>
  </si>
  <si>
    <t xml:space="preserve">Your publicly impacted </t>
  </si>
  <si>
    <t xml:space="preserve">Their publicly impacted </t>
  </si>
  <si>
    <t xml:space="preserve"> needs</t>
  </si>
  <si>
    <t>5. A call for moral leadership</t>
  </si>
  <si>
    <t>6. Your opportunity to affirm diverse needs</t>
  </si>
  <si>
    <t>7. Your opportunity to relate more specifically</t>
  </si>
  <si>
    <t>8. Your opportunity to spread more love</t>
  </si>
  <si>
    <r>
      <rPr>
        <sz val="12"/>
        <rFont val="Cambria"/>
        <family val="1"/>
      </rPr>
      <t xml:space="preserve">Politics typically divides between a side prioritizing their publicly impacted </t>
    </r>
    <r>
      <rPr>
        <i/>
        <sz val="12"/>
        <rFont val="Cambria"/>
        <family val="1"/>
      </rPr>
      <t>social-needs</t>
    </r>
    <r>
      <rPr>
        <sz val="12"/>
        <rFont val="Cambria"/>
        <family val="1"/>
      </rPr>
      <t xml:space="preserve"> (e.g., nondiscrimination, equality) and a side prioritizing their publicly impacted </t>
    </r>
    <r>
      <rPr>
        <i/>
        <sz val="12"/>
        <rFont val="Cambria"/>
        <family val="1"/>
      </rPr>
      <t xml:space="preserve">self-needs </t>
    </r>
    <r>
      <rPr>
        <sz val="12"/>
        <rFont val="Cambria"/>
        <family val="1"/>
      </rPr>
      <t>(e.g., self-sufficiency, incentivization). Learn more at the</t>
    </r>
    <r>
      <rPr>
        <sz val="12"/>
        <color theme="10"/>
        <rFont val="Cambria"/>
        <family val="1"/>
      </rPr>
      <t xml:space="preserve"> </t>
    </r>
    <r>
      <rPr>
        <b/>
        <sz val="12"/>
        <color theme="10"/>
        <rFont val="Cambria"/>
        <family val="1"/>
      </rPr>
      <t>HP</t>
    </r>
    <r>
      <rPr>
        <sz val="12"/>
        <color theme="10"/>
        <rFont val="Cambria"/>
        <family val="1"/>
      </rPr>
      <t xml:space="preserve"> tab</t>
    </r>
    <r>
      <rPr>
        <sz val="12"/>
        <rFont val="Cambria"/>
        <family val="1"/>
      </rPr>
      <t>.</t>
    </r>
  </si>
  <si>
    <t xml:space="preserve">Love shifts your focus. Away from your </t>
  </si>
  <si>
    <t xml:space="preserve"> impacted needs. You go beyond compromise. Once you encounter each other's specific </t>
  </si>
  <si>
    <t>Indeed, unless you let go of generalizing to address specifics, your needs never actually resolve. You then remain in pain.</t>
  </si>
  <si>
    <t xml:space="preserve">If there are competing ways for a society to address a particular public facing need, like </t>
  </si>
  <si>
    <t xml:space="preserve">, then there is likely something wrong with that society. Core needs generally do not contradict. Or they never would have evolved in the first place. Together, with empathy and love, you paradoxically resolve each other's competing </t>
  </si>
  <si>
    <t xml:space="preserve"> priorities. So you can both complement each other once again.</t>
  </si>
  <si>
    <t>10. Harmonize your politics to each other's needs</t>
  </si>
  <si>
    <t xml:space="preserve"> needs. The more you move from generalizing from your </t>
  </si>
  <si>
    <t xml:space="preserve"> emphasis, the better you can appreciate the specifics behind their </t>
  </si>
  <si>
    <t xml:space="preserve"> emphasis. In fact, political winners earn a greater responsibility to support the losing side's </t>
  </si>
  <si>
    <t xml:space="preserve"> impacted needs. You both drop your guard to connect with each other's needs, with empathy and love.</t>
  </si>
  <si>
    <t xml:space="preserve">, the easier to move on to more specific and mutually respectful ways to address their impacted </t>
  </si>
  <si>
    <t xml:space="preserve"> or more specific ways to address your impacted </t>
  </si>
  <si>
    <t>T</t>
  </si>
  <si>
    <t xml:space="preserve"> position. Your needs come first. Your needs prioritize your political reasoning, for their relief. </t>
  </si>
  <si>
    <t>WIDE:</t>
  </si>
  <si>
    <t>DEEP:</t>
  </si>
  <si>
    <t xml:space="preserve">We must </t>
  </si>
  <si>
    <t xml:space="preserve">They </t>
  </si>
  <si>
    <t xml:space="preserve"> and insist we </t>
  </si>
  <si>
    <t xml:space="preserve">I want to better understand </t>
  </si>
  <si>
    <t xml:space="preserve"> and the need </t>
  </si>
  <si>
    <t xml:space="preserve">The more I support </t>
  </si>
  <si>
    <t xml:space="preserve">, the more I trust you to support </t>
  </si>
  <si>
    <t xml:space="preserve">"Conservatives are all bad! They </t>
  </si>
  <si>
    <t xml:space="preserve">"Liberals are all bad! They </t>
  </si>
  <si>
    <t>!"</t>
  </si>
  <si>
    <r>
      <rPr>
        <b/>
        <sz val="13"/>
        <color theme="1"/>
        <rFont val="Arial"/>
        <family val="2"/>
      </rPr>
      <t>Harmony Politics</t>
    </r>
    <r>
      <rPr>
        <sz val="13"/>
        <color theme="1"/>
        <rFont val="Cambria"/>
        <family val="1"/>
      </rPr>
      <t xml:space="preserve"> brings both sides together, to connect with each other's needs. Rather than </t>
    </r>
    <r>
      <rPr>
        <i/>
        <sz val="13"/>
        <color theme="1"/>
        <rFont val="Cambria"/>
        <family val="1"/>
      </rPr>
      <t>argue</t>
    </r>
    <r>
      <rPr>
        <sz val="13"/>
        <color theme="1"/>
        <rFont val="Cambria"/>
        <family val="1"/>
      </rPr>
      <t xml:space="preserve">, you </t>
    </r>
    <r>
      <rPr>
        <b/>
        <sz val="13"/>
        <color theme="1"/>
        <rFont val="Cambria"/>
        <family val="1"/>
      </rPr>
      <t>listen</t>
    </r>
    <r>
      <rPr>
        <sz val="13"/>
        <color theme="1"/>
        <rFont val="Cambria"/>
        <family val="1"/>
      </rPr>
      <t xml:space="preserve">. Rather than </t>
    </r>
    <r>
      <rPr>
        <i/>
        <sz val="13"/>
        <color theme="1"/>
        <rFont val="Cambria"/>
        <family val="1"/>
      </rPr>
      <t>reject</t>
    </r>
    <r>
      <rPr>
        <sz val="13"/>
        <color theme="1"/>
        <rFont val="Cambria"/>
        <family val="1"/>
      </rPr>
      <t xml:space="preserve">, you </t>
    </r>
    <r>
      <rPr>
        <b/>
        <sz val="13"/>
        <color theme="1"/>
        <rFont val="Cambria"/>
        <family val="1"/>
      </rPr>
      <t>affirm</t>
    </r>
    <r>
      <rPr>
        <sz val="13"/>
        <color theme="1"/>
        <rFont val="Cambria"/>
        <family val="1"/>
      </rPr>
      <t xml:space="preserve">. Rather than </t>
    </r>
    <r>
      <rPr>
        <i/>
        <sz val="13"/>
        <color theme="1"/>
        <rFont val="Cambria"/>
        <family val="1"/>
      </rPr>
      <t>demand</t>
    </r>
    <r>
      <rPr>
        <sz val="13"/>
        <color theme="1"/>
        <rFont val="Cambria"/>
        <family val="1"/>
      </rPr>
      <t xml:space="preserve">, you </t>
    </r>
    <r>
      <rPr>
        <b/>
        <sz val="13"/>
        <color theme="1"/>
        <rFont val="Cambria"/>
        <family val="1"/>
      </rPr>
      <t>offer</t>
    </r>
    <r>
      <rPr>
        <sz val="13"/>
        <color theme="1"/>
        <rFont val="Cambria"/>
        <family val="1"/>
      </rPr>
      <t>.</t>
    </r>
  </si>
  <si>
    <t>I affirm your thirst expresses your need for water.</t>
  </si>
  <si>
    <t>I affirm your hunger expresses your need for food.</t>
  </si>
  <si>
    <t>I affirm your loneliness expresses your need for connection.</t>
  </si>
  <si>
    <t>I affirm your depression expresses your need for redirection.</t>
  </si>
  <si>
    <t>We must distribute food to all equally, according to need, to ensure no one suffers.</t>
  </si>
  <si>
    <t>We must distribute water to all equally, according to need, to ensure no one suffers.</t>
  </si>
  <si>
    <t>We must distribute water equitably, according to ability, to ensure a steady supply.</t>
  </si>
  <si>
    <t>We must distribute food equitably, according to ability, to ensure a steady supply.</t>
  </si>
  <si>
    <t>We must guard the social cohesion of our families to ensure we stay connected.</t>
  </si>
  <si>
    <t>I affirm your feeling smothered reveals your need for solitude.</t>
  </si>
  <si>
    <t>We must let everyone be their private selves, regardless of traditional norms.</t>
  </si>
  <si>
    <t>We must put personal rights, like the right to solitude, over collective rights.</t>
  </si>
  <si>
    <t>We must confront systemic oppression causing much of our depression.</t>
  </si>
  <si>
    <t>We must take greater personal responsibility for our lives to avoid depression.</t>
  </si>
  <si>
    <t>Cage children</t>
  </si>
  <si>
    <t>Let in murderers</t>
  </si>
  <si>
    <t>Deny climate impact</t>
  </si>
  <si>
    <t>Strangle the economy</t>
  </si>
  <si>
    <t>Downplay mass shootings</t>
  </si>
  <si>
    <t>Murder children</t>
  </si>
  <si>
    <t>Would confiscate all guns</t>
  </si>
  <si>
    <t>Let the poor suffer</t>
  </si>
  <si>
    <t>Socialize healthcare</t>
  </si>
  <si>
    <t>Target poor POC</t>
  </si>
  <si>
    <t>Coddle criminals</t>
  </si>
  <si>
    <t>Increase inequality</t>
  </si>
  <si>
    <t>Would tax us to death</t>
  </si>
  <si>
    <t>See racism everywhere</t>
  </si>
  <si>
    <t>Feed structural racism</t>
  </si>
  <si>
    <t>Excuse lethal force</t>
  </si>
  <si>
    <t>Would defund the police</t>
  </si>
  <si>
    <t>Exaggerate voter fraud</t>
  </si>
  <si>
    <t>Exaggerate voter suppression</t>
  </si>
  <si>
    <t>Ignore safety</t>
  </si>
  <si>
    <t>Force business failures</t>
  </si>
  <si>
    <t>Use hate speech</t>
  </si>
  <si>
    <t>Deplatform offensive speech</t>
  </si>
  <si>
    <t>Parallel political differences</t>
  </si>
  <si>
    <t>It's about generalizing for a different priority of needs</t>
  </si>
  <si>
    <t>After the left-right divide, we look at four other political distinctions.</t>
  </si>
  <si>
    <t>Respecting all political differences</t>
  </si>
  <si>
    <t>Together, we let go of generalizing to address specifics. We dissolve the pain. And we improve each other's lives.</t>
  </si>
  <si>
    <t>Engaging</t>
  </si>
  <si>
    <t>AI name</t>
  </si>
  <si>
    <t>supportive</t>
  </si>
  <si>
    <r>
      <t xml:space="preserve">Divisive politics tempt us to exaggerate about each other. Political elites expect you to oppose each other. To distrust and hate each other. Elites benefit when you </t>
    </r>
    <r>
      <rPr>
        <b/>
        <sz val="14"/>
        <color theme="1"/>
        <rFont val="Cambria"/>
        <family val="1"/>
      </rPr>
      <t>argue</t>
    </r>
    <r>
      <rPr>
        <sz val="14"/>
        <color theme="1"/>
        <rFont val="Cambria"/>
        <family val="1"/>
      </rPr>
      <t xml:space="preserve">, </t>
    </r>
    <r>
      <rPr>
        <b/>
        <sz val="14"/>
        <color theme="1"/>
        <rFont val="Cambria"/>
        <family val="1"/>
      </rPr>
      <t>reject</t>
    </r>
    <r>
      <rPr>
        <sz val="14"/>
        <color theme="1"/>
        <rFont val="Cambria"/>
        <family val="1"/>
      </rPr>
      <t xml:space="preserve">, and </t>
    </r>
    <r>
      <rPr>
        <b/>
        <sz val="14"/>
        <color theme="1"/>
        <rFont val="Cambria"/>
        <family val="1"/>
      </rPr>
      <t>demand</t>
    </r>
    <r>
      <rPr>
        <sz val="14"/>
        <color theme="1"/>
        <rFont val="Cambria"/>
        <family val="1"/>
      </rPr>
      <t xml:space="preserve"> selfishly from each other.
</t>
    </r>
  </si>
  <si>
    <t>Now do something about it</t>
  </si>
  <si>
    <t xml:space="preserve">Now do something about your </t>
  </si>
  <si>
    <t>Everyone has needs. Those in power tend to address their needs at other's expense.</t>
  </si>
  <si>
    <r>
      <rPr>
        <b/>
        <sz val="11.5"/>
        <color theme="1"/>
        <rFont val="Arial"/>
        <family val="2"/>
      </rPr>
      <t>Proactive advocacy</t>
    </r>
    <r>
      <rPr>
        <sz val="11.5"/>
        <color theme="1"/>
        <rFont val="Arial"/>
        <family val="2"/>
      </rPr>
      <t xml:space="preserve"> identifies and addresses the needs on both sides of a political issue.</t>
    </r>
  </si>
  <si>
    <t xml:space="preserve">As the RI, you humbly yet firmly "report" being impacted by others of power. </t>
  </si>
  <si>
    <t>You "ascribe" who impacts you forcefully, giving them a chance to respond.</t>
  </si>
  <si>
    <t>The IPM places you the RI on equal footing as the AIs impacting your life.</t>
  </si>
  <si>
    <t>Name</t>
  </si>
  <si>
    <t>potentially</t>
  </si>
  <si>
    <t>accessible</t>
  </si>
  <si>
    <t>Accessibility</t>
  </si>
  <si>
    <t>unaccessible</t>
  </si>
  <si>
    <t>downchain</t>
  </si>
  <si>
    <t>upchain</t>
  </si>
  <si>
    <t>unresponsive</t>
  </si>
  <si>
    <t>responsive</t>
  </si>
  <si>
    <t>investing</t>
  </si>
  <si>
    <r>
      <t xml:space="preserve">Your </t>
    </r>
    <r>
      <rPr>
        <b/>
        <sz val="22"/>
        <color rgb="FF00B050"/>
        <rFont val="Tahoma"/>
        <family val="2"/>
      </rPr>
      <t>Relating</t>
    </r>
    <r>
      <rPr>
        <b/>
        <sz val="22"/>
        <color rgb="FF00501E"/>
        <rFont val="Tahoma"/>
        <family val="2"/>
      </rPr>
      <t xml:space="preserve"> </t>
    </r>
    <r>
      <rPr>
        <b/>
        <sz val="22"/>
        <color rgb="FF7030A0"/>
        <rFont val="Tahoma"/>
        <family val="2"/>
      </rPr>
      <t>Terms</t>
    </r>
  </si>
  <si>
    <t>differentness</t>
  </si>
  <si>
    <t>efficacy</t>
  </si>
  <si>
    <t>novel</t>
  </si>
  <si>
    <t>minority</t>
  </si>
  <si>
    <t>group</t>
  </si>
  <si>
    <t>equality</t>
  </si>
  <si>
    <t>public goods</t>
  </si>
  <si>
    <t>public sector</t>
  </si>
  <si>
    <t>collective</t>
  </si>
  <si>
    <t>"oppression"</t>
  </si>
  <si>
    <t>marginalized</t>
  </si>
  <si>
    <t>private goods</t>
  </si>
  <si>
    <t>private sector</t>
  </si>
  <si>
    <t>familiar</t>
  </si>
  <si>
    <t>traditional</t>
  </si>
  <si>
    <t>freedom</t>
  </si>
  <si>
    <t>stability</t>
  </si>
  <si>
    <t>individual</t>
  </si>
  <si>
    <t>"tyranny"</t>
  </si>
  <si>
    <t>intruded</t>
  </si>
  <si>
    <t xml:space="preserve">Catastrophizing often sinks in. What do you fear most if the other side gets their way? Will they </t>
  </si>
  <si>
    <t>RI:</t>
  </si>
  <si>
    <r>
      <rPr>
        <b/>
        <sz val="10"/>
        <color rgb="FF7030A0"/>
        <rFont val="Arial Narrow"/>
        <family val="2"/>
      </rPr>
      <t>RI POSITION</t>
    </r>
    <r>
      <rPr>
        <sz val="10"/>
        <color rgb="FF7030A0"/>
        <rFont val="Arial Narrow"/>
        <family val="2"/>
      </rPr>
      <t>:</t>
    </r>
  </si>
  <si>
    <r>
      <rPr>
        <b/>
        <strike/>
        <sz val="10"/>
        <color rgb="FF00B050"/>
        <rFont val="Arial Narrow"/>
        <family val="2"/>
      </rPr>
      <t>CLIENT POSITION</t>
    </r>
    <r>
      <rPr>
        <strike/>
        <sz val="10"/>
        <color rgb="FF00B050"/>
        <rFont val="Arial Narrow"/>
        <family val="2"/>
      </rPr>
      <t>:</t>
    </r>
  </si>
  <si>
    <r>
      <rPr>
        <b/>
        <strike/>
        <sz val="10"/>
        <color rgb="FF00B050"/>
        <rFont val="Arial Narrow"/>
        <family val="2"/>
      </rPr>
      <t>CLIENT FOCUS</t>
    </r>
    <r>
      <rPr>
        <strike/>
        <sz val="10"/>
        <color rgb="FF00B050"/>
        <rFont val="Arial Narrow"/>
        <family val="2"/>
      </rPr>
      <t>:</t>
    </r>
  </si>
  <si>
    <t>? Do they fear your side will "</t>
  </si>
  <si>
    <t>confiscate all guns</t>
  </si>
  <si>
    <t>tax us to death</t>
  </si>
  <si>
    <t>defund the police</t>
  </si>
  <si>
    <t>disarm law abiders</t>
  </si>
  <si>
    <t xml:space="preserve">"? Do you continue to trust divisive </t>
  </si>
  <si>
    <t xml:space="preserve">. This descent into mean-spirited squabbling too easily passes for political debate. Divisive politics fails you every time. Instead of provoking each other's defenses, and shutting down any meaningful conversation, you need a better way to relate to each other's </t>
  </si>
  <si>
    <t xml:space="preserve">. This descent into mean-spirited squabbling too easily passes for political debate. Divisive politics fails you every time. Instead of provoking each other's defenses, you need a better way to relate to each other's </t>
  </si>
  <si>
    <t xml:space="preserve"> related needs.</t>
  </si>
  <si>
    <t xml:space="preserve">Starting with each other's </t>
  </si>
  <si>
    <t xml:space="preserve"> affected needs begins us on a path of mutual respect.</t>
  </si>
  <si>
    <r>
      <t xml:space="preserve">When the RI eventually reacts, 
the </t>
    </r>
    <r>
      <rPr>
        <b/>
        <sz val="11"/>
        <color theme="1"/>
        <rFont val="Cambria"/>
        <family val="1"/>
      </rPr>
      <t>AI</t>
    </r>
    <r>
      <rPr>
        <sz val="11"/>
        <color theme="1"/>
        <rFont val="Cambria"/>
        <family val="1"/>
      </rPr>
      <t xml:space="preserve"> often guards self from pain in this
</t>
    </r>
    <r>
      <rPr>
        <b/>
        <sz val="14"/>
        <color theme="1"/>
        <rFont val="Tahoma"/>
        <family val="2"/>
      </rPr>
      <t>ADVERSARIAL PHASE</t>
    </r>
    <r>
      <rPr>
        <sz val="11"/>
        <color theme="1"/>
        <rFont val="Cambria"/>
        <family val="1"/>
      </rPr>
      <t>.</t>
    </r>
  </si>
  <si>
    <r>
      <t xml:space="preserve">When that pain gets unbearable, 
the </t>
    </r>
    <r>
      <rPr>
        <b/>
        <sz val="11"/>
        <color theme="1"/>
        <rFont val="Cambria"/>
        <family val="1"/>
      </rPr>
      <t>RI</t>
    </r>
    <r>
      <rPr>
        <sz val="11"/>
        <color theme="1"/>
        <rFont val="Cambria"/>
        <family val="1"/>
      </rPr>
      <t xml:space="preserve"> may shift to a pain-relieving
</t>
    </r>
    <r>
      <rPr>
        <b/>
        <sz val="14"/>
        <color theme="1"/>
        <rFont val="Tahoma"/>
        <family val="2"/>
      </rPr>
      <t>ADVERSARIAL PHASE</t>
    </r>
    <r>
      <rPr>
        <sz val="11"/>
        <color theme="1"/>
        <rFont val="Cambria"/>
        <family val="1"/>
      </rPr>
      <t>.</t>
    </r>
  </si>
  <si>
    <r>
      <t xml:space="preserve">Peace resumes when boths sides identify and address each other's affected needs in this
</t>
    </r>
    <r>
      <rPr>
        <b/>
        <sz val="14"/>
        <color theme="1"/>
        <rFont val="Tahoma"/>
        <family val="2"/>
      </rPr>
      <t>CONCILIATORY TRANSITION</t>
    </r>
    <r>
      <rPr>
        <sz val="11"/>
        <color theme="1"/>
        <rFont val="Cambria"/>
        <family val="1"/>
      </rPr>
      <t>.</t>
    </r>
  </si>
  <si>
    <r>
      <t xml:space="preserve">Peace resumes when boths sides identify and address each other's affect needs in this
</t>
    </r>
    <r>
      <rPr>
        <b/>
        <sz val="14"/>
        <color theme="1"/>
        <rFont val="Tahoma"/>
        <family val="2"/>
      </rPr>
      <t>CONCILIATORY TRANSITION</t>
    </r>
    <r>
      <rPr>
        <sz val="11"/>
        <color theme="1"/>
        <rFont val="Cambria"/>
        <family val="1"/>
      </rPr>
      <t>.</t>
    </r>
  </si>
  <si>
    <r>
      <t xml:space="preserve">The </t>
    </r>
    <r>
      <rPr>
        <b/>
        <sz val="11"/>
        <color theme="1"/>
        <rFont val="Cambria"/>
        <family val="1"/>
      </rPr>
      <t>RI</t>
    </r>
    <r>
      <rPr>
        <sz val="11"/>
        <color theme="1"/>
        <rFont val="Cambria"/>
        <family val="1"/>
      </rPr>
      <t xml:space="preserve"> typically endures the coercive impact 
of a power relation in a fearful
</t>
    </r>
    <r>
      <rPr>
        <b/>
        <sz val="14"/>
        <color theme="1"/>
        <rFont val="Tahoma"/>
        <family val="2"/>
      </rPr>
      <t>AVOIDANCE PHASE</t>
    </r>
    <r>
      <rPr>
        <sz val="11"/>
        <color theme="1"/>
        <rFont val="Cambria"/>
        <family val="1"/>
      </rPr>
      <t>.</t>
    </r>
  </si>
  <si>
    <r>
      <t xml:space="preserve">The </t>
    </r>
    <r>
      <rPr>
        <b/>
        <sz val="11"/>
        <color theme="1"/>
        <rFont val="Cambria"/>
        <family val="1"/>
      </rPr>
      <t>AI</t>
    </r>
    <r>
      <rPr>
        <sz val="11"/>
        <color theme="1"/>
        <rFont val="Cambria"/>
        <family val="1"/>
      </rPr>
      <t xml:space="preserve"> tends to steer clear of uncomfortable 
details of those they impact in this
</t>
    </r>
    <r>
      <rPr>
        <b/>
        <sz val="14"/>
        <color theme="1"/>
        <rFont val="Tahoma"/>
        <family val="2"/>
      </rPr>
      <t>AVOIDANCE PHASE</t>
    </r>
    <r>
      <rPr>
        <sz val="11"/>
        <color theme="1"/>
        <rFont val="Cambria"/>
        <family val="1"/>
      </rPr>
      <t>.</t>
    </r>
  </si>
  <si>
    <t>habitat protection</t>
  </si>
  <si>
    <t xml:space="preserve"> positions. You or someone on your side likely insists we </t>
  </si>
  <si>
    <r>
      <t xml:space="preserve">All this name-calling and catastrophizing betrays a lack of moral political leadership. Political change with moral leadership, as exemplifed by Dr. King and others, connects to the </t>
    </r>
    <r>
      <rPr>
        <b/>
        <i/>
        <sz val="12.5"/>
        <color theme="1"/>
        <rFont val="Cambria"/>
        <family val="1"/>
      </rPr>
      <t>complementary needs on both sides</t>
    </r>
    <r>
      <rPr>
        <sz val="12.5"/>
        <color theme="1"/>
        <rFont val="Cambria"/>
        <family val="1"/>
      </rPr>
      <t xml:space="preserve"> of any politicized issue. Moral leadership never pits us against each other for what we inflexibly need. Moral leadership first understands, and is then understood.</t>
    </r>
  </si>
  <si>
    <t xml:space="preserve">The better you relate to the other side's call to </t>
  </si>
  <si>
    <t xml:space="preserve"> needs. You make it easier for them to relate to your call to </t>
  </si>
  <si>
    <t>Let's shift from hostility to mutual respect in these ten phases.</t>
  </si>
  <si>
    <t>Divisive politics sets a trap you can escape with love.</t>
  </si>
  <si>
    <t>You can defy low expectations with the love you can give first.</t>
  </si>
  <si>
    <t xml:space="preserve"> affected needs.</t>
  </si>
  <si>
    <t xml:space="preserve">Start with love by addressing each other's </t>
  </si>
  <si>
    <t>Your input</t>
  </si>
  <si>
    <t xml:space="preserve">Currently, this process envisions a trained counselor to guide you through this journey. </t>
  </si>
  <si>
    <t>Urgency of needs:</t>
  </si>
  <si>
    <t>Relational orientation:</t>
  </si>
  <si>
    <t>Easement orientation:</t>
  </si>
  <si>
    <t>Ascribe responsibility:</t>
  </si>
  <si>
    <t>Express your needs:</t>
  </si>
  <si>
    <t>I always express my needs impacted by others of equal or less power.</t>
  </si>
  <si>
    <t>I see my needs as completely more important than the needs of others.</t>
  </si>
  <si>
    <t>I see my needs as mostly more important than the needs of others.</t>
  </si>
  <si>
    <t>I see my needs as equally important as the needs of others.</t>
  </si>
  <si>
    <t>I see my needs as mostly less important than the needs of others.</t>
  </si>
  <si>
    <t>I see my needs as completely less important than the needs of others.</t>
  </si>
  <si>
    <t>URGENCY OF NEEDS</t>
  </si>
  <si>
    <t>EXPRESS YOUR NEEDS</t>
  </si>
  <si>
    <t>RELATIONAL ORIENTATION</t>
  </si>
  <si>
    <t>EASEMENT ORIENTATION</t>
  </si>
  <si>
    <t>ASCRIBE RESPONSIBILITY</t>
  </si>
  <si>
    <t>Totally the responsibility of the individual.</t>
  </si>
  <si>
    <t>Mostly the responsibility of the individual.</t>
  </si>
  <si>
    <t>Equally an individual and societal responsibility.</t>
  </si>
  <si>
    <t>Mostly the responsibility of society.</t>
  </si>
  <si>
    <t>Totally the responsibility of society.</t>
  </si>
  <si>
    <t>I usually express my needs impacted by others of equal or less power</t>
  </si>
  <si>
    <t>About half the time, I express my needs impacted by others of equal or less power</t>
  </si>
  <si>
    <t>I rarely express my needs impacted by others of equal or less power</t>
  </si>
  <si>
    <t xml:space="preserve">I never express my needs impacted by others of equal or less power. </t>
  </si>
  <si>
    <t>I rely on generalizations all the time.</t>
  </si>
  <si>
    <t>I rely on generalizations most of the time.</t>
  </si>
  <si>
    <t>I generalize and get to specifics evenly.</t>
  </si>
  <si>
    <t>I mostly get to specifics in life.</t>
  </si>
  <si>
    <t>I always get to specifics in life.</t>
  </si>
  <si>
    <t>I rely pain relief all the time.</t>
  </si>
  <si>
    <t>I rely on pain relief most of the time.</t>
  </si>
  <si>
    <t>I remove pain and relieve pain evenly.</t>
  </si>
  <si>
    <t>I usually resolve needs to remove pain.</t>
  </si>
  <si>
    <t>I always resolve needs to remove pain.</t>
  </si>
  <si>
    <t>average</t>
  </si>
  <si>
    <t>start from scratch</t>
  </si>
  <si>
    <t>ideally suited</t>
  </si>
  <si>
    <t>slightly below average</t>
  </si>
  <si>
    <t>slightly above average</t>
  </si>
  <si>
    <t>strong start</t>
  </si>
  <si>
    <t>room for improvement</t>
  </si>
  <si>
    <t>come from behind</t>
  </si>
  <si>
    <t>you best start from scratch</t>
  </si>
  <si>
    <t>you can come from behind</t>
  </si>
  <si>
    <t>you are slightly below average</t>
  </si>
  <si>
    <t>you are slightly above average</t>
  </si>
  <si>
    <t>you can make strong start</t>
  </si>
  <si>
    <t>you are ideally suited</t>
  </si>
  <si>
    <t>you are about average</t>
  </si>
  <si>
    <t xml:space="preserve">Your responses suggest </t>
  </si>
  <si>
    <t xml:space="preserve">. This is based on an average score between -1 and 1, and your responses put you at </t>
  </si>
  <si>
    <t>Select the best response to these five items to estimate your readiness for this journey. A low score is not necessarily a bad score. Power relations crashing in on your life could dampen your full readiness. But that's what this journey is for.</t>
  </si>
  <si>
    <t xml:space="preserve">. Other qualifications may apply, and these could raise or lower your readiness score. </t>
  </si>
  <si>
    <t>Your journey support starts with a guide and advocate</t>
  </si>
  <si>
    <r>
      <t xml:space="preserve">You build support to back your </t>
    </r>
    <r>
      <rPr>
        <b/>
        <i/>
        <sz val="16"/>
        <color theme="1"/>
        <rFont val="Tahoma"/>
        <family val="2"/>
      </rPr>
      <t>campaign cause</t>
    </r>
  </si>
  <si>
    <t>Scientific</t>
  </si>
  <si>
    <t>pro-democratic</t>
  </si>
  <si>
    <t>pro-constitutional</t>
  </si>
  <si>
    <t>anti-constitutional</t>
  </si>
  <si>
    <t>Democratic</t>
  </si>
  <si>
    <t>Constitutional</t>
  </si>
  <si>
    <t>Wisdom</t>
  </si>
  <si>
    <t>Love</t>
  </si>
  <si>
    <t>Accountable</t>
  </si>
  <si>
    <t>Supportive</t>
  </si>
  <si>
    <t>non-constitutional</t>
  </si>
  <si>
    <t>AI undermines any input from those impacted by their actions, even if “pro-democratic” in word.</t>
  </si>
  <si>
    <t>celebrate it</t>
  </si>
  <si>
    <t>AI supports testing of need RKs for determining proper course of need impacting actions.</t>
  </si>
  <si>
    <t>AI remains unresponsive to suggestion to use RKs to measure need outcomes &amp; impacts.</t>
  </si>
  <si>
    <t>AI openly opposes RKs or other correlates to measure need outcomes &amp; impacts.</t>
  </si>
  <si>
    <t>pro-scientific</t>
  </si>
  <si>
    <t>non-scientific</t>
  </si>
  <si>
    <t>anti-scientific</t>
  </si>
  <si>
    <t>non-democratic</t>
  </si>
  <si>
    <t>anti-democratic</t>
  </si>
  <si>
    <t>pro-scriptural</t>
  </si>
  <si>
    <t>non-scriptural</t>
  </si>
  <si>
    <t>anti-scriptural</t>
  </si>
  <si>
    <t>pro-wisdom</t>
  </si>
  <si>
    <t>non-wisdom</t>
  </si>
  <si>
    <t>anti-wisdom</t>
  </si>
  <si>
    <t>pro-accountable</t>
  </si>
  <si>
    <t>non-accountable</t>
  </si>
  <si>
    <t>anti-accountable</t>
  </si>
  <si>
    <t>pro-supportive</t>
  </si>
  <si>
    <t>non-supportive</t>
  </si>
  <si>
    <t>anti-supportive</t>
  </si>
  <si>
    <t>pro-responsive</t>
  </si>
  <si>
    <t>non-responsive</t>
  </si>
  <si>
    <t>anti-responsive</t>
  </si>
  <si>
    <t>AI open to direct input from people impacted by their actions, beyond binary ballot options.</t>
  </si>
  <si>
    <t>AI open only to impersonal inputs of binary ballot options, avoiding direct accountability.</t>
  </si>
  <si>
    <t>AI accountably bases their actions in universal principles affirmed in foundational law.</t>
  </si>
  <si>
    <t>AI passively claims their actions are supported in foundational law.</t>
  </si>
  <si>
    <t>AI resists any accountability to universal principles in foundational law.</t>
  </si>
  <si>
    <t>AI actions accountably grounded in inspiring traditional wisdom others hold sacred.</t>
  </si>
  <si>
    <t>AI actions claim to be grounded in inspiring traditional wisdom others hold sacred.</t>
  </si>
  <si>
    <t>AI actions goes against inspiring traditional wisdom others hold sacred.</t>
  </si>
  <si>
    <t>AI’s actions accountably manifest universal principles for resolving needs responsibly.</t>
  </si>
  <si>
    <t>AI’s actions do not accountably manifest universal principles for resolving needs.</t>
  </si>
  <si>
    <t>AI’s actions go against universal principles for resolving needs responsibly.</t>
  </si>
  <si>
    <t>AI prioritizes the needs of others over their own, especially the needs of the most vulnerable.</t>
  </si>
  <si>
    <t>AI serves own needs in disregard to the needs of others, including the most vulnerably impacted.</t>
  </si>
  <si>
    <t>AI prioritizes own needs at other’s expense, and arrogantly exploitive of the most vulnerable.</t>
  </si>
  <si>
    <t>AI holds self directly accountable to others they impact.</t>
  </si>
  <si>
    <t xml:space="preserve">AI claims to be held accountable without proof. </t>
  </si>
  <si>
    <t>AI resists any effort to be held accountable by those they measurably impact.</t>
  </si>
  <si>
    <t xml:space="preserve">AI presents as ready, willing, and able to support RI’s cause to resolve needs mutually. </t>
  </si>
  <si>
    <t>AI claims to be supportive without proof.</t>
  </si>
  <si>
    <t>AI refuses to offer any support to RI’s cause to mutually resolve relevant needs.</t>
  </si>
  <si>
    <t>AI measurably responsive to the needs they impact.</t>
  </si>
  <si>
    <t>AI claims to be responsive without proof.</t>
  </si>
  <si>
    <t>AI counters contact attempts with threats, including threats of privileged legal action.</t>
  </si>
  <si>
    <t>The phases are geared to increase investments as you demonstrate your value.</t>
  </si>
  <si>
    <r>
      <rPr>
        <b/>
        <sz val="13"/>
        <color theme="1"/>
        <rFont val="Tahoma"/>
        <family val="2"/>
      </rPr>
      <t>AIM</t>
    </r>
    <r>
      <rPr>
        <sz val="13"/>
        <color theme="1"/>
        <rFont val="Tahoma"/>
        <family val="2"/>
      </rPr>
      <t>: To lay a solid foundation for for the success of your cause.</t>
    </r>
  </si>
  <si>
    <t>Failure to reach primary goal.</t>
  </si>
  <si>
    <t>Failure to launch</t>
  </si>
  <si>
    <t>Failure to attract sufficient number of supporters</t>
  </si>
  <si>
    <t>Failure to establish a minimal support amount</t>
  </si>
  <si>
    <t>Failure to attract any cosponsors</t>
  </si>
  <si>
    <t>Failure to build momentum</t>
  </si>
  <si>
    <t>Failure to sustain momentum</t>
  </si>
  <si>
    <t>Failure to attract patrons</t>
  </si>
  <si>
    <t>Failure to effect change</t>
  </si>
  <si>
    <t>Failure to retain enough cosponsors</t>
  </si>
  <si>
    <t>Failure to retain enough supporters</t>
  </si>
  <si>
    <t>Failure to replace attrition of cosponsors</t>
  </si>
  <si>
    <t>Failure to replace attrition of supporters</t>
  </si>
  <si>
    <t>Failure to attract views of your inaugeral video</t>
  </si>
  <si>
    <r>
      <rPr>
        <b/>
        <sz val="13"/>
        <color theme="1"/>
        <rFont val="Tahoma"/>
        <family val="2"/>
      </rPr>
      <t>AIM</t>
    </r>
    <r>
      <rPr>
        <sz val="13"/>
        <color theme="1"/>
        <rFont val="Tahoma"/>
        <family val="2"/>
      </rPr>
      <t>: To step out boldy into this new frontier of speaking truth to power.</t>
    </r>
  </si>
  <si>
    <t>addiction</t>
  </si>
  <si>
    <t>depression</t>
  </si>
  <si>
    <t>empower</t>
  </si>
  <si>
    <t>addiction list</t>
  </si>
  <si>
    <t>anxiety list</t>
  </si>
  <si>
    <t>depression symptoms</t>
  </si>
  <si>
    <t>empowerment list</t>
  </si>
  <si>
    <t>alcohol</t>
  </si>
  <si>
    <t>approval</t>
  </si>
  <si>
    <t>doomscrolling</t>
  </si>
  <si>
    <t>drugs</t>
  </si>
  <si>
    <t>junk food</t>
  </si>
  <si>
    <t>perfectionism</t>
  </si>
  <si>
    <t>pornography</t>
  </si>
  <si>
    <t>religiosity</t>
  </si>
  <si>
    <t>self-harm</t>
  </si>
  <si>
    <t>sex</t>
  </si>
  <si>
    <t>social media</t>
  </si>
  <si>
    <t>weight loss</t>
  </si>
  <si>
    <t>being abducted</t>
  </si>
  <si>
    <t>being arrested</t>
  </si>
  <si>
    <t>being falsely accused</t>
  </si>
  <si>
    <t>being overweight</t>
  </si>
  <si>
    <t>being smothered</t>
  </si>
  <si>
    <t>being unattractive</t>
  </si>
  <si>
    <t xml:space="preserve">exposing my secrets </t>
  </si>
  <si>
    <t>getting into an accident</t>
  </si>
  <si>
    <t>losing my family</t>
  </si>
  <si>
    <t>losing my job</t>
  </si>
  <si>
    <t>abilities</t>
  </si>
  <si>
    <t>capacity for kindness</t>
  </si>
  <si>
    <t>connectedness</t>
  </si>
  <si>
    <t>decisiveness</t>
  </si>
  <si>
    <t>personal efficacy</t>
  </si>
  <si>
    <t>positive self-image</t>
  </si>
  <si>
    <t>self-control</t>
  </si>
  <si>
    <t>social worth</t>
  </si>
  <si>
    <t>value to others</t>
  </si>
  <si>
    <t>appetite changes</t>
  </si>
  <si>
    <t>excessive guilt</t>
  </si>
  <si>
    <t>excessive worrying</t>
  </si>
  <si>
    <t>fatigue</t>
  </si>
  <si>
    <t>feeling isolated</t>
  </si>
  <si>
    <t>feeling restless</t>
  </si>
  <si>
    <t>feeling worthless</t>
  </si>
  <si>
    <t>hopelessness</t>
  </si>
  <si>
    <t>irritability</t>
  </si>
  <si>
    <t>lost concentration</t>
  </si>
  <si>
    <t>lost interest in pleasure</t>
  </si>
  <si>
    <t>mood swings</t>
  </si>
  <si>
    <t>muscle tension</t>
  </si>
  <si>
    <t>persistent sadness</t>
  </si>
  <si>
    <t>reckless behavior</t>
  </si>
  <si>
    <t>self-loathing</t>
  </si>
  <si>
    <t>sleeplessness</t>
  </si>
  <si>
    <t>suicidal thoughts</t>
  </si>
  <si>
    <t xml:space="preserve">This week, I received my first reply from one of the political leaders I contacted. It was encouraging. The more I speak truth to power, the more I find my addiction to </t>
  </si>
  <si>
    <t xml:space="preserve"> has less of a hold on me. My intense fear of </t>
  </si>
  <si>
    <t xml:space="preserve"> also subsides. Now that I feel more empowered over my life, I no longer suffer as much from </t>
  </si>
  <si>
    <t xml:space="preserve">. I can rely less on political generalizing, to address each other’s specific </t>
  </si>
  <si>
    <t>prematurely dying</t>
  </si>
  <si>
    <t xml:space="preserve">Your progress reports may look significantly different. We uses Beck Inventory tools to gage your changing wellness. BAI = Beck Anxiety Inventory. BDI = Beck Depression Inventory. BHI = Beck Hopelessness Inventory. These are well established assessment tools for measuring your psychic pain. Scores top out around 63 (worst) and bottom out at 0 (best). </t>
  </si>
  <si>
    <t>Select options from the white fields above to see a sample progress update here. Your progress reports support or challenge our working hypothesis. We hypothesize this mix of addressing your inward and outward needs will enhance your wellness better than if you only focused on your internal psychological side or only on your external political side.</t>
  </si>
  <si>
    <t xml:space="preserve">As for anxiety, I started with a BAI score of 23. I am now down to 11. As for depression, I started with a BDI score of 26. I am now down to 12. As for hopelessness, I started with a BHI score of 19. I am now down to 8. So far, I ascribe the bulk of such improvement to feeling empowered. Thanks to your support, I now have a better sense of my </t>
  </si>
  <si>
    <r>
      <rPr>
        <b/>
        <sz val="13"/>
        <color theme="1"/>
        <rFont val="Tahoma"/>
        <family val="2"/>
      </rPr>
      <t>AIM</t>
    </r>
    <r>
      <rPr>
        <sz val="13"/>
        <color theme="1"/>
        <rFont val="Tahoma"/>
        <family val="2"/>
      </rPr>
      <t>: To draw increasing support for mutually resolving politicized needs.</t>
    </r>
  </si>
  <si>
    <r>
      <rPr>
        <b/>
        <sz val="13"/>
        <color theme="1"/>
        <rFont val="Tahoma"/>
        <family val="2"/>
      </rPr>
      <t>AIM</t>
    </r>
    <r>
      <rPr>
        <sz val="13"/>
        <color theme="1"/>
        <rFont val="Tahoma"/>
        <family val="2"/>
      </rPr>
      <t>: To convince political actors of your support to resolve politicized needs.</t>
    </r>
  </si>
  <si>
    <r>
      <rPr>
        <b/>
        <sz val="12"/>
        <color theme="1"/>
        <rFont val="Tahoma"/>
        <family val="2"/>
      </rPr>
      <t>Your conciliatory options</t>
    </r>
    <r>
      <rPr>
        <sz val="12"/>
        <color theme="1"/>
        <rFont val="Tahoma"/>
        <family val="2"/>
      </rPr>
      <t>: What you can do together to resolve the affected needs.</t>
    </r>
  </si>
  <si>
    <r>
      <rPr>
        <b/>
        <sz val="12"/>
        <color theme="1"/>
        <rFont val="Tahoma"/>
        <family val="2"/>
      </rPr>
      <t>Your adversarial options</t>
    </r>
    <r>
      <rPr>
        <sz val="12"/>
        <color theme="1"/>
        <rFont val="Tahoma"/>
        <family val="2"/>
      </rPr>
      <t>: What you can do to ease or stop the mounting pain.</t>
    </r>
  </si>
  <si>
    <r>
      <rPr>
        <b/>
        <sz val="12"/>
        <color theme="1"/>
        <rFont val="Tahoma"/>
        <family val="2"/>
      </rPr>
      <t>Your avoidant options</t>
    </r>
    <r>
      <rPr>
        <sz val="12"/>
        <color theme="1"/>
        <rFont val="Tahoma"/>
        <family val="2"/>
      </rPr>
      <t>: What you do to try to avoid further pain from power relations.</t>
    </r>
  </si>
  <si>
    <t>elected official</t>
  </si>
  <si>
    <t>Be excited to be part of this game changing plan</t>
  </si>
  <si>
    <t>Who:</t>
  </si>
  <si>
    <t>Reply:</t>
  </si>
  <si>
    <t>Disregard me as some nut</t>
  </si>
  <si>
    <t>Ignore me as irrelevant</t>
  </si>
  <si>
    <t>Reply politely to try to shut me up</t>
  </si>
  <si>
    <t>Tell me they don’t handle such inquiries</t>
  </si>
  <si>
    <t>Tell me they will have to get back to me</t>
  </si>
  <si>
    <t>Get right back to me with investment in hand</t>
  </si>
  <si>
    <t>Unlikely. But if so, pass on them. There are more fish in this sea.</t>
  </si>
  <si>
    <t xml:space="preserve">Life is busy. After three attempts, mark as unresponsive and move on. </t>
  </si>
  <si>
    <t>Unlikely. If not a subscriber, they may not respond. Give ‘em a reason.</t>
  </si>
  <si>
    <t>Know their audience and pain points. Ask them what they need.</t>
  </si>
  <si>
    <t>Hold them to their word. Tell them you will move on if not heard soon.</t>
  </si>
  <si>
    <t>Great! Keep in touch. Check if their enthusiasm has roots.</t>
  </si>
  <si>
    <t>Amazing! Put them at the top of your list. You’re onto something.</t>
  </si>
  <si>
    <t>They may redirect you to some other government agency.</t>
  </si>
  <si>
    <t>You could get lost in the bureaucratic shuffle. They again, and again.</t>
  </si>
  <si>
    <t>You may get a form letter response. Try again, then move on.</t>
  </si>
  <si>
    <t>Then have them refer you to an agency or nonprofit that does.</t>
  </si>
  <si>
    <t xml:space="preserve">Hold them accountable. Follow up in a few days. </t>
  </si>
  <si>
    <t>They likely will mention all the restrictions they are under.</t>
  </si>
  <si>
    <t xml:space="preserve">Personally they might. If their institution let them act on their own. </t>
  </si>
  <si>
    <t>JOURNALIST</t>
  </si>
  <si>
    <t>PUBLIC SERVANT</t>
  </si>
  <si>
    <t>ELECTED OFFICIAL</t>
  </si>
  <si>
    <t>They risk political damage if they disregard you.</t>
  </si>
  <si>
    <t>If you don’t mention you’re in their voting district, they just might.</t>
  </si>
  <si>
    <t>If you are in their voting district, they will inevitably respond.</t>
  </si>
  <si>
    <t>They may forward you to the proper agency, even if not really helpful.</t>
  </si>
  <si>
    <t>If you’re in their voting district, you can count on a follow-up.</t>
  </si>
  <si>
    <t>If you nailed their pain points, they just might show some excitement.</t>
  </si>
  <si>
    <t>Unlikely without plenty of effort from you and your team.</t>
  </si>
  <si>
    <t>Journalist</t>
  </si>
  <si>
    <t>Public servant</t>
  </si>
  <si>
    <t>Elected official</t>
  </si>
  <si>
    <t xml:space="preserve"> The point here is to being responsive to their needs. Along the way, we assess their responsiveness to your impacted needs. We rate their legitimacy. We grab the power.</t>
  </si>
  <si>
    <t xml:space="preserve">In the above white field on the left, select Impactor type. Then select a possible reply in the dropdown list to its right. You grow when you can freely speak the truth of your needs to such power.
</t>
  </si>
  <si>
    <t>avoidant options</t>
  </si>
  <si>
    <t>adversarial options</t>
  </si>
  <si>
    <t>conciliatory options</t>
  </si>
  <si>
    <t>accept being overwhelmed</t>
  </si>
  <si>
    <t>acquiesce to demands of power</t>
  </si>
  <si>
    <t>blame oneself for everything</t>
  </si>
  <si>
    <t>cope with addictive items</t>
  </si>
  <si>
    <t>catastrophize</t>
  </si>
  <si>
    <t>endure increasing anxiety</t>
  </si>
  <si>
    <t>give into other forms of violence</t>
  </si>
  <si>
    <t>lapse into dysfunctional behaviors</t>
  </si>
  <si>
    <t>lose further efficacy</t>
  </si>
  <si>
    <t>obsess on extremes</t>
  </si>
  <si>
    <t>slip into hopelessness</t>
  </si>
  <si>
    <t>suffer deeper levels of depression</t>
  </si>
  <si>
    <t>suffer mental health issues</t>
  </si>
  <si>
    <t>withdraw from social life</t>
  </si>
  <si>
    <t>question best practices</t>
  </si>
  <si>
    <t>question industry standards</t>
  </si>
  <si>
    <t>challenge if following professional ethics</t>
  </si>
  <si>
    <t>publicly denounce unresponsiveness</t>
  </si>
  <si>
    <t>launch critical media campaign</t>
  </si>
  <si>
    <t>“confront revenue sources”</t>
  </si>
  <si>
    <t>admit all needs sit equal before nature</t>
  </si>
  <si>
    <t>admit resolving needs removes its pain</t>
  </si>
  <si>
    <t>recognize damage from avoidance</t>
  </si>
  <si>
    <t>reverse any harmful trends</t>
  </si>
  <si>
    <t>cease coercive power</t>
  </si>
  <si>
    <t>replace legal pressure with knowing needs</t>
  </si>
  <si>
    <t>waive adversarial options</t>
  </si>
  <si>
    <t>replace hostilities with understanding</t>
  </si>
  <si>
    <t>identify each other’s affected needs</t>
  </si>
  <si>
    <t>envision mutual benefits</t>
  </si>
  <si>
    <t>shift from generalizing to specifics</t>
  </si>
  <si>
    <t>shift from relief to resolving needs</t>
  </si>
  <si>
    <t>mutually commit to resolve needs</t>
  </si>
  <si>
    <t>invest in better outcomes</t>
  </si>
  <si>
    <t>invest in positive impacts</t>
  </si>
  <si>
    <t>You typically opt for avoidance unconsciously. This process illuminates those options, to compel Impactors to realize the consequences of their coercive influence.</t>
  </si>
  <si>
    <t>Your adversarial options likely erupt when you must stop the mounting pain. These can give you leverage. Impactors will likely prefer any conciliatory options you can offer.</t>
  </si>
  <si>
    <t>You leverge your conciliatory options as preferable to your avoidant and adversrial options. You both agree to address each other's affected needs for each to get beyond the pain.</t>
  </si>
  <si>
    <t>compromise your health further</t>
  </si>
  <si>
    <t>experience absenteeism</t>
  </si>
  <si>
    <t>experience presenteeism</t>
  </si>
  <si>
    <t>resort to retail therapy</t>
  </si>
  <si>
    <t>wonder about killing yourself</t>
  </si>
  <si>
    <t>suppress your own doubts and fears</t>
  </si>
  <si>
    <t>“noncooperate strategically”</t>
  </si>
  <si>
    <t>“vilify publicly”</t>
  </si>
  <si>
    <t>“ostracize comprehensively”</t>
  </si>
  <si>
    <t>“avow mortification”</t>
  </si>
  <si>
    <t xml:space="preserve">If you continue to </t>
  </si>
  <si>
    <t xml:space="preserve">, you will find it next to impossible to resolve needs. By speaking truth to power, you break the spell of such avoidance. </t>
  </si>
  <si>
    <t xml:space="preserve">If you let yourself </t>
  </si>
  <si>
    <t xml:space="preserve"> to ease the pain, you risk damaging your chance to resolve your power impacted needs. Let's conciliate instead.</t>
  </si>
  <si>
    <t xml:space="preserve">Power isn't really power unless it resolves needs. Otherwise it's just coercive force.  As you both </t>
  </si>
  <si>
    <t>, you draw closer to your campaign goal.</t>
  </si>
  <si>
    <t>You reach your campaign goal when replacing avoidant and adversarial options with love.</t>
  </si>
  <si>
    <t>Reaching your goal is only the beginning. We explore other stages to continue your journey.</t>
  </si>
  <si>
    <r>
      <t xml:space="preserve">As your campaign builds momentum, you raise revenue to pursue your </t>
    </r>
    <r>
      <rPr>
        <i/>
        <sz val="13"/>
        <color theme="1"/>
        <rFont val="Tahoma"/>
        <family val="2"/>
      </rPr>
      <t>cause</t>
    </r>
    <r>
      <rPr>
        <sz val="13"/>
        <color theme="1"/>
        <rFont val="Tahoma"/>
        <family val="2"/>
      </rPr>
      <t>.</t>
    </r>
  </si>
  <si>
    <t>Positive invite</t>
  </si>
  <si>
    <t>Negatives</t>
  </si>
  <si>
    <t>Positive mutuality</t>
  </si>
  <si>
    <t>SOCIAL CAPITAL</t>
  </si>
  <si>
    <t>COUNSELOR</t>
  </si>
  <si>
    <t>JOURNALISTS</t>
  </si>
  <si>
    <t>PUBLIC SERVANTS</t>
  </si>
  <si>
    <t>P</t>
  </si>
  <si>
    <t>N</t>
  </si>
  <si>
    <t>supporter prospects</t>
  </si>
  <si>
    <t>impactful journalists</t>
  </si>
  <si>
    <t>impactfuly public servants</t>
  </si>
  <si>
    <t>impactful elected officials</t>
  </si>
  <si>
    <t>NEGATIVE</t>
  </si>
  <si>
    <t>to advocate</t>
  </si>
  <si>
    <t>to guide</t>
  </si>
  <si>
    <t>CC</t>
  </si>
  <si>
    <t>lock tax liability into escrow</t>
  </si>
  <si>
    <t>Along the way, you put your need-resolving value into marketable demand.</t>
  </si>
  <si>
    <t>How far this continues, and the length of each phase, depends on the needs of each campaign.</t>
  </si>
  <si>
    <t>This illustrates a rough estimate of weekly raised revenue. Yours may look different.</t>
  </si>
  <si>
    <r>
      <t xml:space="preserve">Relating Terms of </t>
    </r>
    <r>
      <rPr>
        <b/>
        <sz val="16"/>
        <color rgb="FFA5FFC8"/>
        <rFont val="Tahoma"/>
        <family val="2"/>
      </rPr>
      <t>Interaction</t>
    </r>
  </si>
  <si>
    <r>
      <t xml:space="preserve">Relating Terms of </t>
    </r>
    <r>
      <rPr>
        <b/>
        <sz val="16"/>
        <color rgb="FFA5FFC8"/>
        <rFont val="Tahoma"/>
        <family val="2"/>
      </rPr>
      <t>Exchange</t>
    </r>
  </si>
  <si>
    <r>
      <t xml:space="preserve">Relating Terms of </t>
    </r>
    <r>
      <rPr>
        <b/>
        <sz val="16"/>
        <color rgb="FFA5FFC8"/>
        <rFont val="Tahoma"/>
        <family val="2"/>
      </rPr>
      <t>Engagement</t>
    </r>
  </si>
  <si>
    <r>
      <t xml:space="preserve">Relating Terms of </t>
    </r>
    <r>
      <rPr>
        <b/>
        <sz val="16"/>
        <color rgb="FFA5FFC8"/>
        <rFont val="Tahoma"/>
        <family val="2"/>
      </rPr>
      <t>Results</t>
    </r>
  </si>
  <si>
    <r>
      <t xml:space="preserve">Relating Terms of </t>
    </r>
    <r>
      <rPr>
        <b/>
        <sz val="16"/>
        <color rgb="FFA5FFC8"/>
        <rFont val="Tahoma"/>
        <family val="2"/>
      </rPr>
      <t>Use</t>
    </r>
  </si>
  <si>
    <t>Your tone is cordial. You invite them to see through the lens of anankelogy, the study of needs.</t>
  </si>
  <si>
    <t>Your tone turns insistant. Urgency rises. Your on the move. You introduce them to need-response.</t>
  </si>
  <si>
    <t>litigate</t>
  </si>
  <si>
    <t>file complaint with reputation orgs</t>
  </si>
  <si>
    <t>exhaust all due process rights</t>
  </si>
  <si>
    <t>Resolution phase</t>
  </si>
  <si>
    <t>Prep phase</t>
  </si>
  <si>
    <t>FIT 1: Your personal readiness</t>
  </si>
  <si>
    <t>FIT 2: Your support potential</t>
  </si>
  <si>
    <t>FIT 3: Your responsive impactors</t>
  </si>
  <si>
    <t>G Sponsors</t>
  </si>
  <si>
    <t>L Sponsors</t>
  </si>
  <si>
    <t>indirect</t>
  </si>
  <si>
    <t>POSITIVE</t>
  </si>
  <si>
    <t>Prep phase example</t>
  </si>
  <si>
    <t xml:space="preserve">Base phase </t>
  </si>
  <si>
    <t>Enterprise phase</t>
  </si>
  <si>
    <t>Base phase example</t>
  </si>
  <si>
    <t>Launch phase example</t>
  </si>
  <si>
    <t>Growth phase example</t>
  </si>
  <si>
    <t>Resolution phase example</t>
  </si>
  <si>
    <t>Enterprise phase example</t>
  </si>
  <si>
    <t>So far, we value each other in this relationship.</t>
  </si>
  <si>
    <t>Impersonal laws fail to serve our relationship’s full potential.</t>
  </si>
  <si>
    <t>Need-response can resolve more of our mutually affected needs.</t>
  </si>
  <si>
    <t>Select a phase:</t>
  </si>
  <si>
    <t>Our interactions create value for each other, for our needs.</t>
  </si>
  <si>
    <t>Power relations favor the needs of the powerful over the powerless.</t>
  </si>
  <si>
    <t>The needs of the powerful and powerless are set on equal footing.</t>
  </si>
  <si>
    <t>We could do more for each other.</t>
  </si>
  <si>
    <t>The powerless risks great loss when speaking truth to power.</t>
  </si>
  <si>
    <t>Both sides can learn how to better serve each other.</t>
  </si>
  <si>
    <t>The more we resolve needs, the better our relation shall be.</t>
  </si>
  <si>
    <t>Without a commitment to resolve needs, the relation must end.</t>
  </si>
  <si>
    <t>The powerless avows to resolve needs unilaterally.</t>
  </si>
  <si>
    <t>Resolving needs creates more value than the prior status quo.</t>
  </si>
  <si>
    <t>Only respect for resolving affected needs shall be honored.</t>
  </si>
  <si>
    <t>Relations continue on foundation of mutually respected needs.</t>
  </si>
  <si>
    <t>ASSESS</t>
  </si>
  <si>
    <t>AUDIT</t>
  </si>
  <si>
    <t>AVOW</t>
  </si>
  <si>
    <t>ACCLAIM</t>
  </si>
  <si>
    <t>Exchange</t>
  </si>
  <si>
    <t>Engage</t>
  </si>
  <si>
    <t>Results</t>
  </si>
  <si>
    <t>Use</t>
  </si>
  <si>
    <t>Interact</t>
  </si>
  <si>
    <t>ANNOUNCE</t>
  </si>
  <si>
    <t>prep</t>
  </si>
  <si>
    <t>base</t>
  </si>
  <si>
    <t>launch</t>
  </si>
  <si>
    <t>resolution</t>
  </si>
  <si>
    <t>growth</t>
  </si>
  <si>
    <r>
      <t xml:space="preserve">At the </t>
    </r>
    <r>
      <rPr>
        <b/>
        <sz val="12"/>
        <color theme="1"/>
        <rFont val="Cambria"/>
        <family val="1"/>
      </rPr>
      <t>prep phase</t>
    </r>
    <r>
      <rPr>
        <sz val="12"/>
        <color theme="1"/>
        <rFont val="Cambria"/>
        <family val="1"/>
      </rPr>
      <t xml:space="preserve">, you </t>
    </r>
    <r>
      <rPr>
        <b/>
        <sz val="12"/>
        <color theme="1"/>
        <rFont val="Cambria"/>
        <family val="1"/>
      </rPr>
      <t>ANNOUNCE</t>
    </r>
    <r>
      <rPr>
        <sz val="12"/>
        <color theme="1"/>
        <rFont val="Cambria"/>
        <family val="1"/>
      </rPr>
      <t xml:space="preserve"> your intentions to resolve a politicized need. Your tone is cordial. You invite them to see through the lens of anankelogy, the study of needs.</t>
    </r>
  </si>
  <si>
    <r>
      <t xml:space="preserve">At the </t>
    </r>
    <r>
      <rPr>
        <b/>
        <sz val="12"/>
        <color theme="1"/>
        <rFont val="Cambria"/>
        <family val="1"/>
      </rPr>
      <t>launch phase</t>
    </r>
    <r>
      <rPr>
        <sz val="12"/>
        <color theme="1"/>
        <rFont val="Cambria"/>
        <family val="1"/>
      </rPr>
      <t xml:space="preserve">, you </t>
    </r>
    <r>
      <rPr>
        <b/>
        <sz val="12"/>
        <color theme="1"/>
        <rFont val="Cambria"/>
        <family val="1"/>
      </rPr>
      <t>AUDIT</t>
    </r>
    <r>
      <rPr>
        <sz val="12"/>
        <color theme="1"/>
        <rFont val="Cambria"/>
        <family val="1"/>
      </rPr>
      <t xml:space="preserve"> responsiveness to all kinds of affected needs. Your tone is engaging. You leverage your proactive value.</t>
    </r>
  </si>
  <si>
    <r>
      <t xml:space="preserve">At the </t>
    </r>
    <r>
      <rPr>
        <b/>
        <sz val="12"/>
        <color theme="1"/>
        <rFont val="Cambria"/>
        <family val="1"/>
      </rPr>
      <t>growth phase</t>
    </r>
    <r>
      <rPr>
        <sz val="12"/>
        <color theme="1"/>
        <rFont val="Cambria"/>
        <family val="1"/>
      </rPr>
      <t xml:space="preserve">, you </t>
    </r>
    <r>
      <rPr>
        <b/>
        <sz val="12"/>
        <color theme="1"/>
        <rFont val="Cambria"/>
        <family val="1"/>
      </rPr>
      <t>AVOW</t>
    </r>
    <r>
      <rPr>
        <sz val="12"/>
        <color theme="1"/>
        <rFont val="Cambria"/>
        <family val="1"/>
      </rPr>
      <t xml:space="preserve"> to resolve needs mutually or unilaterally. Your tone is now declarative. They had their chance to get on board. </t>
    </r>
  </si>
  <si>
    <r>
      <t xml:space="preserve">"I publicly declare myself as </t>
    </r>
    <r>
      <rPr>
        <b/>
        <i/>
        <sz val="13"/>
        <color theme="1"/>
        <rFont val="Tahoma"/>
        <family val="2"/>
      </rPr>
      <t>need-responsive</t>
    </r>
    <r>
      <rPr>
        <b/>
        <sz val="13"/>
        <color theme="1"/>
        <rFont val="Tahoma"/>
        <family val="2"/>
      </rPr>
      <t>."</t>
    </r>
  </si>
  <si>
    <t>Cause phase</t>
  </si>
  <si>
    <t>Defunction</t>
  </si>
  <si>
    <t>RI 1</t>
  </si>
  <si>
    <t>AI 1</t>
  </si>
  <si>
    <t>RI 2</t>
  </si>
  <si>
    <t>RI 4</t>
  </si>
  <si>
    <t>RI 5</t>
  </si>
  <si>
    <t>AI 2</t>
  </si>
  <si>
    <t>AI 3</t>
  </si>
  <si>
    <t>AI 4</t>
  </si>
  <si>
    <t>Coercion cost</t>
  </si>
  <si>
    <t>Item</t>
  </si>
  <si>
    <t>Calc amt</t>
  </si>
  <si>
    <t>Sub</t>
  </si>
  <si>
    <t>Net</t>
  </si>
  <si>
    <t>Unit price</t>
  </si>
  <si>
    <t>value to solve problem by nimbly solving specific needs affected</t>
  </si>
  <si>
    <t>Date of impact:</t>
  </si>
  <si>
    <t>Date of reply:</t>
  </si>
  <si>
    <t>Date of birth:</t>
  </si>
  <si>
    <t>Passion level:</t>
  </si>
  <si>
    <t>Base qty:</t>
  </si>
  <si>
    <t>Quantity</t>
  </si>
  <si>
    <t>none</t>
  </si>
  <si>
    <t>existential</t>
  </si>
  <si>
    <t>Base price:</t>
  </si>
  <si>
    <t xml:space="preserve"> years</t>
  </si>
  <si>
    <t xml:space="preserve"> year</t>
  </si>
  <si>
    <t xml:space="preserve">AI 3: Reaction </t>
  </si>
  <si>
    <t xml:space="preserve">AI 1: Impact </t>
  </si>
  <si>
    <t>AI 2: Linkage</t>
  </si>
  <si>
    <t>AI 4: Engaging</t>
  </si>
  <si>
    <t>peripheral impact</t>
  </si>
  <si>
    <t>direct impact</t>
  </si>
  <si>
    <t>indirect impact</t>
  </si>
  <si>
    <t>unknown</t>
  </si>
  <si>
    <t>resists</t>
  </si>
  <si>
    <t>cautiously agrees</t>
  </si>
  <si>
    <t>enthusiastic</t>
  </si>
  <si>
    <t>hesitant</t>
  </si>
  <si>
    <t>hostile</t>
  </si>
  <si>
    <t>RI 1: Anxiety</t>
  </si>
  <si>
    <t>RI 2: Depression</t>
  </si>
  <si>
    <t>RI 3: Addiction</t>
  </si>
  <si>
    <t>RI 4: Anger</t>
  </si>
  <si>
    <t>RI 5: Hopelessness</t>
  </si>
  <si>
    <t>structural exaction</t>
  </si>
  <si>
    <t>nonaccountable influence</t>
  </si>
  <si>
    <t>privileged coercive power</t>
  </si>
  <si>
    <t>rationalized systemic failure</t>
  </si>
  <si>
    <t>mass institution mission creep</t>
  </si>
  <si>
    <t>imposing authority</t>
  </si>
  <si>
    <t>no anxiety</t>
  </si>
  <si>
    <t>low anxiety</t>
  </si>
  <si>
    <t>moderate anxiety</t>
  </si>
  <si>
    <t>severe anxiety</t>
  </si>
  <si>
    <t>no depression</t>
  </si>
  <si>
    <t>low depression</t>
  </si>
  <si>
    <t>moderate depression</t>
  </si>
  <si>
    <t>severe depression</t>
  </si>
  <si>
    <t>major depression</t>
  </si>
  <si>
    <t>no anger</t>
  </si>
  <si>
    <t>mild irritation</t>
  </si>
  <si>
    <t>moderate irritation</t>
  </si>
  <si>
    <t>constant anger</t>
  </si>
  <si>
    <t>overwhelming rage</t>
  </si>
  <si>
    <t>no addiction</t>
  </si>
  <si>
    <t>first use</t>
  </si>
  <si>
    <t>regular use</t>
  </si>
  <si>
    <t>risky use</t>
  </si>
  <si>
    <t>dependency</t>
  </si>
  <si>
    <t>full addiction</t>
  </si>
  <si>
    <t>no hopelessness</t>
  </si>
  <si>
    <t>mild hopelessness</t>
  </si>
  <si>
    <t>moderate hopelessness</t>
  </si>
  <si>
    <t>severe hopelessness</t>
  </si>
  <si>
    <t>Adjustments</t>
  </si>
  <si>
    <t>With recipient's cooperation, no amount is directly billed.</t>
  </si>
  <si>
    <t>Without recipient's cooperation, this billed amount stands.</t>
  </si>
  <si>
    <t>Net total to illuminate costs of coercive power relations.</t>
  </si>
  <si>
    <t>To avoid any conflict of interest, the recipient cannot sponsor the need-resolving cause. But this recipient who directly impacts the sender is invited to invest in the cause as a patron. And must outbid others to be lead investor.</t>
  </si>
  <si>
    <t>The recipient can sponsor the sender's need-resolving cause. Or become a patron to the cause. Each recipient outbids the others to earn the privilege as lead investor. The leading patron must qualify for competitive legitimacy.</t>
  </si>
  <si>
    <t>This is not a literal invoice. It sybolically bills powerholders in power relations (i.e., ascribed impactors) to illuminate the hidden costs of coercive power. They receive the value of vital data for improving their impact on vulnerable others.</t>
  </si>
  <si>
    <t>Consider how much you are truly worth, and make sure powerholders know it.</t>
  </si>
  <si>
    <t>panic</t>
  </si>
  <si>
    <t xml:space="preserve">I, the sending Reporting Impactee, verify the accuracy of this invoice to the best of my knowledge. I do not expect to ever receive the billed amount, but to demonstrate the value I am coerced to forfeit to another who has some power over me. </t>
  </si>
  <si>
    <t>I agree</t>
  </si>
  <si>
    <t>I disagree</t>
  </si>
  <si>
    <t>READY TO SEND</t>
  </si>
  <si>
    <t>select to proceed</t>
  </si>
  <si>
    <t>totally helpless</t>
  </si>
  <si>
    <t>Enter any prior payment or RI-decided discounted amount.</t>
  </si>
  <si>
    <t>Without the sender's informed agreement, this invoice cannot be sent to the identified recipient. We can work on any point of disagreement for the sender to confidently send this invoice to the Ascribed Impactor, to further this conciliatory process.</t>
  </si>
  <si>
    <t>EXACTION INVOICE</t>
  </si>
  <si>
    <t>to illuminate the hidden costs of coercive power</t>
  </si>
  <si>
    <t>Legitimacy Quality</t>
  </si>
  <si>
    <t>Exaction Invoice</t>
  </si>
  <si>
    <t>Why is anyone in any power over you? Do they earn that privilege?</t>
  </si>
  <si>
    <t>MESSAGE SENT TO IMPACTOR AFTER AGREEMENT AMONG SUPPORTERS</t>
  </si>
  <si>
    <t>Based on our assessment, you are recognized as an</t>
  </si>
  <si>
    <t>You demonstrate a conciliatory responsiveness to most needs impacted in this power relation. Your leadership is inspiring. We invite you to follow our campaign to improve areas showing room for improvement. We can audit you again to publicly recognize your improvements.</t>
  </si>
  <si>
    <t>R.S.V.P.</t>
  </si>
  <si>
    <t>Based on our assessment, you are recognized as a</t>
  </si>
  <si>
    <t>certified impact:</t>
  </si>
  <si>
    <t xml:space="preserve">qualified impactor: 
</t>
  </si>
  <si>
    <t>adequate legitimacy:</t>
  </si>
  <si>
    <t>unqualified impactor:</t>
  </si>
  <si>
    <t>disqualified impactor:</t>
  </si>
  <si>
    <t>You demonstrate a conciliatory responsiveness to all needs you impact in this power relation. Your leadership is examplary. We invite you to follow our campaign to mutually resolve needs you are found to impact. We are starting a new way to improve lives with you, or without you.</t>
  </si>
  <si>
    <t>You demonstrate a conciliatory responsiveness to about half the needs you powerfully impact. Your leadership is mediocre. We invite you to follow our campaign to improve areas showing room for improvement. We can audit you again to publicly recognize your improvements.</t>
  </si>
  <si>
    <t>You demonstrate conciliatory responsiveness to a few needs you impact in this power relation. We find you complicit with our poor outcomes. We can help you improve your responsiveness to the needs you impact. Then we can  audit you again to publicly recognize your improvements.</t>
  </si>
  <si>
    <t>You fail to demonstrate a conciliatory responsiveness to any needs you impact in this relation. We challenge your legitimacy to impact us at all. We can help you improve your responsiveness to the needs you impact. Then we can  audit you again to publicly recognize your improvements.</t>
  </si>
  <si>
    <t>legitimacy.</t>
  </si>
  <si>
    <t>Fill all fields above to assess impactor's level of</t>
  </si>
  <si>
    <t>BY HONESTLY ASSESSING THE POWERHOLDER'S IMPACT, YOU GIVE THEM DIRECT FEEDBACK THEY RARELY RECEIVE. YOU PROVIDE A CONCILIATORY PROCESS TO IMPROVE THEIR IMPACT. YOU INCENTIVIZE THEM TO SUPPORT YOUR MUTUALLY BENEFICIAL CAUSE.</t>
  </si>
  <si>
    <t>improve it</t>
  </si>
  <si>
    <t>let's fix it</t>
  </si>
  <si>
    <t>Inspirational</t>
  </si>
  <si>
    <t>fellow powerless family and friends</t>
  </si>
  <si>
    <t>indirect or peripheral impactors</t>
  </si>
  <si>
    <t xml:space="preserve">direct impactor(s) on </t>
  </si>
  <si>
    <t>follower</t>
  </si>
  <si>
    <r>
      <t xml:space="preserve">WELCOME to </t>
    </r>
    <r>
      <rPr>
        <b/>
        <sz val="11"/>
        <color theme="1"/>
        <rFont val="Cambria"/>
        <family val="1"/>
      </rPr>
      <t>Advocacy Support</t>
    </r>
    <r>
      <rPr>
        <sz val="11"/>
        <color theme="1"/>
        <rFont val="Cambria"/>
        <family val="1"/>
      </rPr>
      <t xml:space="preserve">, a new kind of service for empowering the powerless to speak truth to power. This is unlike anything you have ever seen. Together, we cut past political noise to address our overlooked needs with pioneering mutual respect.
</t>
    </r>
  </si>
  <si>
    <t xml:space="preserve">We recognize the enemy is not each other of different political views, but political divisiveness itself. We build a bridge of love to address each other’s specific </t>
  </si>
  <si>
    <t>-related needs. Including yours.</t>
  </si>
  <si>
    <t xml:space="preserve">I invite you to join my campaign to resolve </t>
  </si>
  <si>
    <t>Follower</t>
  </si>
  <si>
    <t xml:space="preserve">Follow for FREE. Receive exclusive updates to my progress. Give your input on my efforts. See how this process can work for you. 
</t>
  </si>
  <si>
    <t>Supporter</t>
  </si>
  <si>
    <t>Sponsor</t>
  </si>
  <si>
    <t>Patron</t>
  </si>
  <si>
    <t xml:space="preserve">Become a patron to my need-resolving campaign by matching my current weekly level of support. Let's solve </t>
  </si>
  <si>
    <t>needs together.</t>
  </si>
  <si>
    <t>Support my need-resolving campaign for only $5 each week. Give your input and vote on my efforts. Start speaking your own truth to political power.</t>
  </si>
  <si>
    <t>Sponsor my need-resolving campaign for only $20 each week. Boost your branding with this service empowering the politically powerless.</t>
  </si>
  <si>
    <r>
      <t xml:space="preserve">Help turn </t>
    </r>
    <r>
      <rPr>
        <b/>
        <i/>
        <sz val="11"/>
        <color theme="1"/>
        <rFont val="Cambria"/>
        <family val="1"/>
      </rPr>
      <t>divisive politics</t>
    </r>
    <r>
      <rPr>
        <sz val="11"/>
        <color theme="1"/>
        <rFont val="Cambria"/>
        <family val="1"/>
      </rPr>
      <t xml:space="preserve"> into </t>
    </r>
    <r>
      <rPr>
        <b/>
        <i/>
        <sz val="11"/>
        <color theme="1"/>
        <rFont val="Cambria"/>
        <family val="1"/>
      </rPr>
      <t>mutual respect</t>
    </r>
    <r>
      <rPr>
        <sz val="11"/>
        <color theme="1"/>
        <rFont val="Cambria"/>
        <family val="1"/>
      </rPr>
      <t xml:space="preserve"> for each other’s politicized needs. Choose which subscription fits you best. Click the link below to sign up to my campaign today. You have a week to try it out before you get billed. Then we are on our way to replace political hate with some much needed love. Learn more at </t>
    </r>
    <r>
      <rPr>
        <sz val="10"/>
        <color rgb="FF00823C"/>
        <rFont val="Arial Black"/>
        <family val="2"/>
      </rPr>
      <t>Value</t>
    </r>
    <r>
      <rPr>
        <sz val="10"/>
        <color rgb="FF780091"/>
        <rFont val="Arial Black"/>
        <family val="2"/>
      </rPr>
      <t>Relating</t>
    </r>
    <r>
      <rPr>
        <sz val="11"/>
        <color theme="1"/>
        <rFont val="Cambria"/>
        <family val="1"/>
      </rPr>
      <t>.com. Welcome aboard!</t>
    </r>
  </si>
  <si>
    <t>When ready, you send out invitations that look something like this.</t>
  </si>
  <si>
    <t>Select who to send an invitation.</t>
  </si>
  <si>
    <t>Recipient:</t>
  </si>
  <si>
    <t>directly involved</t>
  </si>
  <si>
    <t>a supporter</t>
  </si>
  <si>
    <t>a sponsor</t>
  </si>
  <si>
    <t>a patron</t>
  </si>
  <si>
    <t xml:space="preserve">-related needs. Join me in replacing divisive politics with the love of respecting the affected need on both sides of the issue. You have two options. To follow or become </t>
  </si>
  <si>
    <t>Support my need-resolving campaign with a weekly financial support level appropriate to your level of impact. Help empower the politically powerless to resolve needs in ways eluding the powerful.</t>
  </si>
  <si>
    <t>Ready to join or start your own advocacy campaign?</t>
  </si>
  <si>
    <t>1: PREP phase</t>
  </si>
  <si>
    <t>2: BASE phase</t>
  </si>
  <si>
    <t>3: LAUNCH phase</t>
  </si>
  <si>
    <t>4. GROWTH phase</t>
  </si>
  <si>
    <t>5. CAUSE phase</t>
  </si>
  <si>
    <r>
      <t xml:space="preserve">At the </t>
    </r>
    <r>
      <rPr>
        <b/>
        <sz val="12"/>
        <color theme="1"/>
        <rFont val="Cambria"/>
        <family val="1"/>
      </rPr>
      <t>base phase</t>
    </r>
    <r>
      <rPr>
        <sz val="12"/>
        <color theme="1"/>
        <rFont val="Cambria"/>
        <family val="1"/>
      </rPr>
      <t xml:space="preserve">, you </t>
    </r>
    <r>
      <rPr>
        <b/>
        <sz val="12"/>
        <color theme="1"/>
        <rFont val="Cambria"/>
        <family val="1"/>
      </rPr>
      <t>ASSESS</t>
    </r>
    <r>
      <rPr>
        <sz val="12"/>
        <color theme="1"/>
        <rFont val="Cambria"/>
        <family val="1"/>
      </rPr>
      <t xml:space="preserve"> the responsiveness to your power impacted needs. Your tone turns insistant. Urgency rises. You introduce them to need-response.</t>
    </r>
  </si>
  <si>
    <t xml:space="preserve">Depolarizing </t>
  </si>
  <si>
    <t>Stuck in pointless conflict</t>
  </si>
  <si>
    <r>
      <t xml:space="preserve">Welcome to </t>
    </r>
    <r>
      <rPr>
        <b/>
        <sz val="22"/>
        <color rgb="FFD2FFE6"/>
        <rFont val="Tahoma"/>
        <family val="2"/>
      </rPr>
      <t>campaign</t>
    </r>
    <r>
      <rPr>
        <b/>
        <sz val="22"/>
        <color rgb="FF1E5A28"/>
        <rFont val="Tahoma"/>
        <family val="2"/>
      </rPr>
      <t xml:space="preserve"> </t>
    </r>
    <r>
      <rPr>
        <b/>
        <sz val="22"/>
        <color rgb="FFFFCCFF"/>
        <rFont val="Tahoma"/>
        <family val="2"/>
      </rPr>
      <t>advocacy</t>
    </r>
  </si>
  <si>
    <r>
      <t xml:space="preserve">What is the </t>
    </r>
    <r>
      <rPr>
        <b/>
        <sz val="22"/>
        <color theme="9" tint="-0.499984740745262"/>
        <rFont val="Tahoma"/>
        <family val="2"/>
      </rPr>
      <t>impact parity model</t>
    </r>
    <r>
      <rPr>
        <b/>
        <sz val="22"/>
        <color rgb="FF00823C"/>
        <rFont val="Tahoma"/>
        <family val="2"/>
      </rPr>
      <t>?</t>
    </r>
  </si>
  <si>
    <r>
      <t xml:space="preserve">Because they </t>
    </r>
    <r>
      <rPr>
        <b/>
        <i/>
        <sz val="18"/>
        <color rgb="FF00B050"/>
        <rFont val="Tahoma"/>
        <family val="2"/>
      </rPr>
      <t>need</t>
    </r>
    <r>
      <rPr>
        <b/>
        <sz val="18"/>
        <color rgb="FF00B050"/>
        <rFont val="Tahoma"/>
        <family val="2"/>
      </rPr>
      <t xml:space="preserve"> you</t>
    </r>
  </si>
  <si>
    <t>Your Relating Terms</t>
  </si>
  <si>
    <t>Select options from each if the four fields below to see a sample weekly update report.</t>
  </si>
  <si>
    <t xml:space="preserve"> to ease your needs.</t>
  </si>
  <si>
    <t xml:space="preserve"> to ease their needs.</t>
  </si>
  <si>
    <t>First, you need '</t>
  </si>
  <si>
    <t xml:space="preserve">' for </t>
  </si>
  <si>
    <t>First, they need '</t>
  </si>
  <si>
    <t xml:space="preserve">Then point to </t>
  </si>
  <si>
    <t>improvements</t>
  </si>
  <si>
    <t>First, they need something you may eventually need.</t>
  </si>
  <si>
    <t>First, you need something they may eventually need.</t>
  </si>
  <si>
    <t>You're too busy easing your pain to see their affected needs.</t>
  </si>
  <si>
    <t>They're too busy easing their pain to see your affected needs.</t>
  </si>
  <si>
    <t>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t>
  </si>
  <si>
    <t>When it comes to politics, you need to focus more on what impacts your needs. Your situation in life creates a clashing priority of needs than experienced by those of the other political side. Your needs come first. They prioritize your political reasoning, for their relief.</t>
  </si>
  <si>
    <t>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it.</t>
  </si>
  <si>
    <t>Conventionally, the other side seems like a threat to your prioritized needs. The more you try to ease your needs one way, the more they try to ease theirs in the opposite direction. You both must serve a clashing priority of publicly affected needs. Political generalizing arrives after the fact. If it wasn't for your diverging priority of politicized needs, you likely wouldn't care about politics.</t>
  </si>
  <si>
    <t>We must ensure everyone can freely live up to their full creative potential.</t>
  </si>
  <si>
    <t>We must ensure everyone's needs are equally met through government oversight.</t>
  </si>
  <si>
    <r>
      <t>In the absence of a bridge for mutual respect, each side entertains extreme positions. You or someone on your side likely insists we go to one extreme. That easily provokes extreme elements on the other side. They insist we go in the opposite extreme, to serve their prioritized needs</t>
    </r>
    <r>
      <rPr>
        <sz val="10.5"/>
        <color rgb="FFCC00CC"/>
        <rFont val="Arial Narrow"/>
        <family val="2"/>
      </rPr>
      <t>.</t>
    </r>
  </si>
  <si>
    <t>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t>
  </si>
  <si>
    <t>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t>
  </si>
  <si>
    <t>I want to better understand the needs of conservatives and Trumpists.</t>
  </si>
  <si>
    <t>I want to better understand the needs of liberals and progressives.</t>
  </si>
  <si>
    <t>They take away our liberty and insist we serve big government!</t>
  </si>
  <si>
    <t>They take away our rights and insist we serve big business!</t>
  </si>
  <si>
    <t>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t>
  </si>
  <si>
    <t>The more I support your needs, the more I trust you to support my needs.</t>
  </si>
  <si>
    <r>
      <t>The more I support your needs, the more I trust you to support my needs</t>
    </r>
    <r>
      <rPr>
        <sz val="10.5"/>
        <color rgb="FFCC00CC"/>
        <rFont val="Arial Narrow"/>
        <family val="2"/>
      </rPr>
      <t xml:space="preserve">. </t>
    </r>
  </si>
  <si>
    <t>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t>
  </si>
  <si>
    <t>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t>
  </si>
  <si>
    <t>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t>
  </si>
  <si>
    <t>"Conservatives are all bad! They oppress us to death!"</t>
  </si>
  <si>
    <t>"Liberals are all bad! They want to tax us to death!"</t>
  </si>
  <si>
    <t>We must outlaw historic discrimination so minorities can integrate into society.</t>
  </si>
  <si>
    <t>No one is free until we all can be equally free.</t>
  </si>
  <si>
    <t>Too much government ensures we will all stay equally poor.</t>
  </si>
  <si>
    <t>Provide more breaks for the historically oppressed, with government oversight.</t>
  </si>
  <si>
    <t>Guarantee more individual liberties, to remove the growing threat of government tyranny.</t>
  </si>
  <si>
    <t>I hear your need for protections from historically unfair practices of discrimination.</t>
  </si>
  <si>
    <t>I affirm your need for greater protections from unchecked exploitations.</t>
  </si>
  <si>
    <t>I the more I support your need for less government in some areas, the more I count on you to support my need for more government in other areas.</t>
  </si>
  <si>
    <t>I the more I support your need for more government in some areas, the more I count on you to support my need for less government in other areas.</t>
  </si>
  <si>
    <t>I hear your need for more personal liberty, to address your needs freely on your own.</t>
  </si>
  <si>
    <t>I affirm your need for greater personal space to make the most of life.</t>
  </si>
  <si>
    <r>
      <t xml:space="preserve">1)  </t>
    </r>
    <r>
      <rPr>
        <b/>
        <i/>
        <sz val="12"/>
        <color rgb="FF99FF99"/>
        <rFont val="Cambria"/>
        <family val="1"/>
      </rPr>
      <t>Identify</t>
    </r>
    <r>
      <rPr>
        <sz val="12"/>
        <color rgb="FF99FF99"/>
        <rFont val="Cambria"/>
        <family val="1"/>
      </rPr>
      <t xml:space="preserve"> affected needs</t>
    </r>
  </si>
  <si>
    <r>
      <t xml:space="preserve">2)  </t>
    </r>
    <r>
      <rPr>
        <b/>
        <i/>
        <sz val="12"/>
        <color rgb="FF99FF99"/>
        <rFont val="Cambria"/>
        <family val="1"/>
      </rPr>
      <t>Express</t>
    </r>
    <r>
      <rPr>
        <sz val="12"/>
        <color rgb="FF99FF99"/>
        <rFont val="Cambria"/>
        <family val="1"/>
      </rPr>
      <t xml:space="preserve"> affected needs</t>
    </r>
  </si>
  <si>
    <r>
      <t xml:space="preserve">3)  </t>
    </r>
    <r>
      <rPr>
        <b/>
        <i/>
        <sz val="12"/>
        <color rgb="FF99FF99"/>
        <rFont val="Cambria"/>
        <family val="1"/>
      </rPr>
      <t>Address</t>
    </r>
    <r>
      <rPr>
        <sz val="12"/>
        <color rgb="FF99FF99"/>
        <rFont val="Cambria"/>
        <family val="1"/>
      </rPr>
      <t xml:space="preserve"> affected needs</t>
    </r>
  </si>
  <si>
    <r>
      <t xml:space="preserve">At the </t>
    </r>
    <r>
      <rPr>
        <b/>
        <sz val="11"/>
        <color theme="1"/>
        <rFont val="Cambria"/>
        <family val="1"/>
      </rPr>
      <t>prep phase</t>
    </r>
    <r>
      <rPr>
        <sz val="11"/>
        <color theme="1"/>
        <rFont val="Cambria"/>
        <family val="1"/>
      </rPr>
      <t xml:space="preserve">, you </t>
    </r>
    <r>
      <rPr>
        <b/>
        <sz val="11"/>
        <color theme="1"/>
        <rFont val="Cambria"/>
        <family val="1"/>
      </rPr>
      <t>ANNOUNCE</t>
    </r>
    <r>
      <rPr>
        <sz val="11"/>
        <color theme="1"/>
        <rFont val="Cambria"/>
        <family val="1"/>
      </rPr>
      <t xml:space="preserve"> your intentions to resolve a politicized need.</t>
    </r>
  </si>
  <si>
    <r>
      <t xml:space="preserve">At the </t>
    </r>
    <r>
      <rPr>
        <b/>
        <sz val="11"/>
        <color theme="1"/>
        <rFont val="Cambria"/>
        <family val="1"/>
      </rPr>
      <t>base phase</t>
    </r>
    <r>
      <rPr>
        <sz val="11"/>
        <color theme="1"/>
        <rFont val="Cambria"/>
        <family val="1"/>
      </rPr>
      <t xml:space="preserve">, you </t>
    </r>
    <r>
      <rPr>
        <b/>
        <sz val="11"/>
        <color theme="1"/>
        <rFont val="Cambria"/>
        <family val="1"/>
      </rPr>
      <t>ASSESS</t>
    </r>
    <r>
      <rPr>
        <sz val="11"/>
        <color theme="1"/>
        <rFont val="Cambria"/>
        <family val="1"/>
      </rPr>
      <t xml:space="preserve"> the responsiveness to your power impacted needs.</t>
    </r>
  </si>
  <si>
    <r>
      <t xml:space="preserve">At the </t>
    </r>
    <r>
      <rPr>
        <b/>
        <sz val="11"/>
        <color theme="1"/>
        <rFont val="Cambria"/>
        <family val="1"/>
      </rPr>
      <t>launch phase</t>
    </r>
    <r>
      <rPr>
        <sz val="11"/>
        <color theme="1"/>
        <rFont val="Cambria"/>
        <family val="1"/>
      </rPr>
      <t xml:space="preserve">, you </t>
    </r>
    <r>
      <rPr>
        <b/>
        <sz val="11"/>
        <color theme="1"/>
        <rFont val="Cambria"/>
        <family val="1"/>
      </rPr>
      <t>AUDIT</t>
    </r>
    <r>
      <rPr>
        <sz val="11"/>
        <color theme="1"/>
        <rFont val="Cambria"/>
        <family val="1"/>
      </rPr>
      <t xml:space="preserve"> responsiveness to all kinds of affected needs.</t>
    </r>
  </si>
  <si>
    <r>
      <t xml:space="preserve">At the </t>
    </r>
    <r>
      <rPr>
        <b/>
        <sz val="11"/>
        <color theme="1"/>
        <rFont val="Cambria"/>
        <family val="1"/>
      </rPr>
      <t>growth phase</t>
    </r>
    <r>
      <rPr>
        <sz val="11"/>
        <color theme="1"/>
        <rFont val="Cambria"/>
        <family val="1"/>
      </rPr>
      <t xml:space="preserve">, you </t>
    </r>
    <r>
      <rPr>
        <b/>
        <sz val="11"/>
        <color theme="1"/>
        <rFont val="Cambria"/>
        <family val="1"/>
      </rPr>
      <t>AVOW</t>
    </r>
    <r>
      <rPr>
        <sz val="11"/>
        <color theme="1"/>
        <rFont val="Cambria"/>
        <family val="1"/>
      </rPr>
      <t xml:space="preserve"> to resolve needs mutually or unilaterally.</t>
    </r>
  </si>
  <si>
    <r>
      <t xml:space="preserve">At the </t>
    </r>
    <r>
      <rPr>
        <b/>
        <sz val="11"/>
        <color theme="1"/>
        <rFont val="Cambria"/>
        <family val="1"/>
      </rPr>
      <t>resolution phase</t>
    </r>
    <r>
      <rPr>
        <sz val="11"/>
        <color theme="1"/>
        <rFont val="Cambria"/>
        <family val="1"/>
      </rPr>
      <t xml:space="preserve">, you </t>
    </r>
    <r>
      <rPr>
        <b/>
        <sz val="11"/>
        <color theme="1"/>
        <rFont val="Cambria"/>
        <family val="1"/>
      </rPr>
      <t>ACCLAIM</t>
    </r>
    <r>
      <rPr>
        <sz val="11"/>
        <color theme="1"/>
        <rFont val="Cambria"/>
        <family val="1"/>
      </rPr>
      <t xml:space="preserve"> the entity to continue addressing the need.</t>
    </r>
  </si>
  <si>
    <r>
      <t xml:space="preserve">At the </t>
    </r>
    <r>
      <rPr>
        <b/>
        <sz val="12"/>
        <color theme="1"/>
        <rFont val="Cambria"/>
        <family val="1"/>
      </rPr>
      <t>cause phase</t>
    </r>
    <r>
      <rPr>
        <sz val="12"/>
        <color theme="1"/>
        <rFont val="Cambria"/>
        <family val="1"/>
      </rPr>
      <t xml:space="preserve">, you </t>
    </r>
    <r>
      <rPr>
        <b/>
        <sz val="12"/>
        <color theme="1"/>
        <rFont val="Cambria"/>
        <family val="1"/>
      </rPr>
      <t>ACCLAIM</t>
    </r>
    <r>
      <rPr>
        <sz val="12"/>
        <color theme="1"/>
        <rFont val="Cambria"/>
        <family val="1"/>
      </rPr>
      <t xml:space="preserve"> the entity to continue addressing the need. Your tone is celebratory with all who joined you.</t>
    </r>
  </si>
  <si>
    <t>Apply to your own needs</t>
  </si>
  <si>
    <t>For counselors serving ideologically diverse clients</t>
  </si>
  <si>
    <t>Receive growing support to speak truth to political power</t>
  </si>
  <si>
    <t>For the politically influential to create meaningful change</t>
  </si>
  <si>
    <t>For the politically powerless to advocate for resolving needs</t>
  </si>
  <si>
    <r>
      <rPr>
        <sz val="12"/>
        <color theme="1"/>
        <rFont val="Tahoma"/>
        <family val="2"/>
      </rPr>
      <t xml:space="preserve">TBA: </t>
    </r>
    <r>
      <rPr>
        <i/>
        <sz val="12"/>
        <color theme="1"/>
        <rFont val="Tahoma"/>
        <family val="2"/>
      </rPr>
      <t>This one is still being developed.</t>
    </r>
  </si>
  <si>
    <t>equality and freedom</t>
  </si>
  <si>
    <t>Love inspires the paradox that both side's core needs can be resolved together.</t>
  </si>
  <si>
    <t>9. Let love take you back to the source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</si>
</sst>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5" formatCode="&quot;$&quot;#,##0_);\(&quot;$&quot;#,##0\)"/>
    <numFmt numFmtId="44" formatCode="_(&quot;$&quot;* #,##0.00_);_(&quot;$&quot;* \(#,##0.00\);_(&quot;$&quot;* &quot;-&quot;??_);_(@_)"/>
    <numFmt numFmtId="164" formatCode="m/d/yy"/>
    <numFmt numFmtId="165" formatCode="#."/>
    <numFmt numFmtId="166" formatCode="&quot;$&quot;#,##0.00"/>
    <numFmt numFmtId="167" formatCode="&quot;$&quot;#,##0"/>
  </numFmts>
  <fonts count="475">
    <font>
      <sz val="11"/>
      <color theme="1"/>
      <name val="Calibri"/>
      <family val="2"/>
      <scheme val="minor"/>
    </font>
    <font>
      <sz val="11"/>
      <color theme="1"/>
      <name val="Calibri"/>
      <family val="2"/>
      <scheme val="minor"/>
    </font>
    <font>
      <sz val="10"/>
      <name val="Arial"/>
      <family val="2"/>
    </font>
    <font>
      <b/>
      <sz val="12"/>
      <color rgb="FFFFFF00"/>
      <name val="Tahoma"/>
      <family val="2"/>
    </font>
    <font>
      <sz val="12"/>
      <color rgb="FF00B050"/>
      <name val="Arial"/>
      <family val="2"/>
    </font>
    <font>
      <sz val="16"/>
      <color theme="1"/>
      <name val="Tahoma"/>
      <family val="2"/>
    </font>
    <font>
      <b/>
      <sz val="14"/>
      <color theme="1"/>
      <name val="Tahoma"/>
      <family val="2"/>
    </font>
    <font>
      <sz val="11"/>
      <color theme="1"/>
      <name val="Arial Narrow"/>
      <family val="2"/>
    </font>
    <font>
      <sz val="11"/>
      <color rgb="FF000000"/>
      <name val="Arial Narrow"/>
      <family val="2"/>
    </font>
    <font>
      <sz val="10"/>
      <color theme="1"/>
      <name val="Arial Narrow"/>
      <family val="2"/>
    </font>
    <font>
      <sz val="20"/>
      <color theme="1"/>
      <name val="Tahoma"/>
      <family val="2"/>
    </font>
    <font>
      <b/>
      <sz val="20"/>
      <color theme="1"/>
      <name val="Tahoma"/>
      <family val="2"/>
    </font>
    <font>
      <b/>
      <sz val="20"/>
      <color rgb="FF371950"/>
      <name val="Tahoma"/>
      <family val="2"/>
    </font>
    <font>
      <b/>
      <sz val="20"/>
      <color rgb="FF008237"/>
      <name val="Tahoma"/>
      <family val="2"/>
    </font>
    <font>
      <sz val="10"/>
      <color theme="1"/>
      <name val="Arial Black"/>
      <family val="2"/>
    </font>
    <font>
      <sz val="12"/>
      <color theme="1"/>
      <name val="Arial Black"/>
      <family val="2"/>
    </font>
    <font>
      <b/>
      <sz val="10"/>
      <color theme="1"/>
      <name val="Arial Narrow"/>
      <family val="2"/>
    </font>
    <font>
      <b/>
      <sz val="11"/>
      <color theme="1"/>
      <name val="Arial Narrow"/>
      <family val="2"/>
    </font>
    <font>
      <b/>
      <sz val="9"/>
      <color theme="1"/>
      <name val="Tahoma"/>
      <family val="2"/>
    </font>
    <font>
      <b/>
      <sz val="8"/>
      <color rgb="FF371950"/>
      <name val="Arial Narrow"/>
      <family val="2"/>
    </font>
    <font>
      <b/>
      <sz val="12"/>
      <color theme="1"/>
      <name val="Arial Narrow"/>
      <family val="2"/>
    </font>
    <font>
      <b/>
      <sz val="20"/>
      <color rgb="FF00501E"/>
      <name val="Tahoma"/>
      <family val="2"/>
    </font>
    <font>
      <b/>
      <sz val="12"/>
      <color theme="1"/>
      <name val="Tahoma"/>
      <family val="2"/>
    </font>
    <font>
      <b/>
      <sz val="10"/>
      <color rgb="FF0070C0"/>
      <name val="Arial Narrow"/>
      <family val="2"/>
    </font>
    <font>
      <sz val="10"/>
      <color rgb="FF0070C0"/>
      <name val="Arial Narrow"/>
      <family val="2"/>
    </font>
    <font>
      <b/>
      <sz val="10"/>
      <color rgb="FFC00000"/>
      <name val="Arial Narrow"/>
      <family val="2"/>
    </font>
    <font>
      <b/>
      <sz val="12"/>
      <color rgb="FF0070C0"/>
      <name val="Tahoma"/>
      <family val="2"/>
    </font>
    <font>
      <b/>
      <sz val="12"/>
      <color rgb="FFC00000"/>
      <name val="Tahoma"/>
      <family val="2"/>
    </font>
    <font>
      <b/>
      <sz val="10"/>
      <color rgb="FF00B050"/>
      <name val="Arial Narrow"/>
      <family val="2"/>
    </font>
    <font>
      <b/>
      <sz val="10"/>
      <color rgb="FFFFFF00"/>
      <name val="Arial Narrow"/>
      <family val="2"/>
    </font>
    <font>
      <sz val="12"/>
      <color theme="1"/>
      <name val="Arial"/>
      <family val="2"/>
    </font>
    <font>
      <b/>
      <sz val="12"/>
      <color rgb="FF00B050"/>
      <name val="Tahoma"/>
      <family val="2"/>
    </font>
    <font>
      <b/>
      <sz val="36"/>
      <color rgb="FF00501E"/>
      <name val="Tahoma"/>
      <family val="2"/>
    </font>
    <font>
      <b/>
      <sz val="8"/>
      <color theme="0"/>
      <name val="Arial Narrow"/>
      <family val="2"/>
    </font>
    <font>
      <b/>
      <i/>
      <sz val="20"/>
      <color rgb="FF00501E"/>
      <name val="Tahoma"/>
      <family val="2"/>
    </font>
    <font>
      <b/>
      <sz val="14"/>
      <color theme="1"/>
      <name val="Arial"/>
      <family val="2"/>
    </font>
    <font>
      <b/>
      <sz val="11"/>
      <color theme="1"/>
      <name val="Arial"/>
      <family val="2"/>
    </font>
    <font>
      <sz val="10"/>
      <color theme="9" tint="-0.499984740745262"/>
      <name val="Cambria"/>
      <family val="1"/>
    </font>
    <font>
      <sz val="10"/>
      <color rgb="FF4B1964"/>
      <name val="Cambria"/>
      <family val="1"/>
    </font>
    <font>
      <b/>
      <i/>
      <sz val="20"/>
      <color rgb="FF371950"/>
      <name val="Tahoma"/>
      <family val="2"/>
    </font>
    <font>
      <b/>
      <i/>
      <sz val="10"/>
      <color theme="1"/>
      <name val="Arial Narrow"/>
      <family val="2"/>
    </font>
    <font>
      <sz val="20"/>
      <color rgb="FF870000"/>
      <name val="Arial Black"/>
      <family val="2"/>
    </font>
    <font>
      <sz val="10"/>
      <color theme="9" tint="-0.499984740745262"/>
      <name val="Arial Narrow"/>
      <family val="2"/>
    </font>
    <font>
      <sz val="12"/>
      <color rgb="FF870000"/>
      <name val="Arial Black"/>
      <family val="2"/>
    </font>
    <font>
      <sz val="10"/>
      <color rgb="FF870000"/>
      <name val="Arial Narrow"/>
      <family val="2"/>
    </font>
    <font>
      <sz val="12"/>
      <color rgb="FF00501E"/>
      <name val="Arial Black"/>
      <family val="2"/>
    </font>
    <font>
      <sz val="10"/>
      <color rgb="FF00501E"/>
      <name val="Arial Narrow"/>
      <family val="2"/>
    </font>
    <font>
      <sz val="20"/>
      <color rgb="FF00501E"/>
      <name val="Arial Black"/>
      <family val="2"/>
    </font>
    <font>
      <b/>
      <sz val="16"/>
      <color theme="1" tint="0.499984740745262"/>
      <name val="Tahoma"/>
      <family val="2"/>
    </font>
    <font>
      <b/>
      <sz val="12"/>
      <color theme="1" tint="0.499984740745262"/>
      <name val="Franklin Gothic Heavy"/>
      <family val="2"/>
    </font>
    <font>
      <b/>
      <sz val="20"/>
      <color rgb="FF2F528F"/>
      <name val="Tahoma"/>
      <family val="2"/>
    </font>
    <font>
      <b/>
      <sz val="20"/>
      <color rgb="FFC00000"/>
      <name val="Tahoma"/>
      <family val="2"/>
    </font>
    <font>
      <b/>
      <sz val="9"/>
      <color rgb="FF0070C0"/>
      <name val="Arial Narrow"/>
      <family val="2"/>
    </font>
    <font>
      <sz val="10"/>
      <color rgb="FFF0F5EB"/>
      <name val="Arial Narrow"/>
      <family val="2"/>
    </font>
    <font>
      <sz val="14"/>
      <color rgb="FFF0F5EB"/>
      <name val="Arial Narrow"/>
      <family val="2"/>
    </font>
    <font>
      <b/>
      <sz val="10"/>
      <color rgb="FFF0F5EB"/>
      <name val="Arial Black"/>
      <family val="2"/>
    </font>
    <font>
      <sz val="9"/>
      <color rgb="FFF0F5EB"/>
      <name val="Arial Narrow"/>
      <family val="2"/>
    </font>
    <font>
      <sz val="10"/>
      <color rgb="FFF0F5EB"/>
      <name val="Arial Black"/>
      <family val="2"/>
    </font>
    <font>
      <sz val="24"/>
      <color rgb="FFF0F5EB"/>
      <name val="Arial Narrow"/>
      <family val="2"/>
    </font>
    <font>
      <b/>
      <sz val="24"/>
      <color theme="8" tint="0.79998168889431442"/>
      <name val="Arial Black"/>
      <family val="2"/>
    </font>
    <font>
      <sz val="24"/>
      <color rgb="FFFFCCCC"/>
      <name val="Arial Black"/>
      <family val="2"/>
    </font>
    <font>
      <b/>
      <sz val="54"/>
      <color rgb="FFD2FFE6"/>
      <name val="Tahoma"/>
      <family val="2"/>
    </font>
    <font>
      <sz val="14"/>
      <color theme="8" tint="0.39997558519241921"/>
      <name val="Arial Narrow"/>
      <family val="1"/>
      <charset val="2"/>
    </font>
    <font>
      <sz val="14"/>
      <color theme="8" tint="0.39997558519241921"/>
      <name val="Wingdings 3"/>
      <family val="1"/>
      <charset val="2"/>
    </font>
    <font>
      <sz val="14"/>
      <color theme="8" tint="0.39997558519241921"/>
      <name val="Arial Narrow"/>
      <family val="2"/>
    </font>
    <font>
      <sz val="14"/>
      <color theme="8" tint="0.39997558519241921"/>
      <name val="Arial Black"/>
      <family val="2"/>
    </font>
    <font>
      <sz val="14"/>
      <color rgb="FFFF9999"/>
      <name val="Arial Narrow"/>
      <family val="2"/>
      <charset val="2"/>
    </font>
    <font>
      <sz val="14"/>
      <color rgb="FFFF9999"/>
      <name val="Arial Black"/>
      <family val="2"/>
    </font>
    <font>
      <sz val="14"/>
      <color rgb="FFFF9999"/>
      <name val="Wingdings 3"/>
      <family val="1"/>
      <charset val="2"/>
    </font>
    <font>
      <sz val="16"/>
      <color rgb="FFD7B9FF"/>
      <name val="Arial Black"/>
      <family val="2"/>
    </font>
    <font>
      <sz val="14"/>
      <color rgb="FF00B0F0"/>
      <name val="Wingdings"/>
      <charset val="2"/>
    </font>
    <font>
      <sz val="14"/>
      <color rgb="FFFF0000"/>
      <name val="Wingdings"/>
      <charset val="2"/>
    </font>
    <font>
      <sz val="17"/>
      <color rgb="FFF0CDFF"/>
      <name val="Arial Black"/>
      <family val="2"/>
    </font>
    <font>
      <sz val="17"/>
      <color rgb="FFFFCCCC"/>
      <name val="Arial Black"/>
      <family val="2"/>
    </font>
    <font>
      <sz val="30"/>
      <color rgb="FFFF3C3C"/>
      <name val="Arial Black"/>
      <family val="2"/>
    </font>
    <font>
      <b/>
      <sz val="21"/>
      <color rgb="FF00501E"/>
      <name val="Tahoma"/>
      <family val="2"/>
    </font>
    <font>
      <sz val="108"/>
      <color rgb="FF00B050"/>
      <name val="Wingdings 2"/>
      <family val="1"/>
      <charset val="2"/>
    </font>
    <font>
      <sz val="108"/>
      <color rgb="FFC00000"/>
      <name val="Wingdings 2"/>
      <family val="1"/>
      <charset val="2"/>
    </font>
    <font>
      <b/>
      <sz val="10"/>
      <color theme="8" tint="0.39997558519241921"/>
      <name val="Arial Black"/>
      <family val="2"/>
    </font>
    <font>
      <sz val="10"/>
      <color rgb="FFFF9999"/>
      <name val="Arial Black"/>
      <family val="2"/>
    </font>
    <font>
      <b/>
      <sz val="11"/>
      <color rgb="FF730000"/>
      <name val="Tahoma"/>
      <family val="2"/>
    </font>
    <font>
      <b/>
      <sz val="11"/>
      <color rgb="FF002060"/>
      <name val="Tahoma"/>
      <family val="2"/>
    </font>
    <font>
      <b/>
      <sz val="9"/>
      <color rgb="FFC00000"/>
      <name val="Arial Narrow"/>
      <family val="2"/>
    </font>
    <font>
      <sz val="8"/>
      <color theme="1"/>
      <name val="Arial Black"/>
      <family val="2"/>
    </font>
    <font>
      <sz val="8"/>
      <color theme="1" tint="0.34998626667073579"/>
      <name val="Arial Black"/>
      <family val="2"/>
    </font>
    <font>
      <b/>
      <sz val="13"/>
      <color rgb="FFF0F5EB"/>
      <name val="Arial Narrow"/>
      <family val="2"/>
    </font>
    <font>
      <sz val="72"/>
      <color rgb="FF0070C0"/>
      <name val="Webdings"/>
      <family val="1"/>
      <charset val="2"/>
    </font>
    <font>
      <sz val="72"/>
      <color rgb="FFFF3C3C"/>
      <name val="Webdings"/>
      <family val="1"/>
      <charset val="2"/>
    </font>
    <font>
      <b/>
      <sz val="12"/>
      <color theme="1"/>
      <name val="Arial"/>
      <family val="2"/>
    </font>
    <font>
      <sz val="11"/>
      <color theme="1"/>
      <name val="Arial"/>
      <family val="2"/>
    </font>
    <font>
      <sz val="10"/>
      <color rgb="FF000000"/>
      <name val="Tahoma"/>
      <family val="2"/>
    </font>
    <font>
      <b/>
      <sz val="10"/>
      <color theme="7" tint="-0.499984740745262"/>
      <name val="Arial Narrow"/>
      <family val="2"/>
    </font>
    <font>
      <b/>
      <sz val="9"/>
      <color theme="7" tint="-0.499984740745262"/>
      <name val="Arial Narrow"/>
      <family val="2"/>
    </font>
    <font>
      <sz val="10"/>
      <color theme="7" tint="-0.499984740745262"/>
      <name val="Cambria"/>
      <family val="1"/>
    </font>
    <font>
      <sz val="9"/>
      <color theme="1"/>
      <name val="Arial Black"/>
      <family val="2"/>
    </font>
    <font>
      <sz val="10"/>
      <color rgb="FF00B050"/>
      <name val="Arial Narrow"/>
      <family val="2"/>
    </font>
    <font>
      <b/>
      <sz val="28"/>
      <color rgb="FFC00000"/>
      <name val="Arial"/>
      <family val="2"/>
    </font>
    <font>
      <b/>
      <sz val="12"/>
      <color rgb="FFC00000"/>
      <name val="Arial Black"/>
      <family val="2"/>
    </font>
    <font>
      <b/>
      <sz val="36"/>
      <color rgb="FF4B1E64"/>
      <name val="Tahoma"/>
      <family val="2"/>
    </font>
    <font>
      <sz val="11"/>
      <color rgb="FF9C0006"/>
      <name val="Calibri"/>
      <family val="2"/>
      <scheme val="minor"/>
    </font>
    <font>
      <b/>
      <sz val="20"/>
      <color rgb="FF5AFFA0"/>
      <name val="Tahoma"/>
      <family val="2"/>
    </font>
    <font>
      <b/>
      <sz val="24"/>
      <color rgb="FF00501E"/>
      <name val="Tahoma"/>
      <family val="2"/>
    </font>
    <font>
      <sz val="12"/>
      <color rgb="FF0070C0"/>
      <name val="Arial"/>
      <family val="2"/>
    </font>
    <font>
      <sz val="15"/>
      <color rgb="FF0070C0"/>
      <name val="Tahoma"/>
      <family val="2"/>
    </font>
    <font>
      <sz val="15"/>
      <color rgb="FFC00000"/>
      <name val="Tahoma"/>
      <family val="2"/>
    </font>
    <font>
      <sz val="12"/>
      <color theme="1"/>
      <name val="Tahoma"/>
      <family val="2"/>
    </font>
    <font>
      <b/>
      <sz val="20"/>
      <color theme="1"/>
      <name val="Arial"/>
      <family val="2"/>
    </font>
    <font>
      <sz val="14"/>
      <color rgb="FF9C0006"/>
      <name val="Tahoma"/>
      <family val="2"/>
    </font>
    <font>
      <sz val="14"/>
      <color theme="8" tint="-0.499984740745262"/>
      <name val="Tahoma"/>
      <family val="2"/>
    </font>
    <font>
      <sz val="14"/>
      <color rgb="FF9C0000"/>
      <name val="Tahoma"/>
      <family val="2"/>
    </font>
    <font>
      <sz val="14"/>
      <color rgb="FF002060"/>
      <name val="Tahoma"/>
      <family val="2"/>
    </font>
    <font>
      <sz val="12"/>
      <color rgb="FF000000"/>
      <name val="Tahoma"/>
      <family val="2"/>
    </font>
    <font>
      <b/>
      <i/>
      <sz val="28"/>
      <color rgb="FFC00000"/>
      <name val="Arial"/>
      <family val="2"/>
    </font>
    <font>
      <b/>
      <i/>
      <sz val="28"/>
      <color rgb="FF7030A0"/>
      <name val="Arial"/>
      <family val="2"/>
    </font>
    <font>
      <sz val="14"/>
      <color theme="1"/>
      <name val="Arial"/>
      <family val="2"/>
    </font>
    <font>
      <b/>
      <sz val="11.5"/>
      <color rgb="FF5A1E7D"/>
      <name val="Arial"/>
      <family val="2"/>
    </font>
    <font>
      <sz val="12"/>
      <color rgb="FF37144B"/>
      <name val="Arial Narrow"/>
      <family val="2"/>
    </font>
    <font>
      <sz val="10"/>
      <color theme="9" tint="-0.499984740745262"/>
      <name val="Arial"/>
      <family val="2"/>
    </font>
    <font>
      <sz val="14"/>
      <color theme="9" tint="-0.499984740745262"/>
      <name val="Arial"/>
      <family val="2"/>
    </font>
    <font>
      <sz val="11"/>
      <color theme="1"/>
      <name val="Tahoma"/>
      <family val="2"/>
    </font>
    <font>
      <sz val="8"/>
      <color rgb="FF007846"/>
      <name val="Arial"/>
      <family val="2"/>
    </font>
    <font>
      <sz val="14"/>
      <color rgb="FF0070C0"/>
      <name val="Tahoma"/>
      <family val="2"/>
    </font>
    <font>
      <sz val="14"/>
      <color rgb="FFC00000"/>
      <name val="Tahoma"/>
      <family val="2"/>
    </font>
    <font>
      <sz val="9"/>
      <color theme="1"/>
      <name val="Calibri"/>
      <family val="2"/>
    </font>
    <font>
      <b/>
      <sz val="16"/>
      <color theme="8" tint="0.39997558519241921"/>
      <name val="Tahoma"/>
      <family val="2"/>
    </font>
    <font>
      <b/>
      <sz val="16"/>
      <color rgb="FFFF9999"/>
      <name val="Tahoma"/>
      <family val="2"/>
    </font>
    <font>
      <b/>
      <sz val="10"/>
      <color rgb="FFFF9999"/>
      <name val="Arial Narrow"/>
      <family val="2"/>
    </font>
    <font>
      <sz val="30"/>
      <color rgb="FFFFFF00"/>
      <name val="Arial Black"/>
      <family val="2"/>
    </font>
    <font>
      <b/>
      <sz val="24"/>
      <color rgb="FF4B1E64"/>
      <name val="Arial Narrow"/>
      <family val="2"/>
    </font>
    <font>
      <b/>
      <sz val="24"/>
      <color theme="9" tint="-0.499984740745262"/>
      <name val="Arial Narrow"/>
      <family val="2"/>
    </font>
    <font>
      <b/>
      <sz val="24"/>
      <color rgb="FFFFFF00"/>
      <name val="Arial Narrow"/>
      <family val="2"/>
    </font>
    <font>
      <b/>
      <sz val="24"/>
      <color theme="0"/>
      <name val="Arial Narrow"/>
      <family val="2"/>
    </font>
    <font>
      <b/>
      <i/>
      <sz val="24"/>
      <color theme="0"/>
      <name val="Arial Narrow"/>
      <family val="2"/>
    </font>
    <font>
      <b/>
      <sz val="12"/>
      <color rgb="FFC00000"/>
      <name val="Arial Narrow"/>
      <family val="2"/>
    </font>
    <font>
      <b/>
      <sz val="18"/>
      <color rgb="FF3C1E5A"/>
      <name val="Arial Black"/>
      <family val="2"/>
    </font>
    <font>
      <b/>
      <sz val="28"/>
      <color rgb="FF730000"/>
      <name val="Arial Black"/>
      <family val="2"/>
    </font>
    <font>
      <i/>
      <sz val="12"/>
      <color theme="1"/>
      <name val="Arial"/>
      <family val="2"/>
    </font>
    <font>
      <sz val="10.5"/>
      <color rgb="FF000000"/>
      <name val="Tahoma"/>
      <family val="2"/>
    </font>
    <font>
      <sz val="12"/>
      <color theme="9" tint="-0.499984740745262"/>
      <name val="Tahoma"/>
      <family val="2"/>
    </font>
    <font>
      <sz val="10"/>
      <color theme="1"/>
      <name val="Tahoma"/>
      <family val="2"/>
    </font>
    <font>
      <b/>
      <sz val="20"/>
      <color theme="1" tint="0.499984740745262"/>
      <name val="Tahoma"/>
      <family val="2"/>
    </font>
    <font>
      <b/>
      <sz val="20"/>
      <color rgb="FFA0FFCD"/>
      <name val="Tahoma"/>
      <family val="2"/>
    </font>
    <font>
      <b/>
      <sz val="20"/>
      <color rgb="FF004623"/>
      <name val="Tahoma"/>
      <family val="2"/>
    </font>
    <font>
      <sz val="30"/>
      <color rgb="FFFF99FF"/>
      <name val="Arial Black"/>
      <family val="2"/>
    </font>
    <font>
      <sz val="8"/>
      <name val="Calibri"/>
      <family val="2"/>
      <scheme val="minor"/>
    </font>
    <font>
      <sz val="10"/>
      <color rgb="FF009641"/>
      <name val="Arial Narrow"/>
      <family val="2"/>
    </font>
    <font>
      <b/>
      <sz val="20"/>
      <color theme="0"/>
      <name val="Wingdings 3"/>
      <family val="1"/>
      <charset val="2"/>
    </font>
    <font>
      <sz val="10"/>
      <color theme="0"/>
      <name val="Wingdings 3"/>
      <family val="1"/>
      <charset val="2"/>
    </font>
    <font>
      <sz val="17"/>
      <color theme="0"/>
      <name val="Wingdings 3"/>
      <family val="1"/>
      <charset val="2"/>
    </font>
    <font>
      <b/>
      <sz val="54"/>
      <color rgb="FFA0FFCD"/>
      <name val="Tahoma"/>
      <family val="2"/>
    </font>
    <font>
      <b/>
      <sz val="10"/>
      <color rgb="FF004623"/>
      <name val="Arial Black"/>
      <family val="2"/>
    </font>
    <font>
      <b/>
      <sz val="20"/>
      <color rgb="FFEBDCFF"/>
      <name val="Tahoma"/>
      <family val="2"/>
    </font>
    <font>
      <b/>
      <sz val="20"/>
      <color rgb="FFC8FFE1"/>
      <name val="Tahoma"/>
      <family val="2"/>
    </font>
    <font>
      <b/>
      <i/>
      <sz val="20"/>
      <color rgb="FFEBDCFF"/>
      <name val="Tahoma"/>
      <family val="2"/>
    </font>
    <font>
      <u/>
      <sz val="11"/>
      <color theme="10"/>
      <name val="Calibri"/>
      <family val="2"/>
      <scheme val="minor"/>
    </font>
    <font>
      <b/>
      <sz val="10"/>
      <color theme="1" tint="0.499984740745262"/>
      <name val="Arial Narrow"/>
      <family val="2"/>
    </font>
    <font>
      <sz val="11"/>
      <color theme="0"/>
      <name val="Wingdings 3"/>
      <family val="1"/>
      <charset val="2"/>
    </font>
    <font>
      <sz val="14"/>
      <color theme="1"/>
      <name val="Tahoma"/>
      <family val="2"/>
    </font>
    <font>
      <sz val="11"/>
      <color rgb="FF000000"/>
      <name val="Tahoma"/>
      <family val="2"/>
    </font>
    <font>
      <b/>
      <sz val="14"/>
      <color rgb="FF009641"/>
      <name val="Tahoma"/>
      <family val="2"/>
    </font>
    <font>
      <b/>
      <sz val="14"/>
      <color rgb="FF7030A0"/>
      <name val="Tahoma"/>
      <family val="2"/>
    </font>
    <font>
      <sz val="12"/>
      <color rgb="FF009641"/>
      <name val="Tahoma"/>
      <family val="2"/>
    </font>
    <font>
      <sz val="15"/>
      <color rgb="FFC8FFE1"/>
      <name val="Arial Black"/>
      <family val="2"/>
    </font>
    <font>
      <sz val="15"/>
      <color rgb="FFA0FFCD"/>
      <name val="Arial Black"/>
      <family val="2"/>
    </font>
    <font>
      <sz val="15"/>
      <color rgb="FFE1C8FF"/>
      <name val="Arial Black"/>
      <family val="2"/>
    </font>
    <font>
      <sz val="9"/>
      <color indexed="81"/>
      <name val="Tahoma"/>
      <family val="2"/>
    </font>
    <font>
      <sz val="11"/>
      <color indexed="81"/>
      <name val="Tahoma"/>
      <family val="2"/>
    </font>
    <font>
      <b/>
      <sz val="12"/>
      <color indexed="81"/>
      <name val="Tahoma"/>
      <family val="2"/>
    </font>
    <font>
      <sz val="9"/>
      <color indexed="20"/>
      <name val="Tahoma"/>
      <family val="2"/>
    </font>
    <font>
      <b/>
      <sz val="12"/>
      <color rgb="FF009641"/>
      <name val="Tahoma"/>
      <family val="2"/>
    </font>
    <font>
      <i/>
      <sz val="12"/>
      <color rgb="FF009641"/>
      <name val="Tahoma"/>
      <family val="2"/>
    </font>
    <font>
      <sz val="14"/>
      <color theme="0"/>
      <name val="Wingdings 3"/>
      <family val="1"/>
      <charset val="2"/>
    </font>
    <font>
      <b/>
      <sz val="14.5"/>
      <color rgb="FF00B050"/>
      <name val="Arial Black"/>
      <family val="2"/>
    </font>
    <font>
      <sz val="17"/>
      <color rgb="FFC8FFE1"/>
      <name val="Arial Black"/>
      <family val="2"/>
    </font>
    <font>
      <sz val="22"/>
      <color rgb="FF5AFFA0"/>
      <name val="Arial Black"/>
      <family val="2"/>
    </font>
    <font>
      <b/>
      <i/>
      <sz val="18"/>
      <color rgb="FF371950"/>
      <name val="Tahoma"/>
      <family val="2"/>
    </font>
    <font>
      <sz val="10"/>
      <color theme="1"/>
      <name val="Arial"/>
      <family val="2"/>
    </font>
    <font>
      <sz val="9"/>
      <color theme="1"/>
      <name val="Arial Narrow"/>
      <family val="2"/>
    </font>
    <font>
      <b/>
      <sz val="20"/>
      <color theme="9" tint="-0.499984740745262"/>
      <name val="Tahoma"/>
      <family val="2"/>
    </font>
    <font>
      <b/>
      <sz val="16"/>
      <color rgb="FF00F587"/>
      <name val="Wingdings 3"/>
      <family val="1"/>
      <charset val="2"/>
    </font>
    <font>
      <b/>
      <sz val="22"/>
      <color rgb="FF00501E"/>
      <name val="Tahoma"/>
      <family val="2"/>
    </font>
    <font>
      <b/>
      <sz val="18"/>
      <color rgb="FF5AFFA0"/>
      <name val="Tahoma"/>
      <family val="2"/>
    </font>
    <font>
      <b/>
      <sz val="15"/>
      <color rgb="FF4B1E64"/>
      <name val="Arial Narrow"/>
      <family val="2"/>
    </font>
    <font>
      <b/>
      <sz val="15"/>
      <color theme="9" tint="-0.499984740745262"/>
      <name val="Arial Narrow"/>
      <family val="2"/>
    </font>
    <font>
      <sz val="10.5"/>
      <color theme="1"/>
      <name val="Tahoma"/>
      <family val="2"/>
    </font>
    <font>
      <sz val="10.5"/>
      <color theme="1"/>
      <name val="Arial"/>
      <family val="2"/>
    </font>
    <font>
      <sz val="13"/>
      <color theme="1"/>
      <name val="Arial"/>
      <family val="2"/>
    </font>
    <font>
      <sz val="9"/>
      <color rgb="FFF0CDFF"/>
      <name val="Arial Black"/>
      <family val="2"/>
    </font>
    <font>
      <b/>
      <sz val="9"/>
      <color theme="1"/>
      <name val="Arial"/>
      <family val="2"/>
    </font>
    <font>
      <sz val="9"/>
      <color theme="1"/>
      <name val="Tahoma"/>
      <family val="2"/>
    </font>
    <font>
      <sz val="9"/>
      <color theme="9" tint="-0.499984740745262"/>
      <name val="Arial"/>
      <family val="2"/>
    </font>
    <font>
      <b/>
      <sz val="9"/>
      <color rgb="FFC00000"/>
      <name val="Arial"/>
      <family val="2"/>
    </font>
    <font>
      <sz val="9"/>
      <color rgb="FF870000"/>
      <name val="Arial Narrow"/>
      <family val="2"/>
    </font>
    <font>
      <sz val="9"/>
      <color theme="1"/>
      <name val="Arial"/>
      <family val="2"/>
    </font>
    <font>
      <sz val="9"/>
      <color rgb="FF00501E"/>
      <name val="Arial Narrow"/>
      <family val="2"/>
    </font>
    <font>
      <b/>
      <sz val="9"/>
      <color rgb="FFC00000"/>
      <name val="Tahoma"/>
      <family val="2"/>
    </font>
    <font>
      <b/>
      <sz val="9"/>
      <color rgb="FF00B050"/>
      <name val="Tahoma"/>
      <family val="2"/>
    </font>
    <font>
      <b/>
      <sz val="9"/>
      <color theme="1"/>
      <name val="Arial Narrow"/>
      <family val="2"/>
    </font>
    <font>
      <sz val="9"/>
      <color rgb="FFC00000"/>
      <name val="Arial Narrow"/>
      <family val="2"/>
    </font>
    <font>
      <sz val="9"/>
      <color rgb="FFFF3C3C"/>
      <name val="Webdings"/>
      <family val="1"/>
      <charset val="2"/>
    </font>
    <font>
      <sz val="9"/>
      <color rgb="FF009641"/>
      <name val="Tahoma"/>
      <family val="2"/>
    </font>
    <font>
      <sz val="11.5"/>
      <color theme="1"/>
      <name val="Tahoma"/>
      <family val="2"/>
    </font>
    <font>
      <b/>
      <sz val="11"/>
      <color theme="0"/>
      <name val="Arial"/>
      <family val="2"/>
    </font>
    <font>
      <b/>
      <sz val="11"/>
      <color rgb="FFFFFF00"/>
      <name val="Arial"/>
      <family val="2"/>
    </font>
    <font>
      <sz val="10.5"/>
      <color rgb="FFFF9999"/>
      <name val="Arial"/>
      <family val="2"/>
    </font>
    <font>
      <i/>
      <sz val="10.5"/>
      <color rgb="FFFF9999"/>
      <name val="Arial"/>
      <family val="2"/>
    </font>
    <font>
      <sz val="10.5"/>
      <color rgb="FFFFFF00"/>
      <name val="Arial"/>
      <family val="2"/>
    </font>
    <font>
      <sz val="10.5"/>
      <color rgb="FFFF3C3C"/>
      <name val="Arial"/>
      <family val="2"/>
    </font>
    <font>
      <sz val="8"/>
      <color theme="0"/>
      <name val="Arial"/>
      <family val="2"/>
    </font>
    <font>
      <b/>
      <sz val="10"/>
      <color theme="1"/>
      <name val="Arial"/>
      <family val="2"/>
    </font>
    <font>
      <i/>
      <sz val="10"/>
      <color theme="1"/>
      <name val="Arial"/>
      <family val="2"/>
    </font>
    <font>
      <sz val="11"/>
      <color theme="9" tint="-0.499984740745262"/>
      <name val="Tahoma"/>
      <family val="2"/>
    </font>
    <font>
      <sz val="11"/>
      <color rgb="FF002060"/>
      <name val="Tahoma"/>
      <family val="2"/>
    </font>
    <font>
      <sz val="11"/>
      <color rgb="FF500000"/>
      <name val="Tahoma"/>
      <family val="2"/>
    </font>
    <font>
      <b/>
      <sz val="11.5"/>
      <color theme="1"/>
      <name val="Arial"/>
      <family val="2"/>
    </font>
    <font>
      <b/>
      <sz val="36"/>
      <color rgb="FFCCFFCC"/>
      <name val="Arial Black"/>
      <family val="2"/>
    </font>
    <font>
      <b/>
      <sz val="20"/>
      <color rgb="FFE1FFEB"/>
      <name val="Tahoma"/>
      <family val="2"/>
    </font>
    <font>
      <b/>
      <sz val="20"/>
      <color rgb="FFCCFFCC"/>
      <name val="Tahoma"/>
      <family val="2"/>
    </font>
    <font>
      <b/>
      <sz val="14"/>
      <color rgb="FF000000"/>
      <name val="Tahoma"/>
      <family val="2"/>
    </font>
    <font>
      <b/>
      <sz val="12"/>
      <color rgb="FF7030A0"/>
      <name val="Tahoma"/>
      <family val="2"/>
    </font>
    <font>
      <sz val="12"/>
      <color theme="1" tint="0.14999847407452621"/>
      <name val="Tahoma"/>
      <family val="2"/>
    </font>
    <font>
      <b/>
      <sz val="24"/>
      <color theme="9" tint="-0.499984740745262"/>
      <name val="Tahoma"/>
      <family val="2"/>
    </font>
    <font>
      <b/>
      <sz val="24"/>
      <color rgb="FF00823C"/>
      <name val="Tahoma"/>
      <family val="2"/>
    </font>
    <font>
      <b/>
      <sz val="24"/>
      <color rgb="FF7030A0"/>
      <name val="Tahoma"/>
      <family val="2"/>
    </font>
    <font>
      <sz val="14"/>
      <color rgb="FFB905FF"/>
      <name val="Wingdings 3"/>
      <family val="1"/>
      <charset val="2"/>
    </font>
    <font>
      <b/>
      <sz val="12"/>
      <color rgb="FF4B2364"/>
      <name val="Tahoma"/>
      <family val="2"/>
    </font>
    <font>
      <sz val="14"/>
      <color theme="10"/>
      <name val="Tahoma"/>
      <family val="2"/>
    </font>
    <font>
      <sz val="14"/>
      <color rgb="FF4B2364"/>
      <name val="Tahoma"/>
      <family val="2"/>
    </font>
    <font>
      <b/>
      <sz val="12"/>
      <color rgb="FF00823C"/>
      <name val="Tahoma"/>
      <family val="2"/>
    </font>
    <font>
      <b/>
      <i/>
      <sz val="10"/>
      <color rgb="FF00823C"/>
      <name val="Arial Narrow"/>
      <family val="2"/>
    </font>
    <font>
      <sz val="12"/>
      <color rgb="FF0070C0"/>
      <name val="Tahoma"/>
      <family val="2"/>
    </font>
    <font>
      <sz val="12"/>
      <color rgb="FFC00000"/>
      <name val="Tahoma"/>
      <family val="2"/>
    </font>
    <font>
      <b/>
      <sz val="28"/>
      <color rgb="FFE1FFEB"/>
      <name val="Tahoma"/>
      <family val="2"/>
    </font>
    <font>
      <sz val="12"/>
      <color theme="1"/>
      <name val="Cambria"/>
      <family val="1"/>
    </font>
    <font>
      <sz val="11"/>
      <color theme="1"/>
      <name val="Cambria"/>
      <family val="1"/>
    </font>
    <font>
      <b/>
      <sz val="12"/>
      <color theme="1"/>
      <name val="Cambria"/>
      <family val="1"/>
    </font>
    <font>
      <b/>
      <sz val="10"/>
      <color theme="1"/>
      <name val="Tahoma"/>
      <family val="2"/>
    </font>
    <font>
      <b/>
      <sz val="16"/>
      <color theme="1"/>
      <name val="Tahoma"/>
      <family val="2"/>
    </font>
    <font>
      <b/>
      <sz val="18"/>
      <color rgb="FF00823C"/>
      <name val="Tahoma"/>
      <family val="2"/>
    </font>
    <font>
      <b/>
      <sz val="22"/>
      <color rgb="FF7030A0"/>
      <name val="Tahoma"/>
      <family val="2"/>
    </font>
    <font>
      <b/>
      <sz val="18"/>
      <color rgb="FF00B050"/>
      <name val="Tahoma"/>
      <family val="2"/>
    </font>
    <font>
      <sz val="10"/>
      <color rgb="FFFF0000"/>
      <name val="Arial Narrow"/>
      <family val="2"/>
    </font>
    <font>
      <b/>
      <sz val="10"/>
      <color rgb="FFFF0000"/>
      <name val="Arial Narrow"/>
      <family val="2"/>
    </font>
    <font>
      <sz val="12"/>
      <color rgb="FF000000"/>
      <name val="Cambria"/>
      <family val="1"/>
    </font>
    <font>
      <sz val="12"/>
      <color rgb="FF000000"/>
      <name val="Arial Narrow"/>
      <family val="2"/>
    </font>
    <font>
      <strike/>
      <sz val="12"/>
      <color rgb="FFB905FF"/>
      <name val="Arial Narrow"/>
      <family val="2"/>
    </font>
    <font>
      <b/>
      <sz val="10"/>
      <color rgb="FFB905FF"/>
      <name val="Arial Narrow"/>
      <family val="2"/>
    </font>
    <font>
      <sz val="10"/>
      <color rgb="FFC00000"/>
      <name val="Arial Narrow"/>
      <family val="2"/>
    </font>
    <font>
      <sz val="8"/>
      <color rgb="FF0070C0"/>
      <name val="Arial Narrow"/>
      <family val="2"/>
    </font>
    <font>
      <sz val="10"/>
      <color rgb="FF000000"/>
      <name val="Arial Narrow"/>
      <family val="2"/>
    </font>
    <font>
      <sz val="9"/>
      <color rgb="FF0070C0"/>
      <name val="Agency FB"/>
      <family val="2"/>
    </font>
    <font>
      <sz val="9"/>
      <color rgb="FFC00000"/>
      <name val="Agency FB"/>
      <family val="2"/>
    </font>
    <font>
      <sz val="9.5"/>
      <color theme="1"/>
      <name val="Arial Narrow"/>
      <family val="2"/>
    </font>
    <font>
      <sz val="8"/>
      <color rgb="FFC00000"/>
      <name val="Arial Narrow"/>
      <family val="2"/>
    </font>
    <font>
      <sz val="8.5"/>
      <color rgb="FF0070C0"/>
      <name val="Arial Narrow"/>
      <family val="2"/>
    </font>
    <font>
      <sz val="8.5"/>
      <color rgb="FFC00000"/>
      <name val="Arial Narrow"/>
      <family val="2"/>
    </font>
    <font>
      <sz val="8"/>
      <color rgb="FF00823C"/>
      <name val="Bahnschrift"/>
      <family val="2"/>
    </font>
    <font>
      <i/>
      <sz val="9"/>
      <color rgb="FF0070C0"/>
      <name val="Arial Narrow"/>
      <family val="2"/>
    </font>
    <font>
      <i/>
      <sz val="9"/>
      <color rgb="FFC00000"/>
      <name val="Arial Narrow"/>
      <family val="2"/>
    </font>
    <font>
      <sz val="9"/>
      <color rgb="FF00823C"/>
      <name val="Agency FB"/>
      <family val="2"/>
    </font>
    <font>
      <b/>
      <sz val="10"/>
      <color rgb="FF00823C"/>
      <name val="Arial Narrow"/>
      <family val="2"/>
    </font>
    <font>
      <b/>
      <sz val="11"/>
      <color theme="1"/>
      <name val="Tahoma"/>
      <family val="2"/>
    </font>
    <font>
      <b/>
      <i/>
      <sz val="12"/>
      <color theme="1"/>
      <name val="Cambria"/>
      <family val="1"/>
    </font>
    <font>
      <i/>
      <sz val="12"/>
      <color theme="1"/>
      <name val="Cambria"/>
      <family val="1"/>
    </font>
    <font>
      <sz val="12"/>
      <color rgb="FF0070C0"/>
      <name val="Cambria"/>
      <family val="1"/>
    </font>
    <font>
      <vertAlign val="superscript"/>
      <sz val="12"/>
      <color rgb="FF0070C0"/>
      <name val="Cambria"/>
      <family val="1"/>
    </font>
    <font>
      <i/>
      <sz val="11"/>
      <color theme="1"/>
      <name val="Cambria"/>
      <family val="1"/>
    </font>
    <font>
      <b/>
      <sz val="11"/>
      <color theme="1"/>
      <name val="Cambria"/>
      <family val="1"/>
    </font>
    <font>
      <sz val="10"/>
      <color rgb="FF7030A0"/>
      <name val="Arial Narrow"/>
      <family val="2"/>
    </font>
    <font>
      <b/>
      <sz val="10"/>
      <color rgb="FF7030A0"/>
      <name val="Arial Narrow"/>
      <family val="2"/>
    </font>
    <font>
      <b/>
      <sz val="12"/>
      <color rgb="FF000000"/>
      <name val="Cambria"/>
      <family val="1"/>
    </font>
    <font>
      <i/>
      <sz val="12"/>
      <color rgb="FF000000"/>
      <name val="Cambria"/>
      <family val="1"/>
    </font>
    <font>
      <b/>
      <sz val="22"/>
      <color rgb="FF009646"/>
      <name val="Tahoma"/>
      <family val="2"/>
    </font>
    <font>
      <sz val="10"/>
      <color rgb="FF009646"/>
      <name val="Arial Black"/>
      <family val="2"/>
    </font>
    <font>
      <sz val="10"/>
      <color rgb="FF7030A0"/>
      <name val="Arial Black"/>
      <family val="2"/>
    </font>
    <font>
      <b/>
      <sz val="9"/>
      <color indexed="81"/>
      <name val="Tahoma"/>
      <family val="2"/>
    </font>
    <font>
      <b/>
      <sz val="11.5"/>
      <color theme="1"/>
      <name val="Tahoma"/>
      <family val="2"/>
    </font>
    <font>
      <sz val="10"/>
      <color rgb="FF009646"/>
      <name val="Arial Narrow"/>
      <family val="2"/>
    </font>
    <font>
      <sz val="20"/>
      <color rgb="FF009646"/>
      <name val="Arial Black"/>
      <family val="2"/>
    </font>
    <font>
      <sz val="12"/>
      <color rgb="FF009646"/>
      <name val="Tahoma"/>
      <family val="2"/>
    </font>
    <font>
      <sz val="12"/>
      <color theme="10"/>
      <name val="Cambria"/>
      <family val="1"/>
    </font>
    <font>
      <sz val="12"/>
      <name val="Cambria"/>
      <family val="1"/>
    </font>
    <font>
      <b/>
      <i/>
      <sz val="11"/>
      <color theme="1"/>
      <name val="Cambria"/>
      <family val="1"/>
    </font>
    <font>
      <sz val="10"/>
      <color theme="1"/>
      <name val="Cambria"/>
      <family val="1"/>
    </font>
    <font>
      <b/>
      <sz val="10"/>
      <color theme="1"/>
      <name val="Cambria"/>
      <family val="1"/>
    </font>
    <font>
      <sz val="10"/>
      <color theme="1"/>
      <name val="Cambria"/>
      <family val="2"/>
    </font>
    <font>
      <b/>
      <sz val="13"/>
      <color theme="1"/>
      <name val="Tahoma"/>
      <family val="2"/>
    </font>
    <font>
      <b/>
      <sz val="13"/>
      <color rgb="FF7030A0"/>
      <name val="Tahoma"/>
      <family val="2"/>
    </font>
    <font>
      <b/>
      <sz val="13"/>
      <color theme="9" tint="-0.249977111117893"/>
      <name val="Tahoma"/>
      <family val="2"/>
    </font>
    <font>
      <sz val="9"/>
      <color theme="0" tint="-0.249977111117893"/>
      <name val="Verdana Pro Black"/>
      <family val="2"/>
    </font>
    <font>
      <sz val="7"/>
      <color rgb="FF009646"/>
      <name val="Webdings"/>
      <family val="1"/>
      <charset val="2"/>
    </font>
    <font>
      <b/>
      <sz val="13"/>
      <color rgb="FF009646"/>
      <name val="Tahoma"/>
      <family val="2"/>
    </font>
    <font>
      <b/>
      <sz val="12"/>
      <color rgb="FFFF99FF"/>
      <name val="Tahoma"/>
      <family val="2"/>
    </font>
    <font>
      <b/>
      <sz val="12"/>
      <color theme="9" tint="0.39997558519241921"/>
      <name val="Tahoma"/>
      <family val="2"/>
    </font>
    <font>
      <b/>
      <sz val="12"/>
      <color rgb="FFFF00FF"/>
      <name val="Tahoma"/>
      <family val="2"/>
    </font>
    <font>
      <b/>
      <sz val="12"/>
      <color theme="0" tint="-0.34998626667073579"/>
      <name val="Tahoma"/>
      <family val="2"/>
    </font>
    <font>
      <b/>
      <sz val="25"/>
      <color theme="1"/>
      <name val="Tahoma"/>
      <family val="2"/>
    </font>
    <font>
      <b/>
      <sz val="25"/>
      <color rgb="FFA5FFC8"/>
      <name val="Tahoma"/>
      <family val="2"/>
    </font>
    <font>
      <b/>
      <sz val="25"/>
      <color rgb="FFFF99FF"/>
      <name val="Tahoma"/>
      <family val="2"/>
    </font>
    <font>
      <b/>
      <sz val="25"/>
      <color theme="0" tint="-0.34998626667073579"/>
      <name val="Tahoma"/>
      <family val="2"/>
    </font>
    <font>
      <b/>
      <sz val="26"/>
      <color rgb="FFE1FFEB"/>
      <name val="Tahoma"/>
      <family val="2"/>
    </font>
    <font>
      <i/>
      <sz val="10"/>
      <color theme="1"/>
      <name val="Cambria"/>
      <family val="1"/>
    </font>
    <font>
      <sz val="10"/>
      <color rgb="FF910000"/>
      <name val="Cambria"/>
      <family val="1"/>
    </font>
    <font>
      <sz val="10"/>
      <color rgb="FF003CB4"/>
      <name val="Cambria"/>
      <family val="1"/>
    </font>
    <font>
      <sz val="14"/>
      <color theme="1"/>
      <name val="Arial Narrow"/>
      <family val="2"/>
    </font>
    <font>
      <sz val="10"/>
      <color rgb="FFFFCCFF"/>
      <name val="Arial Narrow"/>
      <family val="2"/>
    </font>
    <font>
      <sz val="11"/>
      <color rgb="FF009646"/>
      <name val="Arial"/>
      <family val="2"/>
    </font>
    <font>
      <b/>
      <sz val="8"/>
      <color theme="1"/>
      <name val="Arial Narrow"/>
      <family val="2"/>
    </font>
    <font>
      <b/>
      <sz val="22"/>
      <color rgb="FF004B1E"/>
      <name val="Tahoma"/>
      <family val="2"/>
    </font>
    <font>
      <vertAlign val="superscript"/>
      <sz val="9"/>
      <color theme="1"/>
      <name val="Arial Narrow"/>
      <family val="2"/>
    </font>
    <font>
      <sz val="9"/>
      <color theme="10"/>
      <name val="Arial Narrow"/>
      <family val="2"/>
    </font>
    <font>
      <sz val="14"/>
      <name val="Tahoma"/>
      <family val="2"/>
    </font>
    <font>
      <sz val="12"/>
      <name val="Tahoma"/>
      <family val="2"/>
    </font>
    <font>
      <sz val="14"/>
      <color theme="1" tint="0.499984740745262"/>
      <name val="Tahoma"/>
      <family val="2"/>
    </font>
    <font>
      <sz val="11"/>
      <color theme="1" tint="0.499984740745262"/>
      <name val="Tahoma"/>
      <family val="2"/>
    </font>
    <font>
      <sz val="10"/>
      <color rgb="FFFF99FF"/>
      <name val="Arial Narrow"/>
      <family val="2"/>
    </font>
    <font>
      <b/>
      <sz val="16"/>
      <color rgb="FF00B050"/>
      <name val="Tahoma"/>
      <family val="2"/>
    </font>
    <font>
      <b/>
      <sz val="11"/>
      <color rgb="FF009646"/>
      <name val="Arial"/>
      <family val="2"/>
    </font>
    <font>
      <b/>
      <sz val="22"/>
      <color rgb="FF00823C"/>
      <name val="Tahoma"/>
      <family val="2"/>
    </font>
    <font>
      <b/>
      <sz val="13"/>
      <color rgb="FF4B2364"/>
      <name val="Tahoma"/>
      <family val="2"/>
    </font>
    <font>
      <i/>
      <sz val="10.5"/>
      <color theme="1"/>
      <name val="Tahoma"/>
      <family val="2"/>
    </font>
    <font>
      <b/>
      <sz val="22"/>
      <color rgb="FF1E5A28"/>
      <name val="Tahoma"/>
      <family val="2"/>
    </font>
    <font>
      <b/>
      <sz val="22"/>
      <color theme="9" tint="-0.499984740745262"/>
      <name val="Tahoma"/>
      <family val="2"/>
    </font>
    <font>
      <b/>
      <sz val="12"/>
      <color rgb="FF000000"/>
      <name val="Arial Narrow"/>
      <family val="2"/>
    </font>
    <font>
      <b/>
      <sz val="14"/>
      <color theme="1"/>
      <name val="Cambria"/>
      <family val="1"/>
    </font>
    <font>
      <b/>
      <sz val="16"/>
      <color indexed="81"/>
      <name val="Tahoma"/>
      <family val="2"/>
    </font>
    <font>
      <sz val="10"/>
      <color indexed="81"/>
      <name val="Tahoma"/>
      <family val="2"/>
    </font>
    <font>
      <sz val="10"/>
      <color indexed="81"/>
      <name val="Times New Roman"/>
      <family val="1"/>
    </font>
    <font>
      <b/>
      <sz val="16"/>
      <color indexed="55"/>
      <name val="Tahoma"/>
      <family val="2"/>
    </font>
    <font>
      <sz val="9"/>
      <color indexed="55"/>
      <name val="Tahoma"/>
      <family val="2"/>
    </font>
    <font>
      <b/>
      <sz val="16"/>
      <color indexed="20"/>
      <name val="Tahoma"/>
      <family val="2"/>
    </font>
    <font>
      <b/>
      <sz val="22"/>
      <color rgb="FF00B050"/>
      <name val="Tahoma"/>
      <family val="2"/>
    </font>
    <font>
      <sz val="14"/>
      <color theme="1"/>
      <name val="Cambria"/>
      <family val="1"/>
    </font>
    <font>
      <sz val="13"/>
      <color theme="1"/>
      <name val="Cambria"/>
      <family val="1"/>
    </font>
    <font>
      <b/>
      <sz val="12"/>
      <color rgb="FF0070C0"/>
      <name val="Verdana"/>
      <family val="2"/>
    </font>
    <font>
      <b/>
      <sz val="12"/>
      <color rgb="FFC00000"/>
      <name val="Verdana"/>
      <family val="2"/>
    </font>
    <font>
      <sz val="12"/>
      <color rgb="FFC00000"/>
      <name val="Cambria"/>
      <family val="1"/>
    </font>
    <font>
      <sz val="13"/>
      <color theme="1"/>
      <name val="Cambria"/>
      <family val="2"/>
    </font>
    <font>
      <b/>
      <sz val="13"/>
      <color theme="1"/>
      <name val="Arial"/>
      <family val="2"/>
    </font>
    <font>
      <i/>
      <sz val="13"/>
      <color theme="1"/>
      <name val="Cambria"/>
      <family val="1"/>
    </font>
    <font>
      <b/>
      <sz val="13"/>
      <color theme="1"/>
      <name val="Cambria"/>
      <family val="1"/>
    </font>
    <font>
      <b/>
      <sz val="12"/>
      <color rgb="FF002060"/>
      <name val="Verdana"/>
      <family val="2"/>
    </font>
    <font>
      <b/>
      <sz val="12"/>
      <color rgb="FF820000"/>
      <name val="Verdana"/>
      <family val="2"/>
    </font>
    <font>
      <b/>
      <sz val="20"/>
      <color rgb="FFFFFF00"/>
      <name val="Verdana"/>
      <family val="2"/>
    </font>
    <font>
      <b/>
      <sz val="20"/>
      <color rgb="FFC8FFDC"/>
      <name val="Verdana"/>
      <family val="2"/>
    </font>
    <font>
      <b/>
      <sz val="12"/>
      <name val="Cambria"/>
      <family val="1"/>
    </font>
    <font>
      <sz val="11"/>
      <color rgb="FF000000"/>
      <name val="Cambria"/>
      <family val="1"/>
    </font>
    <font>
      <b/>
      <u/>
      <sz val="11"/>
      <color theme="1"/>
      <name val="Cambria"/>
      <family val="1"/>
    </font>
    <font>
      <b/>
      <sz val="18"/>
      <color rgb="FF00501E"/>
      <name val="Tahoma"/>
      <family val="2"/>
    </font>
    <font>
      <sz val="10"/>
      <color rgb="FFFF66FF"/>
      <name val="Arial Narrow"/>
      <family val="2"/>
    </font>
    <font>
      <b/>
      <sz val="16"/>
      <color rgb="FFFF66FF"/>
      <name val="Wingdings 3"/>
      <family val="1"/>
      <charset val="2"/>
    </font>
    <font>
      <b/>
      <sz val="16"/>
      <color rgb="FF00823C"/>
      <name val="Wingdings 3"/>
      <family val="1"/>
      <charset val="2"/>
    </font>
    <font>
      <sz val="10"/>
      <color rgb="FF00823C"/>
      <name val="Arial Narrow"/>
      <family val="2"/>
    </font>
    <font>
      <b/>
      <sz val="22"/>
      <color rgb="FFFFCCFF"/>
      <name val="Tahoma"/>
      <family val="2"/>
    </font>
    <font>
      <sz val="12"/>
      <color rgb="FF1E5A28"/>
      <name val="Cambria"/>
      <family val="1"/>
    </font>
    <font>
      <sz val="12"/>
      <color rgb="FF780091"/>
      <name val="Cambria"/>
      <family val="1"/>
    </font>
    <font>
      <sz val="12"/>
      <color rgb="FF780091"/>
      <name val="Verdana Pro Black"/>
      <family val="2"/>
    </font>
    <font>
      <sz val="13"/>
      <color theme="1"/>
      <name val="Tahoma"/>
      <family val="2"/>
    </font>
    <font>
      <sz val="13"/>
      <color rgb="FF780091"/>
      <name val="Tahoma"/>
      <family val="2"/>
    </font>
    <font>
      <b/>
      <sz val="12"/>
      <color theme="10"/>
      <name val="Cambria"/>
      <family val="1"/>
    </font>
    <font>
      <i/>
      <sz val="12"/>
      <name val="Cambria"/>
      <family val="1"/>
    </font>
    <font>
      <sz val="11"/>
      <color rgb="FF009646"/>
      <name val="Arial Narrow"/>
      <family val="2"/>
    </font>
    <font>
      <b/>
      <sz val="16"/>
      <color rgb="FF1E5A28"/>
      <name val="Tahoma"/>
      <family val="2"/>
    </font>
    <font>
      <b/>
      <sz val="11"/>
      <color rgb="FF1E5A28"/>
      <name val="Tahoma"/>
      <family val="2"/>
    </font>
    <font>
      <sz val="10"/>
      <color rgb="FF0070C0"/>
      <name val="Arial Black"/>
      <family val="2"/>
    </font>
    <font>
      <sz val="10"/>
      <color rgb="FFC00000"/>
      <name val="Arial Black"/>
      <family val="2"/>
    </font>
    <font>
      <b/>
      <sz val="10"/>
      <color rgb="FF780091"/>
      <name val="Arial Narrow"/>
      <family val="2"/>
    </font>
    <font>
      <b/>
      <sz val="15"/>
      <color theme="1"/>
      <name val="Tahoma"/>
      <family val="2"/>
    </font>
    <font>
      <b/>
      <sz val="14"/>
      <color rgb="FF002060"/>
      <name val="Tahoma"/>
      <family val="2"/>
    </font>
    <font>
      <b/>
      <sz val="14"/>
      <color rgb="FF730000"/>
      <name val="Tahoma"/>
      <family val="2"/>
    </font>
    <font>
      <sz val="12.5"/>
      <color theme="1"/>
      <name val="Cambria"/>
      <family val="1"/>
    </font>
    <font>
      <b/>
      <sz val="11"/>
      <color rgb="FF5A2882"/>
      <name val="Tahoma"/>
      <family val="2"/>
    </font>
    <font>
      <sz val="11.5"/>
      <color theme="1"/>
      <name val="Arial"/>
      <family val="2"/>
    </font>
    <font>
      <b/>
      <sz val="10"/>
      <color indexed="81"/>
      <name val="Tahoma"/>
      <family val="2"/>
    </font>
    <font>
      <b/>
      <i/>
      <sz val="9"/>
      <color indexed="81"/>
      <name val="Tahoma"/>
      <family val="2"/>
    </font>
    <font>
      <sz val="10"/>
      <color rgb="FF780091"/>
      <name val="Wingdings 3"/>
      <family val="1"/>
      <charset val="2"/>
    </font>
    <font>
      <sz val="10"/>
      <color rgb="FF00B0F0"/>
      <name val="Arial Black"/>
      <family val="2"/>
    </font>
    <font>
      <sz val="10"/>
      <color theme="5" tint="0.39997558519241921"/>
      <name val="Arial Black"/>
      <family val="2"/>
    </font>
    <font>
      <sz val="16"/>
      <color rgb="FFFFCCCC"/>
      <name val="Tahoma"/>
      <family val="2"/>
    </font>
    <font>
      <strike/>
      <sz val="10"/>
      <color rgb="FF00B050"/>
      <name val="Arial Narrow"/>
      <family val="2"/>
    </font>
    <font>
      <b/>
      <strike/>
      <sz val="10"/>
      <color rgb="FF00B050"/>
      <name val="Arial Narrow"/>
      <family val="2"/>
    </font>
    <font>
      <b/>
      <sz val="11.5"/>
      <color rgb="FF002060"/>
      <name val="Verdana"/>
      <family val="2"/>
    </font>
    <font>
      <b/>
      <sz val="11.5"/>
      <color rgb="FF820000"/>
      <name val="Verdana"/>
      <family val="2"/>
    </font>
    <font>
      <b/>
      <i/>
      <sz val="12.5"/>
      <color theme="1"/>
      <name val="Cambria"/>
      <family val="1"/>
    </font>
    <font>
      <b/>
      <sz val="14"/>
      <color rgb="FF1E5A28"/>
      <name val="Tahoma"/>
      <family val="2"/>
    </font>
    <font>
      <sz val="14"/>
      <color rgb="FF1E5A28"/>
      <name val="Tahoma"/>
      <family val="2"/>
    </font>
    <font>
      <sz val="10"/>
      <color rgb="FF1E5A28"/>
      <name val="Arial Narrow"/>
      <family val="2"/>
    </font>
    <font>
      <b/>
      <sz val="14"/>
      <color rgb="FF780091"/>
      <name val="Tahoma"/>
      <family val="2"/>
    </font>
    <font>
      <sz val="13"/>
      <color rgb="FF780091"/>
      <name val="Arial"/>
      <family val="2"/>
    </font>
    <font>
      <b/>
      <i/>
      <sz val="16"/>
      <color theme="1"/>
      <name val="Tahoma"/>
      <family val="2"/>
    </font>
    <font>
      <b/>
      <sz val="14"/>
      <color theme="1"/>
      <name val="Arial Narrow"/>
      <family val="2"/>
    </font>
    <font>
      <b/>
      <sz val="13.5"/>
      <color theme="1"/>
      <name val="Arial Narrow"/>
      <family val="2"/>
    </font>
    <font>
      <b/>
      <sz val="14"/>
      <color rgb="FF780091"/>
      <name val="Arial"/>
      <family val="2"/>
    </font>
    <font>
      <b/>
      <sz val="10"/>
      <color indexed="81"/>
      <name val="Arial"/>
      <family val="2"/>
    </font>
    <font>
      <b/>
      <sz val="10"/>
      <color indexed="58"/>
      <name val="Arial"/>
      <family val="2"/>
    </font>
    <font>
      <b/>
      <sz val="12"/>
      <color rgb="FF780091"/>
      <name val="Tahoma"/>
      <family val="2"/>
    </font>
    <font>
      <sz val="12"/>
      <color rgb="FF00823C"/>
      <name val="Cambria"/>
      <family val="1"/>
    </font>
    <font>
      <u/>
      <sz val="10"/>
      <color theme="1"/>
      <name val="Arial Narrow"/>
      <family val="2"/>
    </font>
    <font>
      <b/>
      <sz val="11"/>
      <color indexed="81"/>
      <name val="Tahoma"/>
      <family val="2"/>
    </font>
    <font>
      <b/>
      <sz val="9"/>
      <color indexed="16"/>
      <name val="Tahoma"/>
      <family val="2"/>
    </font>
    <font>
      <sz val="9"/>
      <color indexed="16"/>
      <name val="Tahoma"/>
      <family val="2"/>
    </font>
    <font>
      <i/>
      <sz val="13"/>
      <color theme="1"/>
      <name val="Tahoma"/>
      <family val="2"/>
    </font>
    <font>
      <sz val="11"/>
      <color indexed="81"/>
      <name val="Times New Roman"/>
      <family val="1"/>
    </font>
    <font>
      <b/>
      <sz val="10"/>
      <color rgb="FF2BFF8C"/>
      <name val="Arial Narrow"/>
      <family val="2"/>
    </font>
    <font>
      <sz val="10"/>
      <color rgb="FF2BFF8C"/>
      <name val="Arial Narrow"/>
      <family val="2"/>
    </font>
    <font>
      <sz val="16"/>
      <color rgb="FF2BFF8C"/>
      <name val="Wingdings 3"/>
      <family val="1"/>
      <charset val="2"/>
    </font>
    <font>
      <b/>
      <sz val="16"/>
      <color rgb="FFD2FFE6"/>
      <name val="Tahoma"/>
      <family val="2"/>
    </font>
    <font>
      <b/>
      <sz val="14"/>
      <color rgb="FF2BFF8C"/>
      <name val="Arial"/>
      <family val="2"/>
    </font>
    <font>
      <b/>
      <sz val="16"/>
      <color rgb="FFA5FFC8"/>
      <name val="Tahoma"/>
      <family val="2"/>
    </font>
    <font>
      <sz val="10"/>
      <color rgb="FFA5FFC8"/>
      <name val="Arial Narrow"/>
      <family val="2"/>
    </font>
    <font>
      <b/>
      <u/>
      <sz val="11"/>
      <color rgb="FFA5FFC8"/>
      <name val="Arial"/>
      <family val="2"/>
    </font>
    <font>
      <sz val="12"/>
      <color rgb="FFA5FFC8"/>
      <name val="Cambria"/>
      <family val="1"/>
    </font>
    <font>
      <b/>
      <u/>
      <sz val="11"/>
      <color rgb="FF00B050"/>
      <name val="Arial"/>
      <family val="2"/>
    </font>
    <font>
      <b/>
      <sz val="9"/>
      <color indexed="21"/>
      <name val="Verdana"/>
      <family val="2"/>
    </font>
    <font>
      <b/>
      <sz val="8"/>
      <color indexed="21"/>
      <name val="Verdana"/>
      <family val="2"/>
    </font>
    <font>
      <sz val="9"/>
      <color rgb="FFA5FFC8"/>
      <name val="Arial Black"/>
      <family val="2"/>
    </font>
    <font>
      <sz val="9"/>
      <color rgb="FFA5FFC8"/>
      <name val="Arial Narrow"/>
      <family val="2"/>
    </font>
    <font>
      <b/>
      <sz val="14"/>
      <color rgb="FFD2FFE6"/>
      <name val="Arial"/>
      <family val="2"/>
    </font>
    <font>
      <b/>
      <sz val="16"/>
      <color indexed="17"/>
      <name val="Tahoma"/>
      <family val="2"/>
    </font>
    <font>
      <sz val="12"/>
      <color indexed="81"/>
      <name val="Cambria"/>
      <family val="1"/>
    </font>
    <font>
      <b/>
      <sz val="12"/>
      <color indexed="81"/>
      <name val="Cambria"/>
      <family val="1"/>
    </font>
    <font>
      <b/>
      <sz val="12"/>
      <color indexed="54"/>
      <name val="Cambria"/>
      <family val="1"/>
    </font>
    <font>
      <b/>
      <i/>
      <sz val="13"/>
      <color theme="1"/>
      <name val="Tahoma"/>
      <family val="2"/>
    </font>
    <font>
      <b/>
      <sz val="11"/>
      <color indexed="81"/>
      <name val="Times New Roman"/>
      <family val="1"/>
    </font>
    <font>
      <b/>
      <i/>
      <sz val="16"/>
      <color indexed="17"/>
      <name val="Tahoma"/>
      <family val="2"/>
    </font>
    <font>
      <sz val="12"/>
      <color indexed="81"/>
      <name val="Times New Roman"/>
      <family val="1"/>
    </font>
    <font>
      <sz val="12"/>
      <color indexed="81"/>
      <name val="Tahoma"/>
      <family val="2"/>
    </font>
    <font>
      <sz val="8"/>
      <color indexed="81"/>
      <name val="Arial Black"/>
      <family val="2"/>
    </font>
    <font>
      <sz val="8"/>
      <color indexed="17"/>
      <name val="Arial Black"/>
      <family val="2"/>
    </font>
    <font>
      <sz val="8"/>
      <color indexed="20"/>
      <name val="Arial Black"/>
      <family val="2"/>
    </font>
    <font>
      <b/>
      <sz val="11"/>
      <color indexed="58"/>
      <name val="Tahoma"/>
      <family val="2"/>
    </font>
    <font>
      <b/>
      <sz val="11"/>
      <color indexed="17"/>
      <name val="Tahoma"/>
      <family val="2"/>
    </font>
    <font>
      <b/>
      <sz val="14"/>
      <color indexed="20"/>
      <name val="Tahoma"/>
      <family val="2"/>
    </font>
    <font>
      <b/>
      <u val="double"/>
      <sz val="12"/>
      <color rgb="FF780091"/>
      <name val="Tahoma"/>
      <family val="2"/>
    </font>
    <font>
      <sz val="11"/>
      <color indexed="20"/>
      <name val="Tahoma"/>
      <family val="2"/>
    </font>
    <font>
      <b/>
      <sz val="12"/>
      <color indexed="20"/>
      <name val="Tahoma"/>
      <family val="2"/>
    </font>
    <font>
      <b/>
      <sz val="11"/>
      <color indexed="23"/>
      <name val="Tahoma"/>
      <family val="2"/>
    </font>
    <font>
      <sz val="11"/>
      <color indexed="23"/>
      <name val="Tahoma"/>
      <family val="2"/>
    </font>
    <font>
      <sz val="10"/>
      <color indexed="23"/>
      <name val="Tahoma"/>
      <family val="2"/>
    </font>
    <font>
      <sz val="14"/>
      <color indexed="20"/>
      <name val="Tahoma"/>
      <family val="2"/>
    </font>
    <font>
      <sz val="12"/>
      <color indexed="20"/>
      <name val="Tahoma"/>
      <family val="2"/>
    </font>
    <font>
      <i/>
      <sz val="12"/>
      <color indexed="20"/>
      <name val="Tahoma"/>
      <family val="2"/>
    </font>
    <font>
      <sz val="11"/>
      <color rgb="FF00823C"/>
      <name val="Arial"/>
      <family val="2"/>
    </font>
    <font>
      <b/>
      <sz val="14"/>
      <color indexed="81"/>
      <name val="Tahoma"/>
      <family val="2"/>
    </font>
    <font>
      <b/>
      <i/>
      <sz val="14"/>
      <color indexed="81"/>
      <name val="Tahoma"/>
      <family val="2"/>
    </font>
    <font>
      <b/>
      <sz val="10"/>
      <color rgb="FF00823C"/>
      <name val="Tahoma"/>
      <family val="2"/>
    </font>
    <font>
      <sz val="11"/>
      <color theme="1"/>
      <name val="Times New Roman"/>
      <family val="1"/>
    </font>
    <font>
      <b/>
      <sz val="10"/>
      <color rgb="FF00823C"/>
      <name val="Arial"/>
      <family val="2"/>
    </font>
    <font>
      <b/>
      <sz val="18"/>
      <color rgb="FF4B0064"/>
      <name val="Tahoma"/>
      <family val="2"/>
    </font>
    <font>
      <sz val="12.5"/>
      <color rgb="FF4B0064"/>
      <name val="Arial Narrow"/>
      <family val="2"/>
    </font>
    <font>
      <i/>
      <sz val="10"/>
      <color theme="1"/>
      <name val="Arial Narrow"/>
      <family val="2"/>
    </font>
    <font>
      <b/>
      <sz val="16"/>
      <color theme="0" tint="-0.34998626667073579"/>
      <name val="Tahoma"/>
      <family val="2"/>
    </font>
    <font>
      <b/>
      <i/>
      <sz val="12"/>
      <color theme="0" tint="-0.499984740745262"/>
      <name val="Tahoma"/>
      <family val="2"/>
    </font>
    <font>
      <sz val="10"/>
      <color rgb="FF00823C"/>
      <name val="Arial Black"/>
      <family val="2"/>
    </font>
    <font>
      <sz val="10"/>
      <color rgb="FF780091"/>
      <name val="Arial Black"/>
      <family val="2"/>
    </font>
    <font>
      <sz val="9"/>
      <color rgb="FF009646"/>
      <name val="Arial Narrow"/>
      <family val="2"/>
    </font>
    <font>
      <b/>
      <sz val="22"/>
      <color rgb="FFD2FFE6"/>
      <name val="Tahoma"/>
      <family val="2"/>
    </font>
    <font>
      <b/>
      <i/>
      <sz val="18"/>
      <color rgb="FF00B050"/>
      <name val="Tahoma"/>
      <family val="2"/>
    </font>
    <font>
      <b/>
      <sz val="11.5"/>
      <color rgb="FF1E5A28"/>
      <name val="Tahoma"/>
      <family val="2"/>
    </font>
    <font>
      <b/>
      <sz val="11.5"/>
      <color rgb="FF7030A0"/>
      <name val="Tahoma"/>
      <family val="2"/>
    </font>
    <font>
      <sz val="10.5"/>
      <color rgb="FF780091"/>
      <name val="Arial Narrow"/>
      <family val="2"/>
    </font>
    <font>
      <sz val="10.5"/>
      <color rgb="FFCC00CC"/>
      <name val="Arial Narrow"/>
      <family val="2"/>
    </font>
    <font>
      <b/>
      <sz val="15"/>
      <color rgb="FFC00000"/>
      <name val="Tahoma"/>
      <family val="2"/>
    </font>
    <font>
      <b/>
      <sz val="15"/>
      <color rgb="FF002060"/>
      <name val="Tahoma"/>
      <family val="2"/>
    </font>
    <font>
      <b/>
      <sz val="14"/>
      <color indexed="9"/>
      <name val="Tahoma"/>
      <family val="2"/>
    </font>
    <font>
      <sz val="9"/>
      <color indexed="9"/>
      <name val="Tahoma"/>
      <family val="2"/>
    </font>
    <font>
      <sz val="11"/>
      <color indexed="9"/>
      <name val="Tahoma"/>
      <family val="2"/>
    </font>
    <font>
      <sz val="12"/>
      <color rgb="FF99FF99"/>
      <name val="Cambria"/>
      <family val="1"/>
    </font>
    <font>
      <sz val="10"/>
      <color rgb="FF99FF99"/>
      <name val="Arial Narrow"/>
      <family val="2"/>
    </font>
    <font>
      <sz val="12"/>
      <color rgb="FF99FF99"/>
      <name val="Tahoma"/>
      <family val="2"/>
    </font>
    <font>
      <b/>
      <i/>
      <sz val="12"/>
      <color rgb="FF99FF99"/>
      <name val="Cambria"/>
      <family val="1"/>
    </font>
    <font>
      <b/>
      <sz val="20"/>
      <color rgb="FF1E5A28"/>
      <name val="Tahoma"/>
      <family val="2"/>
    </font>
    <font>
      <i/>
      <sz val="12"/>
      <color theme="1"/>
      <name val="Tahoma"/>
      <family val="2"/>
    </font>
    <font>
      <sz val="10"/>
      <color theme="0"/>
      <name val="Arial Narrow"/>
      <family val="2"/>
    </font>
    <font>
      <sz val="20"/>
      <color rgb="FFF0CDFF"/>
      <name val="Arial Black"/>
      <family val="2"/>
    </font>
  </fonts>
  <fills count="67">
    <fill>
      <patternFill patternType="none"/>
    </fill>
    <fill>
      <patternFill patternType="gray125"/>
    </fill>
    <fill>
      <patternFill patternType="solid">
        <fgColor rgb="FFC896FF"/>
        <bgColor indexed="64"/>
      </patternFill>
    </fill>
    <fill>
      <patternFill patternType="solid">
        <fgColor theme="9" tint="0.59999389629810485"/>
        <bgColor indexed="64"/>
      </patternFill>
    </fill>
    <fill>
      <patternFill patternType="solid">
        <fgColor theme="0"/>
        <bgColor indexed="64"/>
      </patternFill>
    </fill>
    <fill>
      <patternFill patternType="solid">
        <fgColor theme="9" tint="0.79998168889431442"/>
        <bgColor indexed="64"/>
      </patternFill>
    </fill>
    <fill>
      <patternFill patternType="solid">
        <fgColor rgb="FFE0C1FF"/>
        <bgColor indexed="64"/>
      </patternFill>
    </fill>
    <fill>
      <patternFill patternType="solid">
        <fgColor theme="8" tint="0.79998168889431442"/>
        <bgColor indexed="64"/>
      </patternFill>
    </fill>
    <fill>
      <patternFill patternType="solid">
        <fgColor rgb="FFA0FFC8"/>
        <bgColor indexed="64"/>
      </patternFill>
    </fill>
    <fill>
      <patternFill patternType="solid">
        <fgColor rgb="FFD2FFE6"/>
        <bgColor indexed="64"/>
      </patternFill>
    </fill>
    <fill>
      <patternFill patternType="solid">
        <fgColor theme="9" tint="-0.499984740745262"/>
        <bgColor indexed="64"/>
      </patternFill>
    </fill>
    <fill>
      <patternFill patternType="solid">
        <fgColor rgb="FF7030A0"/>
        <bgColor indexed="64"/>
      </patternFill>
    </fill>
    <fill>
      <patternFill patternType="solid">
        <fgColor rgb="FF64FF96"/>
        <bgColor indexed="64"/>
      </patternFill>
    </fill>
    <fill>
      <patternFill patternType="solid">
        <fgColor theme="5" tint="0.79998168889431442"/>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F9999"/>
        <bgColor indexed="64"/>
      </patternFill>
    </fill>
    <fill>
      <patternFill patternType="solid">
        <fgColor rgb="FF00501E"/>
        <bgColor indexed="64"/>
      </patternFill>
    </fill>
    <fill>
      <patternFill patternType="solid">
        <fgColor theme="3" tint="0.79998168889431442"/>
        <bgColor indexed="64"/>
      </patternFill>
    </fill>
    <fill>
      <patternFill patternType="solid">
        <fgColor rgb="FFF0CDFF"/>
        <bgColor indexed="64"/>
      </patternFill>
    </fill>
    <fill>
      <patternFill patternType="solid">
        <fgColor rgb="FF002060"/>
        <bgColor indexed="64"/>
      </patternFill>
    </fill>
    <fill>
      <patternFill patternType="solid">
        <fgColor rgb="FFFABEB4"/>
        <bgColor indexed="64"/>
      </patternFill>
    </fill>
    <fill>
      <patternFill patternType="solid">
        <fgColor theme="9" tint="0.39997558519241921"/>
        <bgColor indexed="64"/>
      </patternFill>
    </fill>
    <fill>
      <patternFill patternType="solid">
        <fgColor theme="4" tint="0.79998168889431442"/>
        <bgColor indexed="64"/>
      </patternFill>
    </fill>
    <fill>
      <patternFill patternType="solid">
        <fgColor rgb="FF870000"/>
        <bgColor indexed="64"/>
      </patternFill>
    </fill>
    <fill>
      <patternFill patternType="solid">
        <fgColor rgb="FF0070C0"/>
        <bgColor indexed="64"/>
      </patternFill>
    </fill>
    <fill>
      <patternFill patternType="solid">
        <fgColor rgb="FFF0F5EB"/>
        <bgColor indexed="64"/>
      </patternFill>
    </fill>
    <fill>
      <patternFill patternType="solid">
        <fgColor theme="0" tint="-4.9989318521683403E-2"/>
        <bgColor indexed="64"/>
      </patternFill>
    </fill>
    <fill>
      <patternFill patternType="solid">
        <fgColor rgb="FFD7B9FF"/>
        <bgColor indexed="64"/>
      </patternFill>
    </fill>
    <fill>
      <patternFill patternType="solid">
        <fgColor rgb="FF5AFFA0"/>
        <bgColor indexed="64"/>
      </patternFill>
    </fill>
    <fill>
      <patternFill patternType="solid">
        <fgColor rgb="FFC00000"/>
        <bgColor indexed="64"/>
      </patternFill>
    </fill>
    <fill>
      <patternFill patternType="solid">
        <fgColor rgb="FFFFCCCC"/>
        <bgColor indexed="64"/>
      </patternFill>
    </fill>
    <fill>
      <patternFill patternType="solid">
        <fgColor rgb="FF3C1E5A"/>
        <bgColor indexed="64"/>
      </patternFill>
    </fill>
    <fill>
      <patternFill patternType="solid">
        <fgColor rgb="FFA0FF64"/>
        <bgColor indexed="64"/>
      </patternFill>
    </fill>
    <fill>
      <patternFill patternType="solid">
        <fgColor rgb="FFFFC7CE"/>
      </patternFill>
    </fill>
    <fill>
      <patternFill patternType="solid">
        <fgColor rgb="FFFFD7DC"/>
        <bgColor indexed="64"/>
      </patternFill>
    </fill>
    <fill>
      <patternFill patternType="solid">
        <fgColor rgb="FF5A1E7D"/>
        <bgColor indexed="64"/>
      </patternFill>
    </fill>
    <fill>
      <patternFill patternType="solid">
        <fgColor rgb="FFE1C8FF"/>
        <bgColor indexed="64"/>
      </patternFill>
    </fill>
    <fill>
      <patternFill patternType="solid">
        <fgColor rgb="FFA0FFCD"/>
        <bgColor indexed="64"/>
      </patternFill>
    </fill>
    <fill>
      <patternFill patternType="solid">
        <fgColor rgb="FF009641"/>
        <bgColor indexed="64"/>
      </patternFill>
    </fill>
    <fill>
      <patternFill patternType="solid">
        <fgColor rgb="FFEBDCFF"/>
        <bgColor indexed="64"/>
      </patternFill>
    </fill>
    <fill>
      <patternFill patternType="solid">
        <fgColor rgb="FF004623"/>
        <bgColor indexed="64"/>
      </patternFill>
    </fill>
    <fill>
      <patternFill patternType="solid">
        <fgColor rgb="FF64FFA5"/>
        <bgColor indexed="64"/>
      </patternFill>
    </fill>
    <fill>
      <patternFill patternType="solid">
        <fgColor rgb="FFE1FFEB"/>
        <bgColor indexed="64"/>
      </patternFill>
    </fill>
    <fill>
      <patternFill patternType="solid">
        <fgColor rgb="FF1E5A28"/>
        <bgColor indexed="64"/>
      </patternFill>
    </fill>
    <fill>
      <patternFill patternType="solid">
        <fgColor theme="2"/>
        <bgColor indexed="64"/>
      </patternFill>
    </fill>
    <fill>
      <patternFill patternType="solid">
        <fgColor rgb="FFFFD7D7"/>
        <bgColor indexed="64"/>
      </patternFill>
    </fill>
    <fill>
      <patternFill patternType="solid">
        <fgColor rgb="FFB4FFCD"/>
        <bgColor indexed="64"/>
      </patternFill>
    </fill>
    <fill>
      <patternFill patternType="solid">
        <fgColor rgb="FFFFCCFF"/>
        <bgColor indexed="64"/>
      </patternFill>
    </fill>
    <fill>
      <patternFill patternType="solid">
        <fgColor rgb="FFBEFFDC"/>
        <bgColor indexed="64"/>
      </patternFill>
    </fill>
    <fill>
      <patternFill patternType="solid">
        <fgColor rgb="FF004B1E"/>
        <bgColor indexed="64"/>
      </patternFill>
    </fill>
    <fill>
      <patternFill patternType="solid">
        <fgColor rgb="FFA5FFC8"/>
        <bgColor indexed="64"/>
      </patternFill>
    </fill>
    <fill>
      <patternFill patternType="solid">
        <fgColor theme="7" tint="0.79998168889431442"/>
        <bgColor indexed="64"/>
      </patternFill>
    </fill>
    <fill>
      <patternFill patternType="solid">
        <fgColor rgb="FFFFE1FF"/>
        <bgColor indexed="64"/>
      </patternFill>
    </fill>
    <fill>
      <patternFill patternType="solid">
        <fgColor rgb="FFC1FFD6"/>
        <bgColor indexed="64"/>
      </patternFill>
    </fill>
    <fill>
      <patternFill patternType="solid">
        <fgColor rgb="FFFFFF00"/>
        <bgColor indexed="64"/>
      </patternFill>
    </fill>
    <fill>
      <patternFill patternType="solid">
        <fgColor rgb="FFFFD2D2"/>
        <bgColor indexed="64"/>
      </patternFill>
    </fill>
    <fill>
      <patternFill patternType="solid">
        <fgColor rgb="FF00823C"/>
        <bgColor indexed="64"/>
      </patternFill>
    </fill>
    <fill>
      <patternFill patternType="solid">
        <fgColor rgb="FFC8FFDC"/>
        <bgColor indexed="64"/>
      </patternFill>
    </fill>
    <fill>
      <patternFill patternType="solid">
        <fgColor rgb="FFFF99FF"/>
        <bgColor indexed="64"/>
      </patternFill>
    </fill>
    <fill>
      <patternFill patternType="solid">
        <fgColor rgb="FF00D25A"/>
        <bgColor indexed="64"/>
      </patternFill>
    </fill>
    <fill>
      <patternFill patternType="solid">
        <fgColor theme="7" tint="0.59999389629810485"/>
        <bgColor indexed="64"/>
      </patternFill>
    </fill>
    <fill>
      <gradientFill>
        <stop position="0">
          <color rgb="FF7030A0"/>
        </stop>
        <stop position="1">
          <color theme="4"/>
        </stop>
      </gradientFill>
    </fill>
    <fill>
      <gradientFill degree="180">
        <stop position="0">
          <color rgb="FFCC00CC"/>
        </stop>
        <stop position="1">
          <color rgb="FFFF0000"/>
        </stop>
      </gradientFill>
    </fill>
    <fill>
      <patternFill patternType="solid">
        <fgColor rgb="FFFFFF99"/>
        <bgColor indexed="64"/>
      </patternFill>
    </fill>
    <fill>
      <patternFill patternType="solid">
        <fgColor theme="2" tint="-9.9978637043366805E-2"/>
        <bgColor indexed="64"/>
      </patternFill>
    </fill>
    <fill>
      <patternFill patternType="solid">
        <fgColor rgb="FFCCFFCC"/>
        <bgColor indexed="64"/>
      </patternFill>
    </fill>
  </fills>
  <borders count="294">
    <border>
      <left/>
      <right/>
      <top/>
      <bottom/>
      <diagonal/>
    </border>
    <border>
      <left/>
      <right/>
      <top/>
      <bottom style="thick">
        <color auto="1"/>
      </bottom>
      <diagonal/>
    </border>
    <border>
      <left/>
      <right style="thick">
        <color auto="1"/>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top style="medium">
        <color indexed="64"/>
      </top>
      <bottom style="medium">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style="thin">
        <color auto="1"/>
      </top>
      <bottom style="thin">
        <color auto="1"/>
      </bottom>
      <diagonal/>
    </border>
    <border>
      <left style="medium">
        <color indexed="64"/>
      </left>
      <right/>
      <top style="thin">
        <color indexed="64"/>
      </top>
      <bottom style="double">
        <color indexed="64"/>
      </bottom>
      <diagonal/>
    </border>
    <border>
      <left/>
      <right style="medium">
        <color indexed="64"/>
      </right>
      <top style="thin">
        <color indexed="64"/>
      </top>
      <bottom style="double">
        <color indexed="64"/>
      </bottom>
      <diagonal/>
    </border>
    <border>
      <left style="medium">
        <color indexed="64"/>
      </left>
      <right/>
      <top style="double">
        <color indexed="64"/>
      </top>
      <bottom style="double">
        <color indexed="64"/>
      </bottom>
      <diagonal/>
    </border>
    <border>
      <left/>
      <right style="medium">
        <color indexed="64"/>
      </right>
      <top style="double">
        <color indexed="64"/>
      </top>
      <bottom style="double">
        <color indexed="64"/>
      </bottom>
      <diagonal/>
    </border>
    <border>
      <left/>
      <right/>
      <top/>
      <bottom style="double">
        <color indexed="64"/>
      </bottom>
      <diagonal/>
    </border>
    <border>
      <left style="medium">
        <color indexed="64"/>
      </left>
      <right/>
      <top style="thin">
        <color indexed="64"/>
      </top>
      <bottom/>
      <diagonal/>
    </border>
    <border>
      <left/>
      <right style="medium">
        <color indexed="64"/>
      </right>
      <top style="thin">
        <color indexed="64"/>
      </top>
      <bottom/>
      <diagonal/>
    </border>
    <border>
      <left/>
      <right style="medium">
        <color theme="0" tint="-0.34998626667073579"/>
      </right>
      <top/>
      <bottom/>
      <diagonal/>
    </border>
    <border>
      <left style="medium">
        <color theme="0" tint="-0.34998626667073579"/>
      </left>
      <right/>
      <top/>
      <bottom/>
      <diagonal/>
    </border>
    <border>
      <left style="medium">
        <color rgb="FF0070C0"/>
      </left>
      <right/>
      <top style="medium">
        <color rgb="FF0070C0"/>
      </top>
      <bottom/>
      <diagonal/>
    </border>
    <border>
      <left/>
      <right style="medium">
        <color rgb="FF0070C0"/>
      </right>
      <top style="medium">
        <color rgb="FF0070C0"/>
      </top>
      <bottom/>
      <diagonal/>
    </border>
    <border>
      <left style="medium">
        <color rgb="FF0070C0"/>
      </left>
      <right/>
      <top/>
      <bottom/>
      <diagonal/>
    </border>
    <border>
      <left/>
      <right style="medium">
        <color rgb="FF0070C0"/>
      </right>
      <top/>
      <bottom/>
      <diagonal/>
    </border>
    <border>
      <left style="medium">
        <color rgb="FF0070C0"/>
      </left>
      <right/>
      <top/>
      <bottom style="medium">
        <color rgb="FF0070C0"/>
      </bottom>
      <diagonal/>
    </border>
    <border>
      <left/>
      <right style="medium">
        <color rgb="FF0070C0"/>
      </right>
      <top/>
      <bottom style="medium">
        <color rgb="FF0070C0"/>
      </bottom>
      <diagonal/>
    </border>
    <border>
      <left style="medium">
        <color rgb="FFC00000"/>
      </left>
      <right/>
      <top style="medium">
        <color rgb="FFC00000"/>
      </top>
      <bottom/>
      <diagonal/>
    </border>
    <border>
      <left/>
      <right style="medium">
        <color rgb="FFC00000"/>
      </right>
      <top style="medium">
        <color rgb="FFC00000"/>
      </top>
      <bottom/>
      <diagonal/>
    </border>
    <border>
      <left style="medium">
        <color rgb="FFC00000"/>
      </left>
      <right/>
      <top/>
      <bottom/>
      <diagonal/>
    </border>
    <border>
      <left/>
      <right style="medium">
        <color rgb="FFC00000"/>
      </right>
      <top/>
      <bottom/>
      <diagonal/>
    </border>
    <border>
      <left style="medium">
        <color rgb="FFC00000"/>
      </left>
      <right/>
      <top/>
      <bottom style="medium">
        <color rgb="FFC00000"/>
      </bottom>
      <diagonal/>
    </border>
    <border>
      <left/>
      <right style="medium">
        <color rgb="FFC00000"/>
      </right>
      <top/>
      <bottom style="medium">
        <color rgb="FFC00000"/>
      </bottom>
      <diagonal/>
    </border>
    <border>
      <left style="thick">
        <color rgb="FF371950"/>
      </left>
      <right/>
      <top style="thick">
        <color rgb="FF371950"/>
      </top>
      <bottom style="thick">
        <color rgb="FF371950"/>
      </bottom>
      <diagonal/>
    </border>
    <border>
      <left/>
      <right/>
      <top style="thick">
        <color rgb="FF371950"/>
      </top>
      <bottom style="thick">
        <color rgb="FF371950"/>
      </bottom>
      <diagonal/>
    </border>
    <border>
      <left/>
      <right style="thick">
        <color rgb="FF371950"/>
      </right>
      <top style="thick">
        <color rgb="FF371950"/>
      </top>
      <bottom style="thick">
        <color rgb="FF371950"/>
      </bottom>
      <diagonal/>
    </border>
    <border>
      <left style="medium">
        <color theme="8" tint="0.39994506668294322"/>
      </left>
      <right/>
      <top style="medium">
        <color theme="8" tint="0.39994506668294322"/>
      </top>
      <bottom/>
      <diagonal/>
    </border>
    <border>
      <left/>
      <right/>
      <top style="medium">
        <color theme="8" tint="0.39994506668294322"/>
      </top>
      <bottom/>
      <diagonal/>
    </border>
    <border>
      <left style="medium">
        <color theme="8" tint="0.39994506668294322"/>
      </left>
      <right/>
      <top/>
      <bottom/>
      <diagonal/>
    </border>
    <border>
      <left style="medium">
        <color theme="8" tint="0.39994506668294322"/>
      </left>
      <right/>
      <top/>
      <bottom style="medium">
        <color theme="8" tint="0.39994506668294322"/>
      </bottom>
      <diagonal/>
    </border>
    <border>
      <left/>
      <right/>
      <top/>
      <bottom style="medium">
        <color theme="8" tint="0.39994506668294322"/>
      </bottom>
      <diagonal/>
    </border>
    <border>
      <left style="medium">
        <color theme="8" tint="0.39994506668294322"/>
      </left>
      <right style="double">
        <color rgb="FFF0CDFF"/>
      </right>
      <top style="medium">
        <color theme="8" tint="0.39994506668294322"/>
      </top>
      <bottom/>
      <diagonal/>
    </border>
    <border>
      <left style="double">
        <color rgb="FFF0CDFF"/>
      </left>
      <right style="double">
        <color rgb="FFF0CDFF"/>
      </right>
      <top style="medium">
        <color theme="8" tint="0.39994506668294322"/>
      </top>
      <bottom/>
      <diagonal/>
    </border>
    <border>
      <left style="medium">
        <color theme="8" tint="0.39994506668294322"/>
      </left>
      <right style="double">
        <color rgb="FFF0CDFF"/>
      </right>
      <top/>
      <bottom/>
      <diagonal/>
    </border>
    <border>
      <left style="double">
        <color rgb="FFF0CDFF"/>
      </left>
      <right style="double">
        <color rgb="FFF0CDFF"/>
      </right>
      <top/>
      <bottom/>
      <diagonal/>
    </border>
    <border>
      <left style="medium">
        <color theme="8" tint="0.39994506668294322"/>
      </left>
      <right style="double">
        <color rgb="FFF0CDFF"/>
      </right>
      <top/>
      <bottom style="medium">
        <color theme="8" tint="0.39994506668294322"/>
      </bottom>
      <diagonal/>
    </border>
    <border>
      <left style="double">
        <color rgb="FFF0CDFF"/>
      </left>
      <right style="double">
        <color rgb="FFF0CDFF"/>
      </right>
      <top/>
      <bottom style="medium">
        <color theme="8" tint="0.39994506668294322"/>
      </bottom>
      <diagonal/>
    </border>
    <border>
      <left style="double">
        <color rgb="FFF0CDFF"/>
      </left>
      <right/>
      <top/>
      <bottom/>
      <diagonal/>
    </border>
    <border>
      <left style="medium">
        <color indexed="64"/>
      </left>
      <right/>
      <top/>
      <bottom style="thin">
        <color indexed="64"/>
      </bottom>
      <diagonal/>
    </border>
    <border>
      <left/>
      <right style="medium">
        <color indexed="64"/>
      </right>
      <top/>
      <bottom style="thin">
        <color indexed="64"/>
      </bottom>
      <diagonal/>
    </border>
    <border>
      <left style="thick">
        <color rgb="FFD2FFE6"/>
      </left>
      <right/>
      <top style="thick">
        <color rgb="FFD2FFE6"/>
      </top>
      <bottom/>
      <diagonal/>
    </border>
    <border>
      <left/>
      <right/>
      <top style="thick">
        <color rgb="FFD2FFE6"/>
      </top>
      <bottom/>
      <diagonal/>
    </border>
    <border>
      <left/>
      <right style="thick">
        <color rgb="FFD2FFE6"/>
      </right>
      <top style="thick">
        <color rgb="FFD2FFE6"/>
      </top>
      <bottom/>
      <diagonal/>
    </border>
    <border>
      <left style="thick">
        <color rgb="FFD2FFE6"/>
      </left>
      <right/>
      <top/>
      <bottom style="thick">
        <color rgb="FFD2FFE6"/>
      </bottom>
      <diagonal/>
    </border>
    <border>
      <left/>
      <right/>
      <top/>
      <bottom style="thick">
        <color rgb="FFD2FFE6"/>
      </bottom>
      <diagonal/>
    </border>
    <border>
      <left/>
      <right style="thick">
        <color rgb="FFD2FFE6"/>
      </right>
      <top/>
      <bottom style="thick">
        <color rgb="FFD2FFE6"/>
      </bottom>
      <diagonal/>
    </border>
    <border>
      <left/>
      <right/>
      <top/>
      <bottom style="medium">
        <color theme="0" tint="-0.34998626667073579"/>
      </bottom>
      <diagonal/>
    </border>
    <border>
      <left/>
      <right style="medium">
        <color theme="0" tint="-0.34998626667073579"/>
      </right>
      <top/>
      <bottom style="medium">
        <color theme="0" tint="-0.34998626667073579"/>
      </bottom>
      <diagonal/>
    </border>
    <border>
      <left style="medium">
        <color theme="0" tint="-0.34998626667073579"/>
      </left>
      <right/>
      <top/>
      <bottom style="medium">
        <color theme="0" tint="-0.34998626667073579"/>
      </bottom>
      <diagonal/>
    </border>
    <border>
      <left/>
      <right/>
      <top style="medium">
        <color theme="0" tint="-0.34998626667073579"/>
      </top>
      <bottom/>
      <diagonal/>
    </border>
    <border>
      <left/>
      <right style="medium">
        <color theme="0" tint="-0.34998626667073579"/>
      </right>
      <top style="medium">
        <color theme="0" tint="-0.34998626667073579"/>
      </top>
      <bottom/>
      <diagonal/>
    </border>
    <border>
      <left style="medium">
        <color theme="0" tint="-0.34998626667073579"/>
      </left>
      <right/>
      <top style="medium">
        <color theme="0" tint="-0.34998626667073579"/>
      </top>
      <bottom/>
      <diagonal/>
    </border>
    <border>
      <left style="thick">
        <color indexed="64"/>
      </left>
      <right/>
      <top style="thick">
        <color indexed="64"/>
      </top>
      <bottom/>
      <diagonal/>
    </border>
    <border>
      <left/>
      <right/>
      <top style="thick">
        <color indexed="64"/>
      </top>
      <bottom/>
      <diagonal/>
    </border>
    <border>
      <left/>
      <right style="medium">
        <color theme="0" tint="-0.34998626667073579"/>
      </right>
      <top style="thick">
        <color indexed="64"/>
      </top>
      <bottom/>
      <diagonal/>
    </border>
    <border>
      <left style="medium">
        <color theme="0" tint="-0.34998626667073579"/>
      </left>
      <right/>
      <top style="thick">
        <color indexed="64"/>
      </top>
      <bottom/>
      <diagonal/>
    </border>
    <border>
      <left/>
      <right style="thick">
        <color indexed="64"/>
      </right>
      <top style="thick">
        <color indexed="64"/>
      </top>
      <bottom/>
      <diagonal/>
    </border>
    <border>
      <left style="thick">
        <color indexed="64"/>
      </left>
      <right/>
      <top/>
      <bottom/>
      <diagonal/>
    </border>
    <border>
      <left style="thick">
        <color indexed="64"/>
      </left>
      <right/>
      <top/>
      <bottom style="medium">
        <color theme="0" tint="-0.34998626667073579"/>
      </bottom>
      <diagonal/>
    </border>
    <border>
      <left/>
      <right style="thick">
        <color indexed="64"/>
      </right>
      <top/>
      <bottom style="medium">
        <color theme="0" tint="-0.34998626667073579"/>
      </bottom>
      <diagonal/>
    </border>
    <border>
      <left style="thick">
        <color indexed="64"/>
      </left>
      <right/>
      <top style="medium">
        <color theme="0" tint="-0.34998626667073579"/>
      </top>
      <bottom/>
      <diagonal/>
    </border>
    <border>
      <left/>
      <right style="thick">
        <color indexed="64"/>
      </right>
      <top style="medium">
        <color theme="0" tint="-0.34998626667073579"/>
      </top>
      <bottom/>
      <diagonal/>
    </border>
    <border>
      <left style="thick">
        <color indexed="64"/>
      </left>
      <right/>
      <top/>
      <bottom style="thick">
        <color indexed="64"/>
      </bottom>
      <diagonal/>
    </border>
    <border>
      <left/>
      <right style="medium">
        <color theme="0" tint="-0.34998626667073579"/>
      </right>
      <top/>
      <bottom style="thick">
        <color indexed="64"/>
      </bottom>
      <diagonal/>
    </border>
    <border>
      <left style="medium">
        <color theme="0" tint="-0.34998626667073579"/>
      </left>
      <right/>
      <top/>
      <bottom style="thick">
        <color indexed="64"/>
      </bottom>
      <diagonal/>
    </border>
    <border>
      <left/>
      <right style="thick">
        <color indexed="64"/>
      </right>
      <top/>
      <bottom style="thick">
        <color indexed="64"/>
      </bottom>
      <diagonal/>
    </border>
    <border>
      <left style="thick">
        <color theme="0"/>
      </left>
      <right style="thick">
        <color theme="0"/>
      </right>
      <top style="thick">
        <color theme="0"/>
      </top>
      <bottom/>
      <diagonal/>
    </border>
    <border>
      <left style="thick">
        <color theme="0"/>
      </left>
      <right style="thick">
        <color theme="0"/>
      </right>
      <top/>
      <bottom/>
      <diagonal/>
    </border>
    <border>
      <left style="thick">
        <color theme="0"/>
      </left>
      <right style="thick">
        <color theme="0"/>
      </right>
      <top/>
      <bottom style="thick">
        <color theme="0"/>
      </bottom>
      <diagonal/>
    </border>
    <border>
      <left style="hair">
        <color indexed="64"/>
      </left>
      <right/>
      <top style="medium">
        <color indexed="64"/>
      </top>
      <bottom/>
      <diagonal/>
    </border>
    <border>
      <left/>
      <right style="hair">
        <color indexed="64"/>
      </right>
      <top style="medium">
        <color indexed="64"/>
      </top>
      <bottom/>
      <diagonal/>
    </border>
    <border>
      <left style="hair">
        <color indexed="64"/>
      </left>
      <right/>
      <top/>
      <bottom style="medium">
        <color indexed="64"/>
      </bottom>
      <diagonal/>
    </border>
    <border>
      <left/>
      <right style="hair">
        <color indexed="64"/>
      </right>
      <top/>
      <bottom style="medium">
        <color indexed="64"/>
      </bottom>
      <diagonal/>
    </border>
    <border>
      <left/>
      <right style="double">
        <color rgb="FFF0CDFF"/>
      </right>
      <top style="medium">
        <color theme="8" tint="0.39994506668294322"/>
      </top>
      <bottom/>
      <diagonal/>
    </border>
    <border>
      <left/>
      <right style="double">
        <color rgb="FFF0CDFF"/>
      </right>
      <top/>
      <bottom/>
      <diagonal/>
    </border>
    <border>
      <left/>
      <right style="double">
        <color rgb="FFF0CDFF"/>
      </right>
      <top/>
      <bottom style="medium">
        <color theme="8" tint="0.39994506668294322"/>
      </bottom>
      <diagonal/>
    </border>
    <border>
      <left style="thick">
        <color rgb="FFF0CDFF"/>
      </left>
      <right/>
      <top style="thick">
        <color rgb="FFF0CDFF"/>
      </top>
      <bottom/>
      <diagonal/>
    </border>
    <border>
      <left/>
      <right/>
      <top style="thick">
        <color rgb="FFF0CDFF"/>
      </top>
      <bottom/>
      <diagonal/>
    </border>
    <border>
      <left/>
      <right style="thick">
        <color rgb="FFF0CDFF"/>
      </right>
      <top style="thick">
        <color rgb="FFF0CDFF"/>
      </top>
      <bottom/>
      <diagonal/>
    </border>
    <border>
      <left style="thick">
        <color rgb="FFF0CDFF"/>
      </left>
      <right/>
      <top/>
      <bottom style="thick">
        <color rgb="FFF0CDFF"/>
      </bottom>
      <diagonal/>
    </border>
    <border>
      <left/>
      <right/>
      <top/>
      <bottom style="thick">
        <color rgb="FFF0CDFF"/>
      </bottom>
      <diagonal/>
    </border>
    <border>
      <left/>
      <right style="thick">
        <color rgb="FFF0CDFF"/>
      </right>
      <top/>
      <bottom style="thick">
        <color rgb="FFF0CDFF"/>
      </bottom>
      <diagonal/>
    </border>
    <border>
      <left style="double">
        <color rgb="FFC00000"/>
      </left>
      <right/>
      <top style="double">
        <color rgb="FFC00000"/>
      </top>
      <bottom/>
      <diagonal/>
    </border>
    <border>
      <left/>
      <right/>
      <top style="double">
        <color rgb="FFC00000"/>
      </top>
      <bottom/>
      <diagonal/>
    </border>
    <border>
      <left/>
      <right style="double">
        <color rgb="FFC00000"/>
      </right>
      <top style="double">
        <color rgb="FFC00000"/>
      </top>
      <bottom/>
      <diagonal/>
    </border>
    <border>
      <left style="double">
        <color rgb="FFC00000"/>
      </left>
      <right/>
      <top/>
      <bottom/>
      <diagonal/>
    </border>
    <border>
      <left/>
      <right style="double">
        <color rgb="FFC00000"/>
      </right>
      <top/>
      <bottom/>
      <diagonal/>
    </border>
    <border>
      <left style="double">
        <color rgb="FFC00000"/>
      </left>
      <right/>
      <top/>
      <bottom style="double">
        <color rgb="FFC00000"/>
      </bottom>
      <diagonal/>
    </border>
    <border>
      <left/>
      <right/>
      <top/>
      <bottom style="double">
        <color rgb="FFC00000"/>
      </bottom>
      <diagonal/>
    </border>
    <border>
      <left/>
      <right style="double">
        <color rgb="FFC00000"/>
      </right>
      <top/>
      <bottom style="double">
        <color rgb="FFC00000"/>
      </bottom>
      <diagonal/>
    </border>
    <border>
      <left style="double">
        <color rgb="FF00B0F0"/>
      </left>
      <right/>
      <top style="double">
        <color rgb="FF00B0F0"/>
      </top>
      <bottom/>
      <diagonal/>
    </border>
    <border>
      <left/>
      <right/>
      <top style="double">
        <color rgb="FF00B0F0"/>
      </top>
      <bottom/>
      <diagonal/>
    </border>
    <border>
      <left/>
      <right style="double">
        <color rgb="FF00B0F0"/>
      </right>
      <top style="double">
        <color rgb="FF00B0F0"/>
      </top>
      <bottom/>
      <diagonal/>
    </border>
    <border>
      <left style="double">
        <color rgb="FF00B0F0"/>
      </left>
      <right/>
      <top/>
      <bottom/>
      <diagonal/>
    </border>
    <border>
      <left/>
      <right style="double">
        <color rgb="FF00B0F0"/>
      </right>
      <top/>
      <bottom/>
      <diagonal/>
    </border>
    <border>
      <left style="double">
        <color rgb="FF00B0F0"/>
      </left>
      <right/>
      <top/>
      <bottom style="double">
        <color rgb="FF00B0F0"/>
      </bottom>
      <diagonal/>
    </border>
    <border>
      <left/>
      <right/>
      <top/>
      <bottom style="double">
        <color rgb="FF00B0F0"/>
      </bottom>
      <diagonal/>
    </border>
    <border>
      <left/>
      <right style="double">
        <color rgb="FF00B0F0"/>
      </right>
      <top/>
      <bottom style="double">
        <color rgb="FF00B0F0"/>
      </bottom>
      <diagonal/>
    </border>
    <border>
      <left/>
      <right style="double">
        <color indexed="64"/>
      </right>
      <top style="thin">
        <color indexed="64"/>
      </top>
      <bottom style="thin">
        <color indexed="64"/>
      </bottom>
      <diagonal/>
    </border>
    <border>
      <left style="double">
        <color rgb="FFF0CDFF"/>
      </left>
      <right style="double">
        <color rgb="FFF0CDFF"/>
      </right>
      <top style="medium">
        <color rgb="FFFF0000"/>
      </top>
      <bottom/>
      <diagonal/>
    </border>
    <border>
      <left style="double">
        <color rgb="FFF0CDFF"/>
      </left>
      <right style="medium">
        <color rgb="FFFF0000"/>
      </right>
      <top style="medium">
        <color rgb="FFFF0000"/>
      </top>
      <bottom/>
      <diagonal/>
    </border>
    <border>
      <left style="double">
        <color rgb="FFF0CDFF"/>
      </left>
      <right style="medium">
        <color rgb="FFFF0000"/>
      </right>
      <top/>
      <bottom/>
      <diagonal/>
    </border>
    <border>
      <left style="double">
        <color rgb="FFF0CDFF"/>
      </left>
      <right style="double">
        <color rgb="FFF0CDFF"/>
      </right>
      <top/>
      <bottom style="medium">
        <color rgb="FFFF0000"/>
      </bottom>
      <diagonal/>
    </border>
    <border>
      <left style="double">
        <color rgb="FFF0CDFF"/>
      </left>
      <right style="medium">
        <color rgb="FFFF0000"/>
      </right>
      <top/>
      <bottom style="medium">
        <color rgb="FFFF0000"/>
      </bottom>
      <diagonal/>
    </border>
    <border>
      <left style="double">
        <color rgb="FFF0CDFF"/>
      </left>
      <right/>
      <top style="medium">
        <color rgb="FFFF0000"/>
      </top>
      <bottom/>
      <diagonal/>
    </border>
    <border>
      <left/>
      <right/>
      <top style="medium">
        <color rgb="FFFF0000"/>
      </top>
      <bottom/>
      <diagonal/>
    </border>
    <border>
      <left/>
      <right style="medium">
        <color rgb="FFFF0000"/>
      </right>
      <top style="medium">
        <color rgb="FFFF0000"/>
      </top>
      <bottom/>
      <diagonal/>
    </border>
    <border>
      <left/>
      <right style="medium">
        <color rgb="FFFF0000"/>
      </right>
      <top/>
      <bottom/>
      <diagonal/>
    </border>
    <border>
      <left style="double">
        <color rgb="FFF0CDFF"/>
      </left>
      <right/>
      <top/>
      <bottom style="medium">
        <color rgb="FFFF0000"/>
      </bottom>
      <diagonal/>
    </border>
    <border>
      <left/>
      <right/>
      <top/>
      <bottom style="medium">
        <color rgb="FFFF0000"/>
      </bottom>
      <diagonal/>
    </border>
    <border>
      <left/>
      <right style="medium">
        <color rgb="FFFF0000"/>
      </right>
      <top/>
      <bottom style="medium">
        <color rgb="FFFF0000"/>
      </bottom>
      <diagonal/>
    </border>
    <border>
      <left style="thick">
        <color rgb="FFF5D2FF"/>
      </left>
      <right/>
      <top style="thick">
        <color rgb="FFF5D2FF"/>
      </top>
      <bottom/>
      <diagonal/>
    </border>
    <border>
      <left/>
      <right/>
      <top style="thick">
        <color rgb="FFF5D2FF"/>
      </top>
      <bottom/>
      <diagonal/>
    </border>
    <border>
      <left/>
      <right style="thick">
        <color rgb="FFF5D2FF"/>
      </right>
      <top style="thick">
        <color rgb="FFF5D2FF"/>
      </top>
      <bottom/>
      <diagonal/>
    </border>
    <border>
      <left style="thick">
        <color rgb="FFF5D2FF"/>
      </left>
      <right/>
      <top/>
      <bottom/>
      <diagonal/>
    </border>
    <border>
      <left/>
      <right style="thick">
        <color rgb="FFF5D2FF"/>
      </right>
      <top/>
      <bottom/>
      <diagonal/>
    </border>
    <border>
      <left style="thick">
        <color rgb="FFF5D2FF"/>
      </left>
      <right/>
      <top/>
      <bottom style="thick">
        <color rgb="FFF5D2FF"/>
      </bottom>
      <diagonal/>
    </border>
    <border>
      <left/>
      <right/>
      <top/>
      <bottom style="thick">
        <color rgb="FFF5D2FF"/>
      </bottom>
      <diagonal/>
    </border>
    <border>
      <left/>
      <right style="thick">
        <color rgb="FFF5D2FF"/>
      </right>
      <top/>
      <bottom style="thick">
        <color rgb="FFF5D2FF"/>
      </bottom>
      <diagonal/>
    </border>
    <border>
      <left style="medium">
        <color theme="8" tint="0.39994506668294322"/>
      </left>
      <right style="double">
        <color rgb="FFF0CDFF"/>
      </right>
      <top/>
      <bottom style="medium">
        <color theme="8" tint="0.39991454817346722"/>
      </bottom>
      <diagonal/>
    </border>
    <border>
      <left style="double">
        <color rgb="FFF0CDFF"/>
      </left>
      <right style="double">
        <color rgb="FFF0CDFF"/>
      </right>
      <top/>
      <bottom style="medium">
        <color theme="8" tint="0.39991454817346722"/>
      </bottom>
      <diagonal/>
    </border>
    <border>
      <left style="dashed">
        <color rgb="FFEBDCFF"/>
      </left>
      <right/>
      <top style="dashed">
        <color rgb="FFEBDCFF"/>
      </top>
      <bottom/>
      <diagonal/>
    </border>
    <border>
      <left/>
      <right/>
      <top style="dashed">
        <color rgb="FFEBDCFF"/>
      </top>
      <bottom/>
      <diagonal/>
    </border>
    <border>
      <left/>
      <right style="dashed">
        <color rgb="FFEBDCFF"/>
      </right>
      <top style="dashed">
        <color rgb="FFEBDCFF"/>
      </top>
      <bottom/>
      <diagonal/>
    </border>
    <border>
      <left style="dashed">
        <color rgb="FFEBDCFF"/>
      </left>
      <right/>
      <top/>
      <bottom/>
      <diagonal/>
    </border>
    <border>
      <left/>
      <right style="dashed">
        <color rgb="FFEBDCFF"/>
      </right>
      <top/>
      <bottom/>
      <diagonal/>
    </border>
    <border>
      <left style="dashed">
        <color rgb="FFEBDCFF"/>
      </left>
      <right/>
      <top/>
      <bottom style="dashed">
        <color rgb="FFEBDCFF"/>
      </bottom>
      <diagonal/>
    </border>
    <border>
      <left/>
      <right/>
      <top/>
      <bottom style="dashed">
        <color rgb="FFEBDCFF"/>
      </bottom>
      <diagonal/>
    </border>
    <border>
      <left/>
      <right style="dashed">
        <color rgb="FFEBDCFF"/>
      </right>
      <top/>
      <bottom style="dashed">
        <color rgb="FFEBDCFF"/>
      </bottom>
      <diagonal/>
    </border>
    <border>
      <left style="dashed">
        <color rgb="FFEBDCFF"/>
      </left>
      <right/>
      <top style="dashed">
        <color rgb="FFEBDCFF"/>
      </top>
      <bottom style="dashed">
        <color rgb="FFEBDCFF"/>
      </bottom>
      <diagonal/>
    </border>
    <border>
      <left/>
      <right/>
      <top style="dashed">
        <color rgb="FFEBDCFF"/>
      </top>
      <bottom style="dashed">
        <color rgb="FFEBDCFF"/>
      </bottom>
      <diagonal/>
    </border>
    <border>
      <left/>
      <right/>
      <top/>
      <bottom style="dashed">
        <color rgb="FFE1C8FF"/>
      </bottom>
      <diagonal/>
    </border>
    <border>
      <left style="thick">
        <color rgb="FF5AFFA0"/>
      </left>
      <right/>
      <top style="thick">
        <color rgb="FF5AFFA0"/>
      </top>
      <bottom style="thick">
        <color rgb="FF5AFFA0"/>
      </bottom>
      <diagonal/>
    </border>
    <border>
      <left/>
      <right/>
      <top style="thick">
        <color rgb="FF5AFFA0"/>
      </top>
      <bottom style="thick">
        <color rgb="FF5AFFA0"/>
      </bottom>
      <diagonal/>
    </border>
    <border>
      <left/>
      <right style="thick">
        <color rgb="FF5AFFA0"/>
      </right>
      <top style="thick">
        <color rgb="FF5AFFA0"/>
      </top>
      <bottom style="thick">
        <color rgb="FF5AFFA0"/>
      </bottom>
      <diagonal/>
    </border>
    <border>
      <left/>
      <right style="thin">
        <color rgb="FF00B050"/>
      </right>
      <top/>
      <bottom/>
      <diagonal/>
    </border>
    <border>
      <left style="thin">
        <color rgb="FF00B050"/>
      </left>
      <right/>
      <top/>
      <bottom/>
      <diagonal/>
    </border>
    <border>
      <left style="thin">
        <color rgb="FF64FFA5"/>
      </left>
      <right/>
      <top style="thin">
        <color rgb="FF64FFA5"/>
      </top>
      <bottom/>
      <diagonal/>
    </border>
    <border>
      <left/>
      <right/>
      <top style="thin">
        <color rgb="FF64FFA5"/>
      </top>
      <bottom/>
      <diagonal/>
    </border>
    <border>
      <left/>
      <right style="thin">
        <color rgb="FF64FFA5"/>
      </right>
      <top style="thin">
        <color rgb="FF64FFA5"/>
      </top>
      <bottom/>
      <diagonal/>
    </border>
    <border>
      <left style="thin">
        <color rgb="FF64FFA5"/>
      </left>
      <right/>
      <top/>
      <bottom/>
      <diagonal/>
    </border>
    <border>
      <left/>
      <right style="thin">
        <color rgb="FF64FFA5"/>
      </right>
      <top/>
      <bottom/>
      <diagonal/>
    </border>
    <border>
      <left style="thin">
        <color rgb="FF64FFA5"/>
      </left>
      <right/>
      <top/>
      <bottom style="thin">
        <color rgb="FF64FFA5"/>
      </bottom>
      <diagonal/>
    </border>
    <border>
      <left/>
      <right/>
      <top/>
      <bottom style="thin">
        <color rgb="FF64FFA5"/>
      </bottom>
      <diagonal/>
    </border>
    <border>
      <left/>
      <right style="thin">
        <color rgb="FF64FFA5"/>
      </right>
      <top/>
      <bottom style="thin">
        <color rgb="FF64FFA5"/>
      </bottom>
      <diagonal/>
    </border>
    <border>
      <left style="thin">
        <color rgb="FF00B050"/>
      </left>
      <right/>
      <top style="thin">
        <color rgb="FF00B050"/>
      </top>
      <bottom/>
      <diagonal/>
    </border>
    <border>
      <left/>
      <right/>
      <top style="thin">
        <color rgb="FF00B050"/>
      </top>
      <bottom/>
      <diagonal/>
    </border>
    <border>
      <left/>
      <right style="thin">
        <color rgb="FF00B050"/>
      </right>
      <top style="thin">
        <color rgb="FF00B050"/>
      </top>
      <bottom/>
      <diagonal/>
    </border>
    <border>
      <left style="thin">
        <color rgb="FF00B050"/>
      </left>
      <right/>
      <top/>
      <bottom style="thin">
        <color rgb="FF00B050"/>
      </bottom>
      <diagonal/>
    </border>
    <border>
      <left/>
      <right/>
      <top/>
      <bottom style="thin">
        <color rgb="FF00B050"/>
      </bottom>
      <diagonal/>
    </border>
    <border>
      <left/>
      <right style="thin">
        <color rgb="FF00B050"/>
      </right>
      <top/>
      <bottom style="thin">
        <color rgb="FF00B050"/>
      </bottom>
      <diagonal/>
    </border>
    <border>
      <left/>
      <right style="thin">
        <color indexed="64"/>
      </right>
      <top style="thin">
        <color rgb="FF00B050"/>
      </top>
      <bottom/>
      <diagonal/>
    </border>
    <border>
      <left style="thin">
        <color indexed="64"/>
      </left>
      <right/>
      <top/>
      <bottom/>
      <diagonal/>
    </border>
    <border>
      <left style="medium">
        <color theme="0"/>
      </left>
      <right style="thick">
        <color theme="0"/>
      </right>
      <top style="double">
        <color indexed="64"/>
      </top>
      <bottom/>
      <diagonal/>
    </border>
    <border>
      <left style="medium">
        <color theme="0"/>
      </left>
      <right style="thick">
        <color theme="0"/>
      </right>
      <top/>
      <bottom/>
      <diagonal/>
    </border>
    <border>
      <left style="thick">
        <color theme="0"/>
      </left>
      <right/>
      <top style="double">
        <color indexed="64"/>
      </top>
      <bottom/>
      <diagonal/>
    </border>
    <border>
      <left style="thick">
        <color theme="0"/>
      </left>
      <right/>
      <top/>
      <bottom/>
      <diagonal/>
    </border>
    <border>
      <left style="dotted">
        <color rgb="FFFFFF00"/>
      </left>
      <right style="dotted">
        <color rgb="FFFFFF00"/>
      </right>
      <top style="double">
        <color indexed="64"/>
      </top>
      <bottom/>
      <diagonal/>
    </border>
    <border>
      <left style="dotted">
        <color rgb="FFFFFF00"/>
      </left>
      <right style="dotted">
        <color rgb="FFFFFF00"/>
      </right>
      <top/>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right style="medium">
        <color indexed="64"/>
      </right>
      <top style="medium">
        <color indexed="64"/>
      </top>
      <bottom style="double">
        <color indexed="64"/>
      </bottom>
      <diagonal/>
    </border>
    <border>
      <left/>
      <right style="dashed">
        <color rgb="FF0AFA96"/>
      </right>
      <top/>
      <bottom/>
      <diagonal/>
    </border>
    <border>
      <left style="dashed">
        <color rgb="FF0AFA96"/>
      </left>
      <right/>
      <top/>
      <bottom/>
      <diagonal/>
    </border>
    <border>
      <left style="medium">
        <color rgb="FFFF99FF"/>
      </left>
      <right/>
      <top style="medium">
        <color rgb="FFFF99FF"/>
      </top>
      <bottom/>
      <diagonal/>
    </border>
    <border>
      <left/>
      <right style="dashed">
        <color rgb="FF0AFA96"/>
      </right>
      <top style="medium">
        <color rgb="FFFF99FF"/>
      </top>
      <bottom/>
      <diagonal/>
    </border>
    <border>
      <left style="dashed">
        <color rgb="FF0AFA96"/>
      </left>
      <right/>
      <top style="medium">
        <color rgb="FFFF99FF"/>
      </top>
      <bottom/>
      <diagonal/>
    </border>
    <border>
      <left/>
      <right/>
      <top style="medium">
        <color rgb="FFFF99FF"/>
      </top>
      <bottom/>
      <diagonal/>
    </border>
    <border>
      <left/>
      <right style="medium">
        <color rgb="FFFF99FF"/>
      </right>
      <top style="medium">
        <color rgb="FFFF99FF"/>
      </top>
      <bottom/>
      <diagonal/>
    </border>
    <border>
      <left style="medium">
        <color rgb="FFFF99FF"/>
      </left>
      <right/>
      <top/>
      <bottom/>
      <diagonal/>
    </border>
    <border>
      <left/>
      <right style="medium">
        <color rgb="FFFF99FF"/>
      </right>
      <top/>
      <bottom/>
      <diagonal/>
    </border>
    <border>
      <left style="medium">
        <color rgb="FFFF99FF"/>
      </left>
      <right/>
      <top/>
      <bottom style="medium">
        <color rgb="FFFF99FF"/>
      </bottom>
      <diagonal/>
    </border>
    <border>
      <left/>
      <right style="dashed">
        <color rgb="FF0AFA96"/>
      </right>
      <top/>
      <bottom style="medium">
        <color rgb="FFFF99FF"/>
      </bottom>
      <diagonal/>
    </border>
    <border>
      <left style="dashed">
        <color rgb="FF0AFA96"/>
      </left>
      <right/>
      <top/>
      <bottom style="medium">
        <color rgb="FFFF99FF"/>
      </bottom>
      <diagonal/>
    </border>
    <border>
      <left/>
      <right/>
      <top/>
      <bottom style="medium">
        <color rgb="FFFF99FF"/>
      </bottom>
      <diagonal/>
    </border>
    <border>
      <left/>
      <right style="medium">
        <color rgb="FFFF99FF"/>
      </right>
      <top/>
      <bottom style="medium">
        <color rgb="FFFF99FF"/>
      </bottom>
      <diagonal/>
    </border>
    <border>
      <left style="thick">
        <color rgb="FFFFE1FF"/>
      </left>
      <right/>
      <top style="thick">
        <color rgb="FFFFE1FF"/>
      </top>
      <bottom/>
      <diagonal/>
    </border>
    <border>
      <left/>
      <right/>
      <top style="thick">
        <color rgb="FFFFE1FF"/>
      </top>
      <bottom/>
      <diagonal/>
    </border>
    <border>
      <left/>
      <right style="thick">
        <color rgb="FFFFE1FF"/>
      </right>
      <top style="thick">
        <color rgb="FFFFE1FF"/>
      </top>
      <bottom/>
      <diagonal/>
    </border>
    <border>
      <left style="thick">
        <color rgb="FFFFE1FF"/>
      </left>
      <right/>
      <top/>
      <bottom/>
      <diagonal/>
    </border>
    <border>
      <left/>
      <right style="thick">
        <color rgb="FFFFE1FF"/>
      </right>
      <top/>
      <bottom/>
      <diagonal/>
    </border>
    <border>
      <left style="thick">
        <color rgb="FFFFE1FF"/>
      </left>
      <right/>
      <top/>
      <bottom style="thick">
        <color rgb="FFFFE1FF"/>
      </bottom>
      <diagonal/>
    </border>
    <border>
      <left/>
      <right/>
      <top/>
      <bottom style="thick">
        <color rgb="FFFFE1FF"/>
      </bottom>
      <diagonal/>
    </border>
    <border>
      <left/>
      <right style="thick">
        <color rgb="FFFFE1FF"/>
      </right>
      <top/>
      <bottom style="thick">
        <color rgb="FFFFE1FF"/>
      </bottom>
      <diagonal/>
    </border>
    <border>
      <left style="medium">
        <color rgb="FFFF99FF"/>
      </left>
      <right/>
      <top/>
      <bottom style="thick">
        <color rgb="FFFFE1FF"/>
      </bottom>
      <diagonal/>
    </border>
    <border>
      <left/>
      <right style="medium">
        <color rgb="FFFF99FF"/>
      </right>
      <top/>
      <bottom style="thick">
        <color rgb="FFFFE1FF"/>
      </bottom>
      <diagonal/>
    </border>
    <border>
      <left style="medium">
        <color rgb="FFFF99FF"/>
      </left>
      <right/>
      <top style="thick">
        <color rgb="FFFFE1FF"/>
      </top>
      <bottom/>
      <diagonal/>
    </border>
    <border>
      <left/>
      <right style="medium">
        <color rgb="FFFF99FF"/>
      </right>
      <top style="thick">
        <color rgb="FFFFE1FF"/>
      </top>
      <bottom/>
      <diagonal/>
    </border>
    <border>
      <left style="medium">
        <color rgb="FFFFE1FF"/>
      </left>
      <right/>
      <top style="medium">
        <color rgb="FFFFE1FF"/>
      </top>
      <bottom/>
      <diagonal/>
    </border>
    <border>
      <left/>
      <right/>
      <top style="medium">
        <color rgb="FFFFE1FF"/>
      </top>
      <bottom/>
      <diagonal/>
    </border>
    <border>
      <left/>
      <right style="medium">
        <color rgb="FFFFE1FF"/>
      </right>
      <top style="medium">
        <color rgb="FFFFE1FF"/>
      </top>
      <bottom/>
      <diagonal/>
    </border>
    <border>
      <left style="medium">
        <color rgb="FFFFE1FF"/>
      </left>
      <right/>
      <top/>
      <bottom/>
      <diagonal/>
    </border>
    <border>
      <left/>
      <right style="medium">
        <color rgb="FFFFE1FF"/>
      </right>
      <top/>
      <bottom/>
      <diagonal/>
    </border>
    <border>
      <left style="medium">
        <color rgb="FFFFE1FF"/>
      </left>
      <right/>
      <top/>
      <bottom style="medium">
        <color rgb="FFFFE1FF"/>
      </bottom>
      <diagonal/>
    </border>
    <border>
      <left/>
      <right/>
      <top/>
      <bottom style="medium">
        <color rgb="FFFFE1FF"/>
      </bottom>
      <diagonal/>
    </border>
    <border>
      <left/>
      <right style="medium">
        <color rgb="FFFFE1FF"/>
      </right>
      <top/>
      <bottom style="medium">
        <color rgb="FFFFE1FF"/>
      </bottom>
      <diagonal/>
    </border>
    <border>
      <left/>
      <right/>
      <top/>
      <bottom style="medium">
        <color rgb="FF00B0F0"/>
      </bottom>
      <diagonal/>
    </border>
    <border>
      <left style="medium">
        <color rgb="FF00B0F0"/>
      </left>
      <right/>
      <top/>
      <bottom style="medium">
        <color rgb="FF00B0F0"/>
      </bottom>
      <diagonal/>
    </border>
    <border>
      <left style="medium">
        <color rgb="FF00B0F0"/>
      </left>
      <right/>
      <top/>
      <bottom/>
      <diagonal/>
    </border>
    <border>
      <left/>
      <right style="mediumDashed">
        <color theme="0"/>
      </right>
      <top/>
      <bottom/>
      <diagonal/>
    </border>
    <border>
      <left style="mediumDashed">
        <color theme="0"/>
      </left>
      <right style="mediumDashed">
        <color theme="0"/>
      </right>
      <top/>
      <bottom/>
      <diagonal/>
    </border>
    <border>
      <left style="mediumDashed">
        <color theme="0"/>
      </left>
      <right/>
      <top/>
      <bottom/>
      <diagonal/>
    </border>
    <border>
      <left/>
      <right style="mediumDashed">
        <color theme="0"/>
      </right>
      <top/>
      <bottom style="medium">
        <color rgb="FF00B0F0"/>
      </bottom>
      <diagonal/>
    </border>
    <border>
      <left style="mediumDashed">
        <color theme="0"/>
      </left>
      <right style="mediumDashed">
        <color theme="0"/>
      </right>
      <top/>
      <bottom style="medium">
        <color rgb="FF00B0F0"/>
      </bottom>
      <diagonal/>
    </border>
    <border>
      <left style="mediumDashed">
        <color theme="0"/>
      </left>
      <right style="mediumDashed">
        <color theme="0"/>
      </right>
      <top/>
      <bottom style="medium">
        <color rgb="FFFF0000"/>
      </bottom>
      <diagonal/>
    </border>
    <border>
      <left style="mediumDashed">
        <color theme="0"/>
      </left>
      <right/>
      <top/>
      <bottom style="medium">
        <color rgb="FFFF0000"/>
      </bottom>
      <diagonal/>
    </border>
    <border>
      <left style="medium">
        <color indexed="64"/>
      </left>
      <right style="medium">
        <color indexed="64"/>
      </right>
      <top style="medium">
        <color indexed="64"/>
      </top>
      <bottom style="medium">
        <color indexed="64"/>
      </bottom>
      <diagonal/>
    </border>
    <border>
      <left/>
      <right/>
      <top/>
      <bottom style="thick">
        <color theme="0"/>
      </bottom>
      <diagonal/>
    </border>
    <border>
      <left/>
      <right/>
      <top style="thick">
        <color theme="0"/>
      </top>
      <bottom/>
      <diagonal/>
    </border>
    <border>
      <left style="medium">
        <color rgb="FF780091"/>
      </left>
      <right/>
      <top style="medium">
        <color rgb="FF780091"/>
      </top>
      <bottom style="medium">
        <color rgb="FF780091"/>
      </bottom>
      <diagonal/>
    </border>
    <border>
      <left/>
      <right/>
      <top style="medium">
        <color rgb="FF780091"/>
      </top>
      <bottom style="medium">
        <color rgb="FF780091"/>
      </bottom>
      <diagonal/>
    </border>
    <border>
      <left/>
      <right style="medium">
        <color rgb="FF780091"/>
      </right>
      <top style="medium">
        <color rgb="FF780091"/>
      </top>
      <bottom style="medium">
        <color rgb="FF780091"/>
      </bottom>
      <diagonal/>
    </border>
    <border>
      <left style="medium">
        <color rgb="FF1E5A28"/>
      </left>
      <right/>
      <top style="medium">
        <color rgb="FF1E5A28"/>
      </top>
      <bottom style="medium">
        <color rgb="FF1E5A28"/>
      </bottom>
      <diagonal/>
    </border>
    <border>
      <left/>
      <right/>
      <top style="medium">
        <color rgb="FF1E5A28"/>
      </top>
      <bottom style="medium">
        <color rgb="FF1E5A28"/>
      </bottom>
      <diagonal/>
    </border>
    <border>
      <left/>
      <right style="medium">
        <color rgb="FF1E5A28"/>
      </right>
      <top style="medium">
        <color rgb="FF1E5A28"/>
      </top>
      <bottom style="medium">
        <color rgb="FF1E5A28"/>
      </bottom>
      <diagonal/>
    </border>
    <border>
      <left style="medium">
        <color rgb="FF780091"/>
      </left>
      <right/>
      <top style="medium">
        <color rgb="FF780091"/>
      </top>
      <bottom style="medium">
        <color indexed="64"/>
      </bottom>
      <diagonal/>
    </border>
    <border>
      <left/>
      <right/>
      <top style="medium">
        <color rgb="FF780091"/>
      </top>
      <bottom style="medium">
        <color indexed="64"/>
      </bottom>
      <diagonal/>
    </border>
    <border>
      <left/>
      <right style="medium">
        <color rgb="FF780091"/>
      </right>
      <top style="medium">
        <color rgb="FF780091"/>
      </top>
      <bottom style="medium">
        <color indexed="64"/>
      </bottom>
      <diagonal/>
    </border>
    <border>
      <left style="medium">
        <color rgb="FF780091"/>
      </left>
      <right/>
      <top style="medium">
        <color indexed="64"/>
      </top>
      <bottom style="medium">
        <color rgb="FF780091"/>
      </bottom>
      <diagonal/>
    </border>
    <border>
      <left/>
      <right/>
      <top style="medium">
        <color indexed="64"/>
      </top>
      <bottom style="medium">
        <color rgb="FF780091"/>
      </bottom>
      <diagonal/>
    </border>
    <border>
      <left/>
      <right style="medium">
        <color rgb="FF780091"/>
      </right>
      <top style="medium">
        <color indexed="64"/>
      </top>
      <bottom style="medium">
        <color rgb="FF780091"/>
      </bottom>
      <diagonal/>
    </border>
    <border>
      <left style="medium">
        <color indexed="64"/>
      </left>
      <right/>
      <top style="medium">
        <color rgb="FF2BFF8C"/>
      </top>
      <bottom style="medium">
        <color rgb="FF2BFF8C"/>
      </bottom>
      <diagonal/>
    </border>
    <border>
      <left/>
      <right/>
      <top style="medium">
        <color rgb="FF2BFF8C"/>
      </top>
      <bottom style="medium">
        <color rgb="FF2BFF8C"/>
      </bottom>
      <diagonal/>
    </border>
    <border>
      <left/>
      <right style="medium">
        <color rgb="FF2BFF8C"/>
      </right>
      <top style="medium">
        <color rgb="FF2BFF8C"/>
      </top>
      <bottom style="medium">
        <color rgb="FF2BFF8C"/>
      </bottom>
      <diagonal/>
    </border>
    <border>
      <left/>
      <right/>
      <top/>
      <bottom style="thin">
        <color rgb="FFCC00CC"/>
      </bottom>
      <diagonal/>
    </border>
    <border>
      <left/>
      <right/>
      <top style="thin">
        <color rgb="FFCC00CC"/>
      </top>
      <bottom/>
      <diagonal/>
    </border>
    <border>
      <left style="thick">
        <color theme="0"/>
      </left>
      <right/>
      <top style="thick">
        <color theme="0"/>
      </top>
      <bottom/>
      <diagonal/>
    </border>
    <border>
      <left/>
      <right style="thick">
        <color theme="0"/>
      </right>
      <top style="thick">
        <color theme="0"/>
      </top>
      <bottom/>
      <diagonal/>
    </border>
    <border>
      <left/>
      <right style="thick">
        <color theme="0"/>
      </right>
      <top/>
      <bottom/>
      <diagonal/>
    </border>
    <border>
      <left style="thick">
        <color theme="0"/>
      </left>
      <right/>
      <top/>
      <bottom style="thick">
        <color theme="0"/>
      </bottom>
      <diagonal/>
    </border>
    <border>
      <left/>
      <right style="thick">
        <color theme="0"/>
      </right>
      <top/>
      <bottom style="thick">
        <color theme="0"/>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thin">
        <color indexed="64"/>
      </left>
      <right/>
      <top style="double">
        <color indexed="64"/>
      </top>
      <bottom style="thin">
        <color indexed="64"/>
      </bottom>
      <diagonal/>
    </border>
    <border>
      <left/>
      <right style="thin">
        <color indexed="64"/>
      </right>
      <top style="double">
        <color indexed="64"/>
      </top>
      <bottom style="thin">
        <color indexed="64"/>
      </bottom>
      <diagonal/>
    </border>
    <border>
      <left style="thin">
        <color theme="0" tint="-0.34998626667073579"/>
      </left>
      <right/>
      <top style="thin">
        <color indexed="64"/>
      </top>
      <bottom style="thin">
        <color indexed="64"/>
      </bottom>
      <diagonal/>
    </border>
    <border>
      <left style="double">
        <color theme="0"/>
      </left>
      <right/>
      <top style="double">
        <color theme="0"/>
      </top>
      <bottom/>
      <diagonal/>
    </border>
    <border>
      <left/>
      <right/>
      <top style="double">
        <color theme="0"/>
      </top>
      <bottom/>
      <diagonal/>
    </border>
    <border>
      <left/>
      <right style="double">
        <color theme="0"/>
      </right>
      <top style="double">
        <color theme="0"/>
      </top>
      <bottom/>
      <diagonal/>
    </border>
    <border>
      <left style="double">
        <color theme="0"/>
      </left>
      <right/>
      <top/>
      <bottom/>
      <diagonal/>
    </border>
    <border>
      <left/>
      <right style="double">
        <color theme="0"/>
      </right>
      <top/>
      <bottom/>
      <diagonal/>
    </border>
    <border>
      <left style="double">
        <color theme="0"/>
      </left>
      <right/>
      <top/>
      <bottom style="double">
        <color theme="0"/>
      </bottom>
      <diagonal/>
    </border>
    <border>
      <left/>
      <right/>
      <top/>
      <bottom style="double">
        <color theme="0"/>
      </bottom>
      <diagonal/>
    </border>
    <border>
      <left/>
      <right style="double">
        <color theme="0"/>
      </right>
      <top/>
      <bottom style="double">
        <color theme="0"/>
      </bottom>
      <diagonal/>
    </border>
    <border>
      <left style="double">
        <color rgb="FF00823C"/>
      </left>
      <right/>
      <top style="double">
        <color rgb="FF00823C"/>
      </top>
      <bottom style="double">
        <color rgb="FF00823C"/>
      </bottom>
      <diagonal/>
    </border>
    <border>
      <left/>
      <right style="double">
        <color rgb="FF00823C"/>
      </right>
      <top style="double">
        <color rgb="FF00823C"/>
      </top>
      <bottom style="double">
        <color rgb="FF00823C"/>
      </bottom>
      <diagonal/>
    </border>
    <border>
      <left style="thin">
        <color rgb="FFA5FFC8"/>
      </left>
      <right/>
      <top style="thin">
        <color rgb="FFA5FFC8"/>
      </top>
      <bottom/>
      <diagonal/>
    </border>
    <border>
      <left/>
      <right/>
      <top style="thin">
        <color rgb="FFA5FFC8"/>
      </top>
      <bottom/>
      <diagonal/>
    </border>
    <border>
      <left/>
      <right style="thin">
        <color rgb="FFA5FFC8"/>
      </right>
      <top style="thin">
        <color rgb="FFA5FFC8"/>
      </top>
      <bottom/>
      <diagonal/>
    </border>
    <border>
      <left style="thin">
        <color rgb="FFA5FFC8"/>
      </left>
      <right/>
      <top/>
      <bottom/>
      <diagonal/>
    </border>
    <border>
      <left/>
      <right style="thin">
        <color rgb="FFA5FFC8"/>
      </right>
      <top/>
      <bottom/>
      <diagonal/>
    </border>
    <border>
      <left style="thin">
        <color rgb="FFA5FFC8"/>
      </left>
      <right/>
      <top/>
      <bottom style="thin">
        <color rgb="FFA5FFC8"/>
      </bottom>
      <diagonal/>
    </border>
    <border>
      <left/>
      <right/>
      <top/>
      <bottom style="thin">
        <color rgb="FFA5FFC8"/>
      </bottom>
      <diagonal/>
    </border>
    <border>
      <left/>
      <right style="thin">
        <color rgb="FFA5FFC8"/>
      </right>
      <top/>
      <bottom style="thin">
        <color rgb="FFA5FFC8"/>
      </bottom>
      <diagonal/>
    </border>
    <border>
      <left style="medium">
        <color rgb="FFFF99FF"/>
      </left>
      <right/>
      <top/>
      <bottom style="mediumDashed">
        <color rgb="FFFF99FF"/>
      </bottom>
      <diagonal/>
    </border>
    <border>
      <left/>
      <right/>
      <top/>
      <bottom style="mediumDashed">
        <color rgb="FFFF99FF"/>
      </bottom>
      <diagonal/>
    </border>
    <border>
      <left/>
      <right style="medium">
        <color rgb="FFFF99FF"/>
      </right>
      <top/>
      <bottom style="mediumDashed">
        <color rgb="FFFF99FF"/>
      </bottom>
      <diagonal/>
    </border>
    <border>
      <left style="medium">
        <color rgb="FFFF99FF"/>
      </left>
      <right/>
      <top style="mediumDashed">
        <color rgb="FFFF99FF"/>
      </top>
      <bottom/>
      <diagonal/>
    </border>
    <border>
      <left/>
      <right/>
      <top style="mediumDashed">
        <color rgb="FFFF99FF"/>
      </top>
      <bottom/>
      <diagonal/>
    </border>
    <border>
      <left/>
      <right style="medium">
        <color rgb="FFFF99FF"/>
      </right>
      <top style="mediumDashed">
        <color rgb="FFFF99FF"/>
      </top>
      <bottom/>
      <diagonal/>
    </border>
    <border>
      <left style="thin">
        <color rgb="FF00B050"/>
      </left>
      <right/>
      <top style="thin">
        <color rgb="FF64FFA5"/>
      </top>
      <bottom/>
      <diagonal/>
    </border>
    <border>
      <left style="thin">
        <color rgb="FF00B050"/>
      </left>
      <right/>
      <top/>
      <bottom style="thin">
        <color rgb="FF64FFA5"/>
      </bottom>
      <diagonal/>
    </border>
    <border>
      <left/>
      <right style="thin">
        <color rgb="FF00B050"/>
      </right>
      <top style="thin">
        <color rgb="FF64FFA5"/>
      </top>
      <bottom/>
      <diagonal/>
    </border>
    <border>
      <left/>
      <right style="thin">
        <color rgb="FF00B050"/>
      </right>
      <top/>
      <bottom style="thin">
        <color rgb="FF64FFA5"/>
      </bottom>
      <diagonal/>
    </border>
    <border>
      <left style="thick">
        <color rgb="FF00B050"/>
      </left>
      <right/>
      <top/>
      <bottom/>
      <diagonal/>
    </border>
    <border>
      <left/>
      <right style="thick">
        <color rgb="FF00B050"/>
      </right>
      <top/>
      <bottom/>
      <diagonal/>
    </border>
    <border>
      <left style="thick">
        <color rgb="FF00B050"/>
      </left>
      <right/>
      <top/>
      <bottom style="thick">
        <color rgb="FF00B050"/>
      </bottom>
      <diagonal/>
    </border>
    <border>
      <left/>
      <right/>
      <top/>
      <bottom style="thick">
        <color rgb="FF00B050"/>
      </bottom>
      <diagonal/>
    </border>
    <border>
      <left/>
      <right style="thick">
        <color rgb="FF00B050"/>
      </right>
      <top/>
      <bottom style="thick">
        <color rgb="FF00B050"/>
      </bottom>
      <diagonal/>
    </border>
    <border>
      <left style="thick">
        <color rgb="FF00B050"/>
      </left>
      <right/>
      <top style="thick">
        <color rgb="FF00B050"/>
      </top>
      <bottom/>
      <diagonal/>
    </border>
    <border>
      <left/>
      <right style="thick">
        <color rgb="FF00B050"/>
      </right>
      <top style="thick">
        <color rgb="FF00B050"/>
      </top>
      <bottom/>
      <diagonal/>
    </border>
  </borders>
  <cellStyleXfs count="6">
    <xf numFmtId="0" fontId="0" fillId="0" borderId="0"/>
    <xf numFmtId="9" fontId="1" fillId="0" borderId="0" applyFont="0" applyFill="0" applyBorder="0" applyAlignment="0" applyProtection="0"/>
    <xf numFmtId="0" fontId="2" fillId="0" borderId="0"/>
    <xf numFmtId="0" fontId="99" fillId="34" borderId="0" applyNumberFormat="0" applyBorder="0" applyAlignment="0" applyProtection="0"/>
    <xf numFmtId="0" fontId="154" fillId="0" borderId="0" applyNumberFormat="0" applyFill="0" applyBorder="0" applyAlignment="0" applyProtection="0"/>
    <xf numFmtId="44" fontId="1" fillId="0" borderId="0" applyFont="0" applyFill="0" applyBorder="0" applyAlignment="0" applyProtection="0"/>
  </cellStyleXfs>
  <cellXfs count="1488">
    <xf numFmtId="0" fontId="0" fillId="0" borderId="0" xfId="0"/>
    <xf numFmtId="0" fontId="9" fillId="4" borderId="0" xfId="0" applyFont="1" applyFill="1" applyBorder="1"/>
    <xf numFmtId="0" fontId="9" fillId="4" borderId="0" xfId="0" applyFont="1" applyFill="1"/>
    <xf numFmtId="0" fontId="9" fillId="7" borderId="0" xfId="0" applyFont="1" applyFill="1" applyBorder="1"/>
    <xf numFmtId="0" fontId="9" fillId="4" borderId="18" xfId="0" applyFont="1" applyFill="1" applyBorder="1"/>
    <xf numFmtId="0" fontId="9" fillId="4" borderId="19" xfId="0" applyFont="1" applyFill="1" applyBorder="1"/>
    <xf numFmtId="0" fontId="9" fillId="4" borderId="20" xfId="0" applyFont="1" applyFill="1" applyBorder="1"/>
    <xf numFmtId="0" fontId="9" fillId="7" borderId="0" xfId="0" applyFont="1" applyFill="1" applyBorder="1" applyAlignment="1">
      <alignment vertical="center" wrapText="1"/>
    </xf>
    <xf numFmtId="0" fontId="9" fillId="14" borderId="0" xfId="0" applyFont="1" applyFill="1" applyBorder="1"/>
    <xf numFmtId="0" fontId="9" fillId="14" borderId="32" xfId="0" applyFont="1" applyFill="1" applyBorder="1"/>
    <xf numFmtId="0" fontId="9" fillId="14" borderId="33" xfId="0" applyFont="1" applyFill="1" applyBorder="1"/>
    <xf numFmtId="0" fontId="25" fillId="14" borderId="0" xfId="0" applyFont="1" applyFill="1" applyBorder="1" applyAlignment="1">
      <alignment vertical="center"/>
    </xf>
    <xf numFmtId="0" fontId="25" fillId="14" borderId="32" xfId="0" applyFont="1" applyFill="1" applyBorder="1" applyAlignment="1">
      <alignment vertical="center"/>
    </xf>
    <xf numFmtId="0" fontId="24" fillId="14" borderId="0" xfId="0" applyFont="1" applyFill="1" applyBorder="1"/>
    <xf numFmtId="0" fontId="23" fillId="14" borderId="32" xfId="0" applyFont="1" applyFill="1" applyBorder="1" applyAlignment="1">
      <alignment vertical="center"/>
    </xf>
    <xf numFmtId="0" fontId="9" fillId="4" borderId="24" xfId="0" applyFont="1" applyFill="1" applyBorder="1" applyAlignment="1">
      <alignment horizontal="center" vertical="center"/>
    </xf>
    <xf numFmtId="9" fontId="16" fillId="4" borderId="0" xfId="1" applyFont="1" applyFill="1"/>
    <xf numFmtId="0" fontId="25" fillId="16" borderId="0" xfId="0" applyFont="1" applyFill="1" applyBorder="1" applyAlignment="1">
      <alignment vertical="center"/>
    </xf>
    <xf numFmtId="0" fontId="25" fillId="16" borderId="32" xfId="0" applyFont="1" applyFill="1" applyBorder="1" applyAlignment="1">
      <alignment vertical="center"/>
    </xf>
    <xf numFmtId="0" fontId="9" fillId="16" borderId="0" xfId="0" applyFont="1" applyFill="1" applyBorder="1"/>
    <xf numFmtId="0" fontId="9" fillId="16" borderId="32" xfId="0" applyFont="1" applyFill="1" applyBorder="1"/>
    <xf numFmtId="0" fontId="9" fillId="16" borderId="33" xfId="0" applyFont="1" applyFill="1" applyBorder="1"/>
    <xf numFmtId="0" fontId="23" fillId="16" borderId="0" xfId="0" applyFont="1" applyFill="1" applyBorder="1" applyAlignment="1">
      <alignment vertical="center"/>
    </xf>
    <xf numFmtId="0" fontId="23" fillId="16" borderId="32" xfId="0" applyFont="1" applyFill="1" applyBorder="1" applyAlignment="1">
      <alignment vertical="center"/>
    </xf>
    <xf numFmtId="0" fontId="9" fillId="9" borderId="0" xfId="0" applyFont="1" applyFill="1" applyBorder="1"/>
    <xf numFmtId="0" fontId="9" fillId="9" borderId="0" xfId="0" applyFont="1" applyFill="1" applyBorder="1" applyAlignment="1">
      <alignment horizontal="center" vertical="center" wrapText="1"/>
    </xf>
    <xf numFmtId="0" fontId="9" fillId="22" borderId="0" xfId="0" applyFont="1" applyFill="1" applyBorder="1"/>
    <xf numFmtId="0" fontId="9" fillId="3" borderId="0" xfId="0" applyFont="1" applyFill="1" applyBorder="1"/>
    <xf numFmtId="0" fontId="9" fillId="19" borderId="0" xfId="0" applyFont="1" applyFill="1" applyBorder="1"/>
    <xf numFmtId="0" fontId="9" fillId="26" borderId="0" xfId="0" applyFont="1" applyFill="1" applyBorder="1"/>
    <xf numFmtId="0" fontId="9" fillId="3" borderId="0" xfId="0" applyFont="1" applyFill="1" applyBorder="1" applyAlignment="1">
      <alignment vertical="center"/>
    </xf>
    <xf numFmtId="0" fontId="9" fillId="5" borderId="0" xfId="0" applyFont="1" applyFill="1" applyBorder="1" applyAlignment="1">
      <alignment vertical="center"/>
    </xf>
    <xf numFmtId="0" fontId="9" fillId="4" borderId="14" xfId="0" applyFont="1" applyFill="1" applyBorder="1"/>
    <xf numFmtId="0" fontId="9" fillId="4" borderId="15" xfId="0" applyFont="1" applyFill="1" applyBorder="1"/>
    <xf numFmtId="0" fontId="9" fillId="4" borderId="16" xfId="0" applyFont="1" applyFill="1" applyBorder="1"/>
    <xf numFmtId="0" fontId="9" fillId="7" borderId="50" xfId="0" applyFont="1" applyFill="1" applyBorder="1" applyAlignment="1">
      <alignment vertical="center" wrapText="1"/>
    </xf>
    <xf numFmtId="0" fontId="9" fillId="7" borderId="51" xfId="0" applyFont="1" applyFill="1" applyBorder="1" applyAlignment="1">
      <alignment vertical="center" wrapText="1"/>
    </xf>
    <xf numFmtId="0" fontId="16" fillId="4" borderId="0" xfId="0" applyFont="1" applyFill="1"/>
    <xf numFmtId="164" fontId="38" fillId="6" borderId="0" xfId="2" applyNumberFormat="1" applyFont="1" applyFill="1" applyAlignment="1">
      <alignment horizontal="center" vertical="center"/>
    </xf>
    <xf numFmtId="164" fontId="37" fillId="6" borderId="0" xfId="2" applyNumberFormat="1" applyFont="1" applyFill="1" applyAlignment="1">
      <alignment horizontal="center" vertical="center"/>
    </xf>
    <xf numFmtId="0" fontId="16" fillId="19" borderId="0" xfId="0" applyFont="1" applyFill="1" applyBorder="1"/>
    <xf numFmtId="0" fontId="42" fillId="9" borderId="0" xfId="0" applyFont="1" applyFill="1" applyBorder="1"/>
    <xf numFmtId="0" fontId="45" fillId="8" borderId="0" xfId="0" applyFont="1" applyFill="1" applyBorder="1"/>
    <xf numFmtId="0" fontId="46" fillId="8" borderId="0" xfId="0" applyFont="1" applyFill="1" applyBorder="1"/>
    <xf numFmtId="0" fontId="45" fillId="8" borderId="0" xfId="0" applyFont="1" applyFill="1" applyBorder="1" applyAlignment="1">
      <alignment horizontal="right"/>
    </xf>
    <xf numFmtId="0" fontId="46" fillId="4" borderId="0" xfId="0" applyFont="1" applyFill="1"/>
    <xf numFmtId="0" fontId="9" fillId="4" borderId="0" xfId="0" applyFont="1" applyFill="1" applyAlignment="1">
      <alignment wrapText="1"/>
    </xf>
    <xf numFmtId="0" fontId="9" fillId="4" borderId="0" xfId="0" quotePrefix="1" applyFont="1" applyFill="1"/>
    <xf numFmtId="0" fontId="14" fillId="4" borderId="0" xfId="0" applyFont="1" applyFill="1" applyAlignment="1">
      <alignment horizontal="right"/>
    </xf>
    <xf numFmtId="0" fontId="49" fillId="4" borderId="0" xfId="0" applyFont="1" applyFill="1"/>
    <xf numFmtId="0" fontId="14" fillId="4" borderId="0" xfId="0" applyFont="1" applyFill="1" applyAlignment="1">
      <alignment horizontal="right" indent="1"/>
    </xf>
    <xf numFmtId="0" fontId="16" fillId="14" borderId="69" xfId="0" applyFont="1" applyFill="1" applyBorder="1" applyAlignment="1">
      <alignment horizontal="center" vertical="center"/>
    </xf>
    <xf numFmtId="0" fontId="16" fillId="14" borderId="70" xfId="0" applyFont="1" applyFill="1" applyBorder="1"/>
    <xf numFmtId="0" fontId="16" fillId="14" borderId="71" xfId="0" applyFont="1" applyFill="1" applyBorder="1"/>
    <xf numFmtId="0" fontId="16" fillId="16" borderId="69" xfId="0" applyFont="1" applyFill="1" applyBorder="1" applyAlignment="1">
      <alignment horizontal="center" vertical="center"/>
    </xf>
    <xf numFmtId="0" fontId="9" fillId="16" borderId="70" xfId="0" applyFont="1" applyFill="1" applyBorder="1"/>
    <xf numFmtId="0" fontId="9" fillId="16" borderId="71" xfId="0" applyFont="1" applyFill="1" applyBorder="1"/>
    <xf numFmtId="0" fontId="22" fillId="14" borderId="72" xfId="0" applyFont="1" applyFill="1" applyBorder="1"/>
    <xf numFmtId="0" fontId="22" fillId="14" borderId="73" xfId="0" applyFont="1" applyFill="1" applyBorder="1"/>
    <xf numFmtId="0" fontId="22" fillId="14" borderId="74" xfId="0" applyFont="1" applyFill="1" applyBorder="1"/>
    <xf numFmtId="0" fontId="22" fillId="16" borderId="72" xfId="0" applyFont="1" applyFill="1" applyBorder="1"/>
    <xf numFmtId="0" fontId="22" fillId="16" borderId="73" xfId="0" applyFont="1" applyFill="1" applyBorder="1"/>
    <xf numFmtId="0" fontId="22" fillId="16" borderId="74" xfId="0" applyFont="1" applyFill="1" applyBorder="1"/>
    <xf numFmtId="0" fontId="22" fillId="16" borderId="76" xfId="0" applyFont="1" applyFill="1" applyBorder="1"/>
    <xf numFmtId="0" fontId="22" fillId="16" borderId="77" xfId="0" applyFont="1" applyFill="1" applyBorder="1"/>
    <xf numFmtId="0" fontId="22" fillId="16" borderId="78" xfId="0" applyFont="1" applyFill="1" applyBorder="1"/>
    <xf numFmtId="0" fontId="22" fillId="16" borderId="79" xfId="0" applyFont="1" applyFill="1" applyBorder="1"/>
    <xf numFmtId="0" fontId="25" fillId="16" borderId="2" xfId="0" applyFont="1" applyFill="1" applyBorder="1" applyAlignment="1">
      <alignment vertical="center"/>
    </xf>
    <xf numFmtId="0" fontId="9" fillId="16" borderId="2" xfId="0" applyFont="1" applyFill="1" applyBorder="1"/>
    <xf numFmtId="0" fontId="9" fillId="16" borderId="82" xfId="0" applyFont="1" applyFill="1" applyBorder="1"/>
    <xf numFmtId="0" fontId="22" fillId="16" borderId="84" xfId="0" applyFont="1" applyFill="1" applyBorder="1"/>
    <xf numFmtId="0" fontId="23" fillId="16" borderId="2" xfId="0" applyFont="1" applyFill="1" applyBorder="1" applyAlignment="1">
      <alignment vertical="center"/>
    </xf>
    <xf numFmtId="0" fontId="16" fillId="16" borderId="1" xfId="0" applyFont="1" applyFill="1" applyBorder="1" applyAlignment="1">
      <alignment horizontal="center" vertical="center"/>
    </xf>
    <xf numFmtId="0" fontId="9" fillId="16" borderId="86" xfId="0" applyFont="1" applyFill="1" applyBorder="1"/>
    <xf numFmtId="0" fontId="9" fillId="16" borderId="87" xfId="0" applyFont="1" applyFill="1" applyBorder="1"/>
    <xf numFmtId="0" fontId="9" fillId="16" borderId="88" xfId="0" applyFont="1" applyFill="1" applyBorder="1"/>
    <xf numFmtId="0" fontId="22" fillId="14" borderId="75" xfId="0" applyFont="1" applyFill="1" applyBorder="1"/>
    <xf numFmtId="0" fontId="22" fillId="14" borderId="76" xfId="0" applyFont="1" applyFill="1" applyBorder="1"/>
    <xf numFmtId="0" fontId="22" fillId="14" borderId="77" xfId="0" applyFont="1" applyFill="1" applyBorder="1"/>
    <xf numFmtId="0" fontId="22" fillId="14" borderId="78" xfId="0" applyFont="1" applyFill="1" applyBorder="1"/>
    <xf numFmtId="0" fontId="22" fillId="14" borderId="79" xfId="0" applyFont="1" applyFill="1" applyBorder="1"/>
    <xf numFmtId="0" fontId="24" fillId="14" borderId="2" xfId="0" applyFont="1" applyFill="1" applyBorder="1"/>
    <xf numFmtId="0" fontId="9" fillId="14" borderId="80" xfId="0" applyFont="1" applyFill="1" applyBorder="1"/>
    <xf numFmtId="0" fontId="9" fillId="14" borderId="2" xfId="0" applyFont="1" applyFill="1" applyBorder="1"/>
    <xf numFmtId="0" fontId="16" fillId="14" borderId="81" xfId="0" applyFont="1" applyFill="1" applyBorder="1"/>
    <xf numFmtId="0" fontId="16" fillId="14" borderId="82" xfId="0" applyFont="1" applyFill="1" applyBorder="1"/>
    <xf numFmtId="0" fontId="22" fillId="14" borderId="83" xfId="0" applyFont="1" applyFill="1" applyBorder="1"/>
    <xf numFmtId="0" fontId="22" fillId="14" borderId="84" xfId="0" applyFont="1" applyFill="1" applyBorder="1"/>
    <xf numFmtId="0" fontId="25" fillId="14" borderId="2" xfId="0" applyFont="1" applyFill="1" applyBorder="1" applyAlignment="1">
      <alignment vertical="center"/>
    </xf>
    <xf numFmtId="0" fontId="16" fillId="14" borderId="85" xfId="0" applyFont="1" applyFill="1" applyBorder="1"/>
    <xf numFmtId="0" fontId="16" fillId="14" borderId="1" xfId="0" applyFont="1" applyFill="1" applyBorder="1" applyAlignment="1">
      <alignment horizontal="center" vertical="center"/>
    </xf>
    <xf numFmtId="0" fontId="16" fillId="14" borderId="86" xfId="0" applyFont="1" applyFill="1" applyBorder="1"/>
    <xf numFmtId="0" fontId="16" fillId="14" borderId="87" xfId="0" applyFont="1" applyFill="1" applyBorder="1"/>
    <xf numFmtId="0" fontId="16" fillId="14" borderId="88" xfId="0" applyFont="1" applyFill="1" applyBorder="1"/>
    <xf numFmtId="0" fontId="17" fillId="22" borderId="0" xfId="0" applyFont="1" applyFill="1" applyBorder="1" applyAlignment="1">
      <alignment horizontal="left" vertical="center" indent="1"/>
    </xf>
    <xf numFmtId="0" fontId="53" fillId="17" borderId="0" xfId="0" applyFont="1" applyFill="1" applyBorder="1" applyAlignment="1">
      <alignment vertical="center"/>
    </xf>
    <xf numFmtId="0" fontId="54" fillId="17" borderId="0" xfId="0" applyFont="1" applyFill="1" applyBorder="1" applyAlignment="1">
      <alignment vertical="center"/>
    </xf>
    <xf numFmtId="0" fontId="17" fillId="3" borderId="0" xfId="0" applyFont="1" applyFill="1" applyBorder="1" applyAlignment="1">
      <alignment horizontal="left" vertical="center" indent="1"/>
    </xf>
    <xf numFmtId="0" fontId="17" fillId="5" borderId="0" xfId="0" applyFont="1" applyFill="1" applyBorder="1" applyAlignment="1">
      <alignment horizontal="left" vertical="center" indent="1"/>
    </xf>
    <xf numFmtId="0" fontId="17" fillId="26" borderId="0" xfId="0" applyFont="1" applyFill="1" applyBorder="1" applyAlignment="1">
      <alignment horizontal="left" vertical="center" indent="1"/>
    </xf>
    <xf numFmtId="0" fontId="9" fillId="22" borderId="0" xfId="0" applyFont="1" applyFill="1" applyBorder="1" applyAlignment="1"/>
    <xf numFmtId="0" fontId="55" fillId="25" borderId="0" xfId="0" applyFont="1" applyFill="1" applyBorder="1" applyAlignment="1">
      <alignment vertical="center"/>
    </xf>
    <xf numFmtId="0" fontId="53" fillId="25" borderId="0" xfId="0" applyFont="1" applyFill="1" applyBorder="1"/>
    <xf numFmtId="0" fontId="53" fillId="30" borderId="0" xfId="0" applyFont="1" applyFill="1" applyBorder="1"/>
    <xf numFmtId="0" fontId="57" fillId="30" borderId="0" xfId="0" applyFont="1" applyFill="1" applyBorder="1" applyAlignment="1">
      <alignment horizontal="right" vertical="center"/>
    </xf>
    <xf numFmtId="0" fontId="56" fillId="25" borderId="0" xfId="0" applyFont="1" applyFill="1" applyBorder="1" applyAlignment="1">
      <alignment vertical="center"/>
    </xf>
    <xf numFmtId="0" fontId="56" fillId="30" borderId="0" xfId="0" applyFont="1" applyFill="1" applyBorder="1" applyAlignment="1">
      <alignment horizontal="right"/>
    </xf>
    <xf numFmtId="0" fontId="58" fillId="25" borderId="0" xfId="0" applyFont="1" applyFill="1" applyBorder="1"/>
    <xf numFmtId="0" fontId="58" fillId="30" borderId="0" xfId="0" applyFont="1" applyFill="1" applyBorder="1"/>
    <xf numFmtId="0" fontId="59" fillId="25" borderId="0" xfId="0" applyFont="1" applyFill="1" applyBorder="1" applyAlignment="1">
      <alignment vertical="center"/>
    </xf>
    <xf numFmtId="0" fontId="60" fillId="30" borderId="0" xfId="0" applyFont="1" applyFill="1" applyBorder="1" applyAlignment="1">
      <alignment horizontal="right" vertical="center"/>
    </xf>
    <xf numFmtId="0" fontId="9" fillId="9" borderId="0" xfId="0" applyFont="1" applyFill="1" applyBorder="1" applyAlignment="1">
      <alignment horizontal="left"/>
    </xf>
    <xf numFmtId="0" fontId="9" fillId="32" borderId="0" xfId="0" applyFont="1" applyFill="1" applyBorder="1"/>
    <xf numFmtId="0" fontId="70" fillId="32" borderId="0" xfId="0" applyFont="1" applyFill="1" applyBorder="1"/>
    <xf numFmtId="0" fontId="71" fillId="32" borderId="0" xfId="0" applyFont="1" applyFill="1" applyBorder="1" applyAlignment="1">
      <alignment horizontal="right"/>
    </xf>
    <xf numFmtId="0" fontId="78" fillId="25" borderId="0" xfId="0" applyFont="1" applyFill="1" applyBorder="1" applyAlignment="1">
      <alignment vertical="center"/>
    </xf>
    <xf numFmtId="0" fontId="79" fillId="30" borderId="0" xfId="0" applyFont="1" applyFill="1" applyBorder="1" applyAlignment="1">
      <alignment horizontal="right" vertical="center"/>
    </xf>
    <xf numFmtId="0" fontId="52" fillId="14" borderId="80" xfId="0" applyFont="1" applyFill="1" applyBorder="1" applyAlignment="1">
      <alignment horizontal="left" vertical="center" indent="1"/>
    </xf>
    <xf numFmtId="0" fontId="52" fillId="14" borderId="33" xfId="0" applyFont="1" applyFill="1" applyBorder="1" applyAlignment="1">
      <alignment horizontal="left" vertical="center" indent="1"/>
    </xf>
    <xf numFmtId="0" fontId="52" fillId="16" borderId="33" xfId="0" applyFont="1" applyFill="1" applyBorder="1" applyAlignment="1">
      <alignment horizontal="left" vertical="center" indent="1"/>
    </xf>
    <xf numFmtId="0" fontId="82" fillId="16" borderId="80" xfId="0" applyFont="1" applyFill="1" applyBorder="1" applyAlignment="1">
      <alignment horizontal="left" vertical="center" indent="1"/>
    </xf>
    <xf numFmtId="0" fontId="82" fillId="16" borderId="33" xfId="0" applyFont="1" applyFill="1" applyBorder="1" applyAlignment="1">
      <alignment horizontal="left" vertical="center" indent="1"/>
    </xf>
    <xf numFmtId="0" fontId="82" fillId="14" borderId="80" xfId="0" applyFont="1" applyFill="1" applyBorder="1" applyAlignment="1">
      <alignment horizontal="left" vertical="center" indent="1"/>
    </xf>
    <xf numFmtId="0" fontId="82" fillId="14" borderId="33" xfId="0" applyFont="1" applyFill="1" applyBorder="1" applyAlignment="1">
      <alignment horizontal="left" vertical="center" indent="1"/>
    </xf>
    <xf numFmtId="0" fontId="52" fillId="16" borderId="80" xfId="0" applyFont="1" applyFill="1" applyBorder="1" applyAlignment="1">
      <alignment horizontal="left" vertical="center" indent="1"/>
    </xf>
    <xf numFmtId="0" fontId="83" fillId="4" borderId="0" xfId="0" applyFont="1" applyFill="1"/>
    <xf numFmtId="0" fontId="84" fillId="4" borderId="0" xfId="0" applyFont="1" applyFill="1"/>
    <xf numFmtId="0" fontId="83" fillId="4" borderId="0" xfId="0" applyFont="1" applyFill="1" applyAlignment="1">
      <alignment horizontal="right" indent="1"/>
    </xf>
    <xf numFmtId="0" fontId="85" fillId="17" borderId="0" xfId="0" applyFont="1" applyFill="1" applyBorder="1" applyAlignment="1">
      <alignment horizontal="left" vertical="center" indent="1"/>
    </xf>
    <xf numFmtId="0" fontId="90" fillId="0" borderId="0" xfId="0" applyFont="1"/>
    <xf numFmtId="164" fontId="93" fillId="6" borderId="0" xfId="2" applyNumberFormat="1" applyFont="1" applyFill="1" applyAlignment="1">
      <alignment horizontal="center" vertical="center"/>
    </xf>
    <xf numFmtId="0" fontId="94" fillId="4" borderId="0" xfId="0" applyFont="1" applyFill="1" applyAlignment="1">
      <alignment horizontal="left" indent="2"/>
    </xf>
    <xf numFmtId="0" fontId="95" fillId="4" borderId="0" xfId="0" applyFont="1" applyFill="1"/>
    <xf numFmtId="0" fontId="24" fillId="7" borderId="0" xfId="0" applyFont="1" applyFill="1" applyBorder="1"/>
    <xf numFmtId="0" fontId="9" fillId="31" borderId="0" xfId="0" applyFont="1" applyFill="1" applyBorder="1"/>
    <xf numFmtId="0" fontId="9" fillId="35" borderId="0" xfId="0" applyFont="1" applyFill="1" applyBorder="1" applyAlignment="1">
      <alignment vertical="center" wrapText="1"/>
    </xf>
    <xf numFmtId="0" fontId="111" fillId="0" borderId="0" xfId="0" applyFont="1"/>
    <xf numFmtId="0" fontId="9" fillId="4" borderId="0" xfId="0" applyFont="1" applyFill="1" applyAlignment="1">
      <alignment horizontal="left" vertical="top"/>
    </xf>
    <xf numFmtId="2" fontId="9" fillId="4" borderId="0" xfId="0" applyNumberFormat="1" applyFont="1" applyFill="1"/>
    <xf numFmtId="0" fontId="9" fillId="4" borderId="0" xfId="0" applyFont="1" applyFill="1" applyAlignment="1">
      <alignment horizontal="center" vertical="center"/>
    </xf>
    <xf numFmtId="0" fontId="16" fillId="4" borderId="0" xfId="0" applyFont="1" applyFill="1" applyAlignment="1">
      <alignment horizontal="center" vertical="center"/>
    </xf>
    <xf numFmtId="0" fontId="9" fillId="4" borderId="0" xfId="0" quotePrefix="1" applyFont="1" applyFill="1" applyAlignment="1">
      <alignment horizontal="center" vertical="center"/>
    </xf>
    <xf numFmtId="0" fontId="9" fillId="4" borderId="0" xfId="0" applyFont="1" applyFill="1" applyAlignment="1"/>
    <xf numFmtId="0" fontId="115" fillId="26" borderId="0" xfId="0" applyFont="1" applyFill="1" applyBorder="1" applyAlignment="1">
      <alignment vertical="center"/>
    </xf>
    <xf numFmtId="0" fontId="9" fillId="4" borderId="0" xfId="0" applyFont="1" applyFill="1" applyAlignment="1">
      <alignment horizontal="left"/>
    </xf>
    <xf numFmtId="0" fontId="116" fillId="26" borderId="0" xfId="0" applyFont="1" applyFill="1" applyBorder="1" applyAlignment="1">
      <alignment vertical="top" wrapText="1"/>
    </xf>
    <xf numFmtId="0" fontId="8" fillId="0" borderId="0" xfId="0" applyFont="1"/>
    <xf numFmtId="0" fontId="9" fillId="31" borderId="105" xfId="0" applyFont="1" applyFill="1" applyBorder="1"/>
    <xf numFmtId="0" fontId="9" fillId="31" borderId="108" xfId="0" applyFont="1" applyFill="1" applyBorder="1"/>
    <xf numFmtId="0" fontId="9" fillId="31" borderId="110" xfId="0" applyFont="1" applyFill="1" applyBorder="1"/>
    <xf numFmtId="0" fontId="9" fillId="7" borderId="113" xfId="0" applyFont="1" applyFill="1" applyBorder="1"/>
    <xf numFmtId="0" fontId="9" fillId="7" borderId="116" xfId="0" applyFont="1" applyFill="1" applyBorder="1"/>
    <xf numFmtId="0" fontId="9" fillId="7" borderId="118" xfId="0" applyFont="1" applyFill="1" applyBorder="1"/>
    <xf numFmtId="0" fontId="30" fillId="7" borderId="116" xfId="0" applyFont="1" applyFill="1" applyBorder="1"/>
    <xf numFmtId="0" fontId="126" fillId="4" borderId="0" xfId="0" applyFont="1" applyFill="1"/>
    <xf numFmtId="0" fontId="9" fillId="35" borderId="128" xfId="0" applyFont="1" applyFill="1" applyBorder="1" applyAlignment="1">
      <alignment vertical="center" wrapText="1"/>
    </xf>
    <xf numFmtId="0" fontId="9" fillId="35" borderId="130" xfId="0" applyFont="1" applyFill="1" applyBorder="1" applyAlignment="1">
      <alignment vertical="center" wrapText="1"/>
    </xf>
    <xf numFmtId="0" fontId="9" fillId="4" borderId="0" xfId="0" applyFont="1" applyFill="1" applyAlignment="1">
      <alignment horizontal="right"/>
    </xf>
    <xf numFmtId="0" fontId="9" fillId="11" borderId="0" xfId="0" applyFont="1" applyFill="1" applyBorder="1"/>
    <xf numFmtId="0" fontId="137" fillId="0" borderId="0" xfId="0" applyFont="1" applyAlignment="1">
      <alignment horizontal="left" vertical="center"/>
    </xf>
    <xf numFmtId="0" fontId="43" fillId="37" borderId="0" xfId="0" applyFont="1" applyFill="1" applyBorder="1"/>
    <xf numFmtId="0" fontId="44" fillId="37" borderId="0" xfId="0" applyFont="1" applyFill="1" applyBorder="1"/>
    <xf numFmtId="0" fontId="43" fillId="37" borderId="0" xfId="0" applyFont="1" applyFill="1" applyBorder="1" applyAlignment="1">
      <alignment horizontal="right"/>
    </xf>
    <xf numFmtId="0" fontId="119" fillId="9" borderId="0" xfId="0" applyFont="1" applyFill="1" applyBorder="1" applyAlignment="1">
      <alignment wrapText="1"/>
    </xf>
    <xf numFmtId="0" fontId="9" fillId="37" borderId="0" xfId="0" applyFont="1" applyFill="1" applyBorder="1"/>
    <xf numFmtId="0" fontId="16" fillId="37" borderId="146" xfId="0" applyFont="1" applyFill="1" applyBorder="1"/>
    <xf numFmtId="0" fontId="9" fillId="37" borderId="147" xfId="0" applyFont="1" applyFill="1" applyBorder="1"/>
    <xf numFmtId="0" fontId="16" fillId="37" borderId="0" xfId="0" applyFont="1" applyFill="1" applyBorder="1" applyAlignment="1">
      <alignment horizontal="left" indent="1"/>
    </xf>
    <xf numFmtId="0" fontId="16" fillId="40" borderId="148" xfId="0" applyFont="1" applyFill="1" applyBorder="1"/>
    <xf numFmtId="0" fontId="16" fillId="37" borderId="148" xfId="0" applyFont="1" applyFill="1" applyBorder="1"/>
    <xf numFmtId="0" fontId="9" fillId="37" borderId="149" xfId="0" applyFont="1" applyFill="1" applyBorder="1"/>
    <xf numFmtId="0" fontId="16" fillId="37" borderId="150" xfId="0" applyFont="1" applyFill="1" applyBorder="1" applyAlignment="1">
      <alignment horizontal="left" indent="1"/>
    </xf>
    <xf numFmtId="0" fontId="9" fillId="37" borderId="150" xfId="0" applyFont="1" applyFill="1" applyBorder="1"/>
    <xf numFmtId="0" fontId="16" fillId="37" borderId="151" xfId="0" applyFont="1" applyFill="1" applyBorder="1"/>
    <xf numFmtId="0" fontId="16" fillId="40" borderId="151" xfId="0" applyFont="1" applyFill="1" applyBorder="1"/>
    <xf numFmtId="0" fontId="145" fillId="37" borderId="145" xfId="0" applyFont="1" applyFill="1" applyBorder="1" applyAlignment="1">
      <alignment vertical="center" shrinkToFit="1"/>
    </xf>
    <xf numFmtId="0" fontId="145" fillId="40" borderId="0" xfId="0" applyFont="1" applyFill="1" applyBorder="1" applyAlignment="1">
      <alignment vertical="center" shrinkToFit="1"/>
    </xf>
    <xf numFmtId="0" fontId="145" fillId="37" borderId="0" xfId="0" applyFont="1" applyFill="1" applyBorder="1" applyAlignment="1">
      <alignment vertical="center" shrinkToFit="1"/>
    </xf>
    <xf numFmtId="0" fontId="145" fillId="40" borderId="150" xfId="0" applyFont="1" applyFill="1" applyBorder="1" applyAlignment="1">
      <alignment vertical="center" shrinkToFit="1"/>
    </xf>
    <xf numFmtId="0" fontId="145" fillId="40" borderId="145" xfId="0" applyFont="1" applyFill="1" applyBorder="1" applyAlignment="1">
      <alignment vertical="center" shrinkToFit="1"/>
    </xf>
    <xf numFmtId="0" fontId="147" fillId="4" borderId="0" xfId="0" applyFont="1" applyFill="1" applyAlignment="1">
      <alignment horizontal="center" vertical="center"/>
    </xf>
    <xf numFmtId="0" fontId="146" fillId="2" borderId="17" xfId="0" applyFont="1" applyFill="1" applyBorder="1" applyAlignment="1">
      <alignment horizontal="center" vertical="center"/>
    </xf>
    <xf numFmtId="0" fontId="146" fillId="8" borderId="17" xfId="0" applyFont="1" applyFill="1" applyBorder="1" applyAlignment="1">
      <alignment horizontal="center" vertical="center"/>
    </xf>
    <xf numFmtId="0" fontId="146" fillId="2" borderId="0" xfId="0" applyFont="1" applyFill="1" applyBorder="1" applyAlignment="1">
      <alignment horizontal="center" vertical="center"/>
    </xf>
    <xf numFmtId="0" fontId="145" fillId="40" borderId="154" xfId="0" applyFont="1" applyFill="1" applyBorder="1" applyAlignment="1">
      <alignment vertical="center" shrinkToFit="1"/>
    </xf>
    <xf numFmtId="165" fontId="22" fillId="38" borderId="0" xfId="0" applyNumberFormat="1" applyFont="1" applyFill="1" applyBorder="1" applyAlignment="1">
      <alignment horizontal="right" vertical="top" wrapText="1" indent="1"/>
    </xf>
    <xf numFmtId="0" fontId="157" fillId="38" borderId="0" xfId="0" applyFont="1" applyFill="1" applyBorder="1" applyAlignment="1">
      <alignment vertical="top" wrapText="1"/>
    </xf>
    <xf numFmtId="0" fontId="158" fillId="0" borderId="0" xfId="0" applyFont="1"/>
    <xf numFmtId="0" fontId="14" fillId="4" borderId="0" xfId="0" applyFont="1" applyFill="1"/>
    <xf numFmtId="0" fontId="105" fillId="38" borderId="0" xfId="0" applyFont="1" applyFill="1" applyBorder="1" applyAlignment="1">
      <alignment horizontal="left" vertical="center" wrapText="1"/>
    </xf>
    <xf numFmtId="0" fontId="157" fillId="38" borderId="0" xfId="0" applyFont="1" applyFill="1" applyBorder="1" applyAlignment="1">
      <alignment horizontal="left" vertical="top" wrapText="1"/>
    </xf>
    <xf numFmtId="164" fontId="37" fillId="6" borderId="0" xfId="2" applyNumberFormat="1" applyFont="1" applyFill="1" applyAlignment="1">
      <alignment horizontal="right" vertical="center"/>
    </xf>
    <xf numFmtId="164" fontId="38" fillId="6" borderId="0" xfId="2" applyNumberFormat="1" applyFont="1" applyFill="1" applyAlignment="1">
      <alignment horizontal="left" vertical="center"/>
    </xf>
    <xf numFmtId="164" fontId="93" fillId="6" borderId="0" xfId="2" applyNumberFormat="1" applyFont="1" applyFill="1" applyAlignment="1">
      <alignment horizontal="left" vertical="center"/>
    </xf>
    <xf numFmtId="0" fontId="177" fillId="4" borderId="0" xfId="0" applyFont="1" applyFill="1"/>
    <xf numFmtId="0" fontId="9" fillId="38" borderId="0" xfId="0" applyFont="1" applyFill="1" applyBorder="1"/>
    <xf numFmtId="0" fontId="9" fillId="38" borderId="158" xfId="0" applyFont="1" applyFill="1" applyBorder="1"/>
    <xf numFmtId="0" fontId="9" fillId="38" borderId="159" xfId="0" applyFont="1" applyFill="1" applyBorder="1"/>
    <xf numFmtId="0" fontId="21" fillId="42" borderId="161" xfId="0" applyFont="1" applyFill="1" applyBorder="1"/>
    <xf numFmtId="0" fontId="9" fillId="9" borderId="163" xfId="0" applyFont="1" applyFill="1" applyBorder="1"/>
    <xf numFmtId="0" fontId="9" fillId="9" borderId="164" xfId="0" applyFont="1" applyFill="1" applyBorder="1"/>
    <xf numFmtId="0" fontId="9" fillId="9" borderId="165" xfId="0" applyFont="1" applyFill="1" applyBorder="1"/>
    <xf numFmtId="0" fontId="9" fillId="9" borderId="166" xfId="0" applyFont="1" applyFill="1" applyBorder="1"/>
    <xf numFmtId="0" fontId="9" fillId="9" borderId="167" xfId="0" applyFont="1" applyFill="1" applyBorder="1"/>
    <xf numFmtId="0" fontId="21" fillId="42" borderId="0" xfId="0" applyFont="1" applyFill="1" applyBorder="1"/>
    <xf numFmtId="0" fontId="13" fillId="12" borderId="168" xfId="0" applyFont="1" applyFill="1" applyBorder="1" applyAlignment="1">
      <alignment horizontal="left" indent="1"/>
    </xf>
    <xf numFmtId="0" fontId="13" fillId="12" borderId="169" xfId="0" applyFont="1" applyFill="1" applyBorder="1"/>
    <xf numFmtId="0" fontId="9" fillId="38" borderId="171" xfId="0" applyFont="1" applyFill="1" applyBorder="1"/>
    <xf numFmtId="0" fontId="9" fillId="38" borderId="172" xfId="0" applyFont="1" applyFill="1" applyBorder="1"/>
    <xf numFmtId="0" fontId="9" fillId="38" borderId="173" xfId="0" applyFont="1" applyFill="1" applyBorder="1"/>
    <xf numFmtId="0" fontId="179" fillId="42" borderId="160" xfId="0" applyFont="1" applyFill="1" applyBorder="1" applyAlignment="1">
      <alignment horizontal="center" vertical="center"/>
    </xf>
    <xf numFmtId="0" fontId="179" fillId="42" borderId="162" xfId="0" applyFont="1" applyFill="1" applyBorder="1" applyAlignment="1">
      <alignment horizontal="center" vertical="center"/>
    </xf>
    <xf numFmtId="0" fontId="170" fillId="38" borderId="0" xfId="0" applyFont="1" applyFill="1" applyBorder="1" applyAlignment="1">
      <alignment horizontal="right" vertical="top"/>
    </xf>
    <xf numFmtId="0" fontId="161" fillId="38" borderId="0" xfId="0" applyFont="1" applyFill="1" applyBorder="1" applyAlignment="1">
      <alignment vertical="center"/>
    </xf>
    <xf numFmtId="0" fontId="171" fillId="39" borderId="168" xfId="4" applyFont="1" applyFill="1" applyBorder="1" applyAlignment="1">
      <alignment horizontal="center" vertical="center"/>
    </xf>
    <xf numFmtId="0" fontId="105" fillId="39" borderId="169" xfId="0" applyFont="1" applyFill="1" applyBorder="1" applyAlignment="1">
      <alignment horizontal="left" vertical="center" wrapText="1"/>
    </xf>
    <xf numFmtId="0" fontId="147" fillId="39" borderId="169" xfId="0" applyFont="1" applyFill="1" applyBorder="1" applyAlignment="1">
      <alignment horizontal="center" vertical="center"/>
    </xf>
    <xf numFmtId="0" fontId="156" fillId="39" borderId="170" xfId="4" applyFont="1" applyFill="1" applyBorder="1" applyAlignment="1">
      <alignment horizontal="center" vertical="center"/>
    </xf>
    <xf numFmtId="0" fontId="147" fillId="38" borderId="159" xfId="0" applyFont="1" applyFill="1" applyBorder="1" applyAlignment="1">
      <alignment horizontal="center" vertical="center"/>
    </xf>
    <xf numFmtId="0" fontId="147" fillId="38" borderId="158" xfId="0" applyFont="1" applyFill="1" applyBorder="1" applyAlignment="1">
      <alignment horizontal="center" vertical="center"/>
    </xf>
    <xf numFmtId="0" fontId="146" fillId="8" borderId="168" xfId="0" applyFont="1" applyFill="1" applyBorder="1" applyAlignment="1">
      <alignment horizontal="center" vertical="center"/>
    </xf>
    <xf numFmtId="0" fontId="21" fillId="8" borderId="169" xfId="0" applyFont="1" applyFill="1" applyBorder="1"/>
    <xf numFmtId="0" fontId="146" fillId="8" borderId="174" xfId="0" applyFont="1" applyFill="1" applyBorder="1" applyAlignment="1">
      <alignment horizontal="center" vertical="center"/>
    </xf>
    <xf numFmtId="0" fontId="146" fillId="8" borderId="170" xfId="0" applyFont="1" applyFill="1" applyBorder="1" applyAlignment="1">
      <alignment horizontal="center" vertical="center"/>
    </xf>
    <xf numFmtId="0" fontId="147" fillId="9" borderId="159" xfId="0" applyFont="1" applyFill="1" applyBorder="1" applyAlignment="1">
      <alignment horizontal="center" vertical="center"/>
    </xf>
    <xf numFmtId="0" fontId="147" fillId="9" borderId="158" xfId="0" applyFont="1" applyFill="1" applyBorder="1" applyAlignment="1">
      <alignment horizontal="center" vertical="center"/>
    </xf>
    <xf numFmtId="0" fontId="147" fillId="9" borderId="171" xfId="0" applyFont="1" applyFill="1" applyBorder="1" applyAlignment="1">
      <alignment horizontal="center" vertical="center"/>
    </xf>
    <xf numFmtId="0" fontId="105" fillId="9" borderId="172" xfId="0" applyFont="1" applyFill="1" applyBorder="1" applyAlignment="1">
      <alignment horizontal="left" vertical="center" wrapText="1"/>
    </xf>
    <xf numFmtId="0" fontId="147" fillId="9" borderId="173" xfId="0" applyFont="1" applyFill="1" applyBorder="1" applyAlignment="1">
      <alignment horizontal="center" vertical="center"/>
    </xf>
    <xf numFmtId="165" fontId="88" fillId="9" borderId="0" xfId="0" applyNumberFormat="1" applyFont="1" applyFill="1" applyBorder="1"/>
    <xf numFmtId="165" fontId="16" fillId="9" borderId="0" xfId="0" applyNumberFormat="1" applyFont="1" applyFill="1" applyBorder="1"/>
    <xf numFmtId="0" fontId="9" fillId="9" borderId="172" xfId="0" applyFont="1" applyFill="1" applyBorder="1"/>
    <xf numFmtId="0" fontId="146" fillId="8" borderId="158" xfId="0" applyFont="1" applyFill="1" applyBorder="1" applyAlignment="1">
      <alignment horizontal="center" vertical="center"/>
    </xf>
    <xf numFmtId="0" fontId="147" fillId="31" borderId="158" xfId="0" applyFont="1" applyFill="1" applyBorder="1" applyAlignment="1">
      <alignment horizontal="center" vertical="center"/>
    </xf>
    <xf numFmtId="0" fontId="9" fillId="9" borderId="0" xfId="0" applyFont="1" applyFill="1" applyBorder="1" applyAlignment="1">
      <alignment vertical="top" wrapText="1"/>
    </xf>
    <xf numFmtId="0" fontId="139" fillId="9" borderId="172" xfId="0" applyFont="1" applyFill="1" applyBorder="1" applyAlignment="1">
      <alignment horizontal="left" vertical="center"/>
    </xf>
    <xf numFmtId="0" fontId="89" fillId="9" borderId="0" xfId="0" applyFont="1" applyFill="1" applyBorder="1" applyAlignment="1">
      <alignment vertical="center"/>
    </xf>
    <xf numFmtId="0" fontId="119" fillId="9" borderId="172" xfId="0" applyFont="1" applyFill="1" applyBorder="1" applyAlignment="1">
      <alignment vertical="top" wrapText="1"/>
    </xf>
    <xf numFmtId="0" fontId="146" fillId="29" borderId="168" xfId="0" applyFont="1" applyFill="1" applyBorder="1" applyAlignment="1">
      <alignment horizontal="center" vertical="center"/>
    </xf>
    <xf numFmtId="0" fontId="146" fillId="29" borderId="170" xfId="0" applyFont="1" applyFill="1" applyBorder="1" applyAlignment="1">
      <alignment horizontal="center" vertical="center"/>
    </xf>
    <xf numFmtId="0" fontId="147" fillId="24" borderId="159" xfId="0" applyFont="1" applyFill="1" applyBorder="1" applyAlignment="1">
      <alignment horizontal="center" vertical="center"/>
    </xf>
    <xf numFmtId="0" fontId="147" fillId="24" borderId="158" xfId="0" applyFont="1" applyFill="1" applyBorder="1" applyAlignment="1">
      <alignment horizontal="center" vertical="center"/>
    </xf>
    <xf numFmtId="0" fontId="147" fillId="10" borderId="159" xfId="0" applyFont="1" applyFill="1" applyBorder="1" applyAlignment="1">
      <alignment horizontal="center" vertical="center"/>
    </xf>
    <xf numFmtId="0" fontId="147" fillId="10" borderId="158" xfId="0" applyFont="1" applyFill="1" applyBorder="1" applyAlignment="1">
      <alignment horizontal="center" vertical="center"/>
    </xf>
    <xf numFmtId="0" fontId="9" fillId="10" borderId="0" xfId="0" applyFont="1" applyFill="1" applyBorder="1"/>
    <xf numFmtId="0" fontId="147" fillId="32" borderId="159" xfId="0" applyFont="1" applyFill="1" applyBorder="1" applyAlignment="1">
      <alignment horizontal="center" vertical="center"/>
    </xf>
    <xf numFmtId="0" fontId="147" fillId="32" borderId="158" xfId="0" applyFont="1" applyFill="1" applyBorder="1" applyAlignment="1">
      <alignment horizontal="center" vertical="center"/>
    </xf>
    <xf numFmtId="0" fontId="147" fillId="32" borderId="171" xfId="0" applyFont="1" applyFill="1" applyBorder="1" applyAlignment="1">
      <alignment horizontal="center" vertical="center"/>
    </xf>
    <xf numFmtId="0" fontId="9" fillId="32" borderId="172" xfId="0" applyFont="1" applyFill="1" applyBorder="1"/>
    <xf numFmtId="0" fontId="147" fillId="32" borderId="173" xfId="0" applyFont="1" applyFill="1" applyBorder="1" applyAlignment="1">
      <alignment horizontal="center" vertical="center"/>
    </xf>
    <xf numFmtId="0" fontId="146" fillId="28" borderId="168" xfId="0" applyFont="1" applyFill="1" applyBorder="1" applyAlignment="1">
      <alignment horizontal="center" vertical="center"/>
    </xf>
    <xf numFmtId="0" fontId="146" fillId="28" borderId="174" xfId="0" applyFont="1" applyFill="1" applyBorder="1" applyAlignment="1">
      <alignment horizontal="center" vertical="center"/>
    </xf>
    <xf numFmtId="0" fontId="146" fillId="28" borderId="170" xfId="0" applyFont="1" applyFill="1" applyBorder="1" applyAlignment="1">
      <alignment horizontal="center" vertical="center"/>
    </xf>
    <xf numFmtId="0" fontId="147" fillId="19" borderId="159" xfId="0" applyFont="1" applyFill="1" applyBorder="1" applyAlignment="1">
      <alignment horizontal="center" vertical="center"/>
    </xf>
    <xf numFmtId="0" fontId="147" fillId="19" borderId="158" xfId="0" applyFont="1" applyFill="1" applyBorder="1" applyAlignment="1">
      <alignment horizontal="center" vertical="center"/>
    </xf>
    <xf numFmtId="0" fontId="147" fillId="19" borderId="171" xfId="0" applyFont="1" applyFill="1" applyBorder="1" applyAlignment="1">
      <alignment horizontal="center" vertical="center"/>
    </xf>
    <xf numFmtId="0" fontId="9" fillId="19" borderId="172" xfId="0" applyFont="1" applyFill="1" applyBorder="1"/>
    <xf numFmtId="0" fontId="147" fillId="19" borderId="173" xfId="0" applyFont="1" applyFill="1" applyBorder="1" applyAlignment="1">
      <alignment horizontal="center" vertical="center"/>
    </xf>
    <xf numFmtId="0" fontId="146" fillId="2" borderId="168" xfId="0" applyFont="1" applyFill="1" applyBorder="1" applyAlignment="1">
      <alignment horizontal="center" vertical="center"/>
    </xf>
    <xf numFmtId="0" fontId="146" fillId="2" borderId="174" xfId="0" applyFont="1" applyFill="1" applyBorder="1" applyAlignment="1">
      <alignment horizontal="center" vertical="center"/>
    </xf>
    <xf numFmtId="0" fontId="146" fillId="2" borderId="170" xfId="0" applyFont="1" applyFill="1" applyBorder="1" applyAlignment="1">
      <alignment horizontal="center" vertical="center"/>
    </xf>
    <xf numFmtId="0" fontId="147" fillId="10" borderId="171" xfId="0" applyFont="1" applyFill="1" applyBorder="1" applyAlignment="1">
      <alignment horizontal="center" vertical="center"/>
    </xf>
    <xf numFmtId="0" fontId="9" fillId="10" borderId="172" xfId="0" applyFont="1" applyFill="1" applyBorder="1"/>
    <xf numFmtId="0" fontId="147" fillId="10" borderId="173" xfId="0" applyFont="1" applyFill="1" applyBorder="1" applyAlignment="1">
      <alignment horizontal="center" vertical="center"/>
    </xf>
    <xf numFmtId="0" fontId="146" fillId="2" borderId="169" xfId="0" applyFont="1" applyFill="1" applyBorder="1" applyAlignment="1">
      <alignment horizontal="center" vertical="center"/>
    </xf>
    <xf numFmtId="0" fontId="146" fillId="2" borderId="159" xfId="0" applyFont="1" applyFill="1" applyBorder="1" applyAlignment="1">
      <alignment horizontal="center" vertical="center"/>
    </xf>
    <xf numFmtId="0" fontId="96" fillId="19" borderId="0" xfId="0" applyFont="1" applyFill="1" applyBorder="1" applyAlignment="1">
      <alignment horizontal="center"/>
    </xf>
    <xf numFmtId="0" fontId="15" fillId="19" borderId="0" xfId="0" applyFont="1" applyFill="1" applyBorder="1"/>
    <xf numFmtId="0" fontId="7" fillId="19" borderId="0" xfId="0" applyFont="1" applyFill="1" applyBorder="1"/>
    <xf numFmtId="0" fontId="35" fillId="19" borderId="0" xfId="0" applyFont="1" applyFill="1" applyBorder="1" applyAlignment="1">
      <alignment vertical="top" wrapText="1"/>
    </xf>
    <xf numFmtId="0" fontId="91" fillId="19" borderId="0" xfId="0" applyFont="1" applyFill="1" applyBorder="1"/>
    <xf numFmtId="0" fontId="146" fillId="33" borderId="168" xfId="0" applyFont="1" applyFill="1" applyBorder="1" applyAlignment="1">
      <alignment horizontal="center" vertical="center"/>
    </xf>
    <xf numFmtId="0" fontId="146" fillId="33" borderId="174" xfId="0" applyFont="1" applyFill="1" applyBorder="1" applyAlignment="1">
      <alignment horizontal="center" vertical="center"/>
    </xf>
    <xf numFmtId="0" fontId="146" fillId="33" borderId="170" xfId="0" applyFont="1" applyFill="1" applyBorder="1" applyAlignment="1">
      <alignment horizontal="center" vertical="center"/>
    </xf>
    <xf numFmtId="0" fontId="147" fillId="26" borderId="159" xfId="0" applyFont="1" applyFill="1" applyBorder="1" applyAlignment="1">
      <alignment horizontal="center" vertical="center"/>
    </xf>
    <xf numFmtId="0" fontId="147" fillId="26" borderId="158" xfId="0" applyFont="1" applyFill="1" applyBorder="1" applyAlignment="1">
      <alignment horizontal="center" vertical="center"/>
    </xf>
    <xf numFmtId="0" fontId="147" fillId="26" borderId="171" xfId="0" applyFont="1" applyFill="1" applyBorder="1" applyAlignment="1">
      <alignment horizontal="center" vertical="center"/>
    </xf>
    <xf numFmtId="0" fontId="9" fillId="26" borderId="172" xfId="0" applyFont="1" applyFill="1" applyBorder="1"/>
    <xf numFmtId="0" fontId="147" fillId="26" borderId="173" xfId="0" applyFont="1" applyFill="1" applyBorder="1" applyAlignment="1">
      <alignment horizontal="center" vertical="center"/>
    </xf>
    <xf numFmtId="0" fontId="117" fillId="26" borderId="172" xfId="0" applyFont="1" applyFill="1" applyBorder="1" applyAlignment="1">
      <alignment horizontal="left" vertical="top" wrapText="1"/>
    </xf>
    <xf numFmtId="0" fontId="119" fillId="19" borderId="0" xfId="0" applyFont="1" applyFill="1" applyBorder="1" applyAlignment="1">
      <alignment vertical="top" wrapText="1"/>
    </xf>
    <xf numFmtId="0" fontId="9" fillId="5" borderId="0" xfId="0" applyFont="1" applyFill="1" applyBorder="1"/>
    <xf numFmtId="0" fontId="148" fillId="32" borderId="159" xfId="0" applyFont="1" applyFill="1" applyBorder="1" applyAlignment="1">
      <alignment horizontal="center" vertical="center" wrapText="1"/>
    </xf>
    <xf numFmtId="0" fontId="72" fillId="41" borderId="0" xfId="0" applyFont="1" applyFill="1" applyBorder="1" applyAlignment="1">
      <alignment vertical="center" wrapText="1"/>
    </xf>
    <xf numFmtId="0" fontId="148" fillId="32" borderId="158" xfId="0" applyFont="1" applyFill="1" applyBorder="1" applyAlignment="1">
      <alignment horizontal="center" vertical="center" wrapText="1"/>
    </xf>
    <xf numFmtId="0" fontId="72" fillId="32" borderId="0" xfId="0" applyFont="1" applyFill="1" applyBorder="1" applyAlignment="1">
      <alignment vertical="center" wrapText="1"/>
    </xf>
    <xf numFmtId="0" fontId="35" fillId="26" borderId="0" xfId="0" applyFont="1" applyFill="1" applyBorder="1" applyAlignment="1">
      <alignment vertical="top" wrapText="1"/>
    </xf>
    <xf numFmtId="0" fontId="91" fillId="26" borderId="0" xfId="0" applyFont="1" applyFill="1" applyBorder="1"/>
    <xf numFmtId="0" fontId="88" fillId="26" borderId="0" xfId="0" applyFont="1" applyFill="1" applyBorder="1" applyAlignment="1">
      <alignment vertical="center" wrapText="1"/>
    </xf>
    <xf numFmtId="0" fontId="147" fillId="37" borderId="159" xfId="0" applyFont="1" applyFill="1" applyBorder="1" applyAlignment="1">
      <alignment horizontal="center" vertical="center"/>
    </xf>
    <xf numFmtId="0" fontId="147" fillId="37" borderId="158" xfId="0" applyFont="1" applyFill="1" applyBorder="1" applyAlignment="1">
      <alignment horizontal="center" vertical="center"/>
    </xf>
    <xf numFmtId="0" fontId="147" fillId="37" borderId="171" xfId="0" applyFont="1" applyFill="1" applyBorder="1" applyAlignment="1">
      <alignment horizontal="center" vertical="center"/>
    </xf>
    <xf numFmtId="0" fontId="9" fillId="37" borderId="172" xfId="0" applyFont="1" applyFill="1" applyBorder="1"/>
    <xf numFmtId="0" fontId="147" fillId="37" borderId="173" xfId="0" applyFont="1" applyFill="1" applyBorder="1" applyAlignment="1">
      <alignment horizontal="center" vertical="center"/>
    </xf>
    <xf numFmtId="0" fontId="147" fillId="11" borderId="159" xfId="0" applyFont="1" applyFill="1" applyBorder="1" applyAlignment="1">
      <alignment horizontal="center" vertical="center"/>
    </xf>
    <xf numFmtId="0" fontId="147" fillId="11" borderId="158" xfId="0" applyFont="1" applyFill="1" applyBorder="1" applyAlignment="1">
      <alignment horizontal="center" vertical="center"/>
    </xf>
    <xf numFmtId="0" fontId="147" fillId="11" borderId="171" xfId="0" applyFont="1" applyFill="1" applyBorder="1" applyAlignment="1">
      <alignment horizontal="center" vertical="center"/>
    </xf>
    <xf numFmtId="0" fontId="9" fillId="11" borderId="172" xfId="0" applyFont="1" applyFill="1" applyBorder="1"/>
    <xf numFmtId="0" fontId="147" fillId="11" borderId="173" xfId="0" applyFont="1" applyFill="1" applyBorder="1" applyAlignment="1">
      <alignment horizontal="center" vertical="center"/>
    </xf>
    <xf numFmtId="0" fontId="9" fillId="11" borderId="159" xfId="0" applyFont="1" applyFill="1" applyBorder="1"/>
    <xf numFmtId="0" fontId="9" fillId="11" borderId="171" xfId="0" applyFont="1" applyFill="1" applyBorder="1"/>
    <xf numFmtId="0" fontId="146" fillId="36" borderId="168" xfId="0" applyFont="1" applyFill="1" applyBorder="1" applyAlignment="1">
      <alignment horizontal="center" vertical="center"/>
    </xf>
    <xf numFmtId="0" fontId="146" fillId="36" borderId="174" xfId="0" applyFont="1" applyFill="1" applyBorder="1" applyAlignment="1">
      <alignment horizontal="center" vertical="center"/>
    </xf>
    <xf numFmtId="0" fontId="146" fillId="36" borderId="170" xfId="0" applyFont="1" applyFill="1" applyBorder="1" applyAlignment="1">
      <alignment horizontal="center" vertical="center"/>
    </xf>
    <xf numFmtId="0" fontId="147" fillId="36" borderId="159" xfId="0" applyFont="1" applyFill="1" applyBorder="1" applyAlignment="1">
      <alignment horizontal="center" vertical="center"/>
    </xf>
    <xf numFmtId="0" fontId="9" fillId="36" borderId="0" xfId="0" applyFont="1" applyFill="1" applyBorder="1"/>
    <xf numFmtId="0" fontId="147" fillId="36" borderId="158" xfId="0" applyFont="1" applyFill="1" applyBorder="1" applyAlignment="1">
      <alignment horizontal="center" vertical="center"/>
    </xf>
    <xf numFmtId="0" fontId="147" fillId="36" borderId="171" xfId="0" applyFont="1" applyFill="1" applyBorder="1" applyAlignment="1">
      <alignment horizontal="center" vertical="center"/>
    </xf>
    <xf numFmtId="0" fontId="9" fillId="36" borderId="172" xfId="0" applyFont="1" applyFill="1" applyBorder="1"/>
    <xf numFmtId="0" fontId="147" fillId="36" borderId="173" xfId="0" applyFont="1" applyFill="1" applyBorder="1" applyAlignment="1">
      <alignment horizontal="center" vertical="center"/>
    </xf>
    <xf numFmtId="0" fontId="146" fillId="36" borderId="169" xfId="0" applyFont="1" applyFill="1" applyBorder="1" applyAlignment="1">
      <alignment horizontal="center" vertical="center"/>
    </xf>
    <xf numFmtId="0" fontId="102" fillId="7" borderId="0" xfId="0" applyFont="1" applyFill="1" applyBorder="1"/>
    <xf numFmtId="0" fontId="147" fillId="7" borderId="159" xfId="0" applyFont="1" applyFill="1" applyBorder="1" applyAlignment="1">
      <alignment horizontal="center" vertical="center"/>
    </xf>
    <xf numFmtId="0" fontId="40" fillId="4" borderId="0" xfId="0" applyFont="1" applyFill="1"/>
    <xf numFmtId="0" fontId="177" fillId="37" borderId="0" xfId="0" applyFont="1" applyFill="1" applyBorder="1"/>
    <xf numFmtId="0" fontId="177" fillId="37" borderId="172" xfId="0" applyFont="1" applyFill="1" applyBorder="1"/>
    <xf numFmtId="0" fontId="187" fillId="41" borderId="0" xfId="0" applyFont="1" applyFill="1" applyBorder="1" applyAlignment="1">
      <alignment vertical="center" wrapText="1"/>
    </xf>
    <xf numFmtId="0" fontId="187" fillId="32" borderId="0" xfId="0" applyFont="1" applyFill="1" applyBorder="1" applyAlignment="1">
      <alignment vertical="center" wrapText="1"/>
    </xf>
    <xf numFmtId="0" fontId="177" fillId="26" borderId="0" xfId="0" applyFont="1" applyFill="1" applyBorder="1"/>
    <xf numFmtId="0" fontId="188" fillId="26" borderId="0" xfId="0" applyFont="1" applyFill="1" applyBorder="1" applyAlignment="1">
      <alignment vertical="top" wrapText="1"/>
    </xf>
    <xf numFmtId="0" fontId="188" fillId="26" borderId="0" xfId="0" applyFont="1" applyFill="1" applyBorder="1" applyAlignment="1">
      <alignment vertical="center" wrapText="1"/>
    </xf>
    <xf numFmtId="0" fontId="177" fillId="26" borderId="172" xfId="0" applyFont="1" applyFill="1" applyBorder="1"/>
    <xf numFmtId="0" fontId="177" fillId="19" borderId="0" xfId="0" applyFont="1" applyFill="1" applyBorder="1"/>
    <xf numFmtId="0" fontId="177" fillId="19" borderId="172" xfId="0" applyFont="1" applyFill="1" applyBorder="1"/>
    <xf numFmtId="0" fontId="177" fillId="22" borderId="0" xfId="0" applyFont="1" applyFill="1" applyBorder="1"/>
    <xf numFmtId="0" fontId="177" fillId="3" borderId="0" xfId="0" applyFont="1" applyFill="1" applyBorder="1"/>
    <xf numFmtId="0" fontId="177" fillId="5" borderId="0" xfId="0" applyFont="1" applyFill="1" applyBorder="1"/>
    <xf numFmtId="0" fontId="189" fillId="19" borderId="0" xfId="0" applyFont="1" applyFill="1" applyBorder="1" applyAlignment="1">
      <alignment vertical="top" wrapText="1"/>
    </xf>
    <xf numFmtId="0" fontId="190" fillId="26" borderId="172" xfId="0" applyFont="1" applyFill="1" applyBorder="1" applyAlignment="1">
      <alignment horizontal="left" vertical="top" wrapText="1"/>
    </xf>
    <xf numFmtId="0" fontId="177" fillId="11" borderId="0" xfId="0" applyFont="1" applyFill="1" applyBorder="1"/>
    <xf numFmtId="0" fontId="177" fillId="11" borderId="172" xfId="0" applyFont="1" applyFill="1" applyBorder="1"/>
    <xf numFmtId="0" fontId="177" fillId="36" borderId="0" xfId="0" applyFont="1" applyFill="1" applyBorder="1"/>
    <xf numFmtId="0" fontId="177" fillId="36" borderId="172" xfId="0" applyFont="1" applyFill="1" applyBorder="1"/>
    <xf numFmtId="0" fontId="188" fillId="19" borderId="0" xfId="0" applyFont="1" applyFill="1" applyBorder="1" applyAlignment="1">
      <alignment vertical="top" wrapText="1"/>
    </xf>
    <xf numFmtId="0" fontId="191" fillId="19" borderId="0" xfId="0" applyFont="1" applyFill="1" applyBorder="1" applyAlignment="1">
      <alignment horizontal="center"/>
    </xf>
    <xf numFmtId="0" fontId="177" fillId="32" borderId="0" xfId="0" applyFont="1" applyFill="1" applyBorder="1"/>
    <xf numFmtId="0" fontId="177" fillId="10" borderId="0" xfId="0" applyFont="1" applyFill="1" applyBorder="1"/>
    <xf numFmtId="0" fontId="177" fillId="10" borderId="172" xfId="0" applyFont="1" applyFill="1" applyBorder="1"/>
    <xf numFmtId="0" fontId="177" fillId="32" borderId="172" xfId="0" applyFont="1" applyFill="1" applyBorder="1"/>
    <xf numFmtId="0" fontId="56" fillId="30" borderId="0" xfId="0" applyFont="1" applyFill="1" applyBorder="1"/>
    <xf numFmtId="0" fontId="177" fillId="9" borderId="0" xfId="0" applyFont="1" applyFill="1" applyBorder="1"/>
    <xf numFmtId="0" fontId="192" fillId="37" borderId="0" xfId="0" applyFont="1" applyFill="1" applyBorder="1"/>
    <xf numFmtId="0" fontId="177" fillId="9" borderId="172" xfId="0" applyFont="1" applyFill="1" applyBorder="1"/>
    <xf numFmtId="0" fontId="193" fillId="9" borderId="0" xfId="0" applyFont="1" applyFill="1" applyBorder="1" applyAlignment="1">
      <alignment horizontal="left" vertical="center" indent="2"/>
    </xf>
    <xf numFmtId="0" fontId="194" fillId="8" borderId="0" xfId="0" applyFont="1" applyFill="1" applyBorder="1"/>
    <xf numFmtId="0" fontId="177" fillId="9" borderId="0" xfId="0" applyFont="1" applyFill="1" applyBorder="1" applyAlignment="1">
      <alignment horizontal="center" vertical="center" wrapText="1"/>
    </xf>
    <xf numFmtId="0" fontId="177" fillId="35" borderId="127" xfId="0" applyFont="1" applyFill="1" applyBorder="1" applyAlignment="1">
      <alignment vertical="center" wrapText="1"/>
    </xf>
    <xf numFmtId="0" fontId="177" fillId="35" borderId="60" xfId="0" applyFont="1" applyFill="1" applyBorder="1" applyAlignment="1">
      <alignment vertical="center" wrapText="1"/>
    </xf>
    <xf numFmtId="0" fontId="189" fillId="9" borderId="0" xfId="0" applyFont="1" applyFill="1" applyBorder="1" applyAlignment="1">
      <alignment wrapText="1"/>
    </xf>
    <xf numFmtId="0" fontId="189" fillId="9" borderId="172" xfId="0" applyFont="1" applyFill="1" applyBorder="1" applyAlignment="1">
      <alignment vertical="top" wrapText="1"/>
    </xf>
    <xf numFmtId="0" fontId="18" fillId="16" borderId="75" xfId="0" applyFont="1" applyFill="1" applyBorder="1"/>
    <xf numFmtId="0" fontId="177" fillId="16" borderId="80" xfId="0" applyFont="1" applyFill="1" applyBorder="1"/>
    <xf numFmtId="0" fontId="177" fillId="16" borderId="81" xfId="0" applyFont="1" applyFill="1" applyBorder="1"/>
    <xf numFmtId="0" fontId="18" fillId="16" borderId="83" xfId="0" applyFont="1" applyFill="1" applyBorder="1"/>
    <xf numFmtId="0" fontId="177" fillId="16" borderId="85" xfId="0" applyFont="1" applyFill="1" applyBorder="1"/>
    <xf numFmtId="0" fontId="189" fillId="9" borderId="172" xfId="0" applyFont="1" applyFill="1" applyBorder="1" applyAlignment="1">
      <alignment horizontal="left" vertical="center"/>
    </xf>
    <xf numFmtId="165" fontId="188" fillId="9" borderId="0" xfId="0" applyNumberFormat="1" applyFont="1" applyFill="1" applyBorder="1" applyAlignment="1">
      <alignment horizontal="left" indent="2"/>
    </xf>
    <xf numFmtId="165" fontId="197" fillId="9" borderId="0" xfId="0" applyNumberFormat="1" applyFont="1" applyFill="1" applyBorder="1"/>
    <xf numFmtId="0" fontId="197" fillId="9" borderId="0" xfId="0" applyFont="1" applyFill="1" applyBorder="1"/>
    <xf numFmtId="0" fontId="177" fillId="31" borderId="0" xfId="0" applyFont="1" applyFill="1" applyBorder="1"/>
    <xf numFmtId="0" fontId="198" fillId="31" borderId="0" xfId="0" applyFont="1" applyFill="1" applyBorder="1"/>
    <xf numFmtId="0" fontId="189" fillId="9" borderId="172" xfId="0" applyFont="1" applyFill="1" applyBorder="1" applyAlignment="1">
      <alignment horizontal="left" vertical="center" wrapText="1"/>
    </xf>
    <xf numFmtId="0" fontId="189" fillId="39" borderId="169" xfId="0" applyFont="1" applyFill="1" applyBorder="1" applyAlignment="1">
      <alignment horizontal="left" vertical="center" wrapText="1"/>
    </xf>
    <xf numFmtId="0" fontId="189" fillId="38" borderId="0" xfId="0" applyFont="1" applyFill="1" applyBorder="1" applyAlignment="1">
      <alignment horizontal="left" vertical="center" wrapText="1"/>
    </xf>
    <xf numFmtId="0" fontId="189" fillId="38" borderId="0" xfId="0" applyFont="1" applyFill="1" applyBorder="1" applyAlignment="1">
      <alignment horizontal="left" vertical="top" wrapText="1"/>
    </xf>
    <xf numFmtId="0" fontId="200" fillId="38" borderId="0" xfId="0" applyFont="1" applyFill="1" applyBorder="1" applyAlignment="1">
      <alignment vertical="center"/>
    </xf>
    <xf numFmtId="0" fontId="157" fillId="38" borderId="0" xfId="0" applyFont="1" applyFill="1" applyBorder="1" applyAlignment="1">
      <alignment horizontal="left" vertical="top" wrapText="1"/>
    </xf>
    <xf numFmtId="0" fontId="105" fillId="9" borderId="0" xfId="0" applyFont="1" applyFill="1" applyBorder="1"/>
    <xf numFmtId="0" fontId="13" fillId="44" borderId="168" xfId="0" applyFont="1" applyFill="1" applyBorder="1" applyAlignment="1">
      <alignment horizontal="left" indent="1"/>
    </xf>
    <xf numFmtId="0" fontId="13" fillId="44" borderId="169" xfId="0" applyFont="1" applyFill="1" applyBorder="1"/>
    <xf numFmtId="0" fontId="13" fillId="44" borderId="170" xfId="0" applyFont="1" applyFill="1" applyBorder="1"/>
    <xf numFmtId="0" fontId="215" fillId="44" borderId="169" xfId="0" applyFont="1" applyFill="1" applyBorder="1" applyAlignment="1">
      <alignment vertical="center"/>
    </xf>
    <xf numFmtId="0" fontId="9" fillId="42" borderId="163" xfId="0" applyFont="1" applyFill="1" applyBorder="1"/>
    <xf numFmtId="0" fontId="9" fillId="42" borderId="0" xfId="0" applyFont="1" applyFill="1" applyBorder="1"/>
    <xf numFmtId="0" fontId="218" fillId="42" borderId="0" xfId="0" applyFont="1" applyFill="1" applyAlignment="1">
      <alignment vertical="center"/>
    </xf>
    <xf numFmtId="0" fontId="218" fillId="42" borderId="0" xfId="0" applyFont="1" applyFill="1" applyAlignment="1">
      <alignment horizontal="left" vertical="center" indent="2"/>
    </xf>
    <xf numFmtId="0" fontId="220" fillId="9" borderId="0" xfId="0" applyFont="1" applyFill="1" applyBorder="1"/>
    <xf numFmtId="0" fontId="221" fillId="12" borderId="169" xfId="0" applyFont="1" applyFill="1" applyBorder="1" applyAlignment="1">
      <alignment vertical="center"/>
    </xf>
    <xf numFmtId="0" fontId="9" fillId="44" borderId="159" xfId="0" applyFont="1" applyFill="1" applyBorder="1"/>
    <xf numFmtId="0" fontId="105" fillId="44" borderId="0" xfId="0" applyFont="1" applyFill="1" applyBorder="1" applyAlignment="1">
      <alignment horizontal="left" vertical="center" wrapText="1"/>
    </xf>
    <xf numFmtId="0" fontId="9" fillId="44" borderId="158" xfId="0" applyFont="1" applyFill="1" applyBorder="1"/>
    <xf numFmtId="165" fontId="105" fillId="38" borderId="0" xfId="0" applyNumberFormat="1" applyFont="1" applyFill="1" applyBorder="1" applyAlignment="1">
      <alignment horizontal="left" vertical="top" indent="1"/>
    </xf>
    <xf numFmtId="165" fontId="224" fillId="38" borderId="0" xfId="0" applyNumberFormat="1" applyFont="1" applyFill="1" applyBorder="1" applyAlignment="1">
      <alignment horizontal="left" vertical="top" indent="2"/>
    </xf>
    <xf numFmtId="165" fontId="105" fillId="38" borderId="0" xfId="0" applyNumberFormat="1" applyFont="1" applyFill="1" applyBorder="1" applyAlignment="1">
      <alignment horizontal="left" vertical="center"/>
    </xf>
    <xf numFmtId="165" fontId="178" fillId="38" borderId="0" xfId="0" applyNumberFormat="1" applyFont="1" applyFill="1" applyBorder="1" applyAlignment="1">
      <alignment horizontal="left" vertical="top" indent="1"/>
    </xf>
    <xf numFmtId="165" fontId="157" fillId="38" borderId="0" xfId="0" applyNumberFormat="1" applyFont="1" applyFill="1" applyBorder="1" applyAlignment="1">
      <alignment horizontal="left" vertical="center" indent="1"/>
    </xf>
    <xf numFmtId="0" fontId="157" fillId="38" borderId="0" xfId="0" applyFont="1" applyFill="1" applyBorder="1" applyAlignment="1">
      <alignment horizontal="left" vertical="top"/>
    </xf>
    <xf numFmtId="0" fontId="189" fillId="38" borderId="0" xfId="0" applyFont="1" applyFill="1" applyBorder="1" applyAlignment="1">
      <alignment horizontal="left" vertical="top"/>
    </xf>
    <xf numFmtId="0" fontId="13" fillId="44" borderId="169" xfId="0" applyFont="1" applyFill="1" applyBorder="1" applyAlignment="1">
      <alignment horizontal="left" indent="1"/>
    </xf>
    <xf numFmtId="0" fontId="21" fillId="42" borderId="161" xfId="0" applyFont="1" applyFill="1" applyBorder="1" applyAlignment="1">
      <alignment vertical="center"/>
    </xf>
    <xf numFmtId="0" fontId="233" fillId="9" borderId="0" xfId="0" applyFont="1" applyFill="1" applyBorder="1" applyAlignment="1">
      <alignment horizontal="left" vertical="top" wrapText="1"/>
    </xf>
    <xf numFmtId="0" fontId="233" fillId="9" borderId="0" xfId="0" applyFont="1" applyFill="1" applyBorder="1" applyAlignment="1">
      <alignment vertical="top" wrapText="1"/>
    </xf>
    <xf numFmtId="0" fontId="233" fillId="9" borderId="0" xfId="0" applyFont="1" applyFill="1" applyBorder="1"/>
    <xf numFmtId="0" fontId="233" fillId="9" borderId="0" xfId="0" applyFont="1" applyFill="1" applyBorder="1" applyAlignment="1">
      <alignment vertical="center"/>
    </xf>
    <xf numFmtId="0" fontId="237" fillId="9" borderId="0" xfId="0" applyFont="1" applyFill="1" applyBorder="1"/>
    <xf numFmtId="0" fontId="234" fillId="9" borderId="0" xfId="0" applyFont="1" applyFill="1" applyBorder="1" applyAlignment="1">
      <alignment horizontal="left" vertical="top" wrapText="1"/>
    </xf>
    <xf numFmtId="0" fontId="180" fillId="42" borderId="161" xfId="0" applyFont="1" applyFill="1" applyBorder="1" applyAlignment="1">
      <alignment vertical="center"/>
    </xf>
    <xf numFmtId="0" fontId="119" fillId="9" borderId="0" xfId="0" applyFont="1" applyFill="1" applyBorder="1" applyAlignment="1">
      <alignment vertical="top"/>
    </xf>
    <xf numFmtId="0" fontId="105" fillId="9" borderId="0" xfId="0" applyFont="1" applyFill="1" applyBorder="1" applyAlignment="1">
      <alignment vertical="center" wrapText="1"/>
    </xf>
    <xf numFmtId="0" fontId="240" fillId="42" borderId="161" xfId="0" applyFont="1" applyFill="1" applyBorder="1" applyAlignment="1">
      <alignment vertical="center"/>
    </xf>
    <xf numFmtId="0" fontId="9" fillId="4" borderId="0" xfId="0" applyFont="1" applyFill="1" applyAlignment="1">
      <alignment shrinkToFit="1"/>
    </xf>
    <xf numFmtId="0" fontId="24" fillId="4" borderId="0" xfId="0" applyFont="1" applyFill="1"/>
    <xf numFmtId="0" fontId="241" fillId="4" borderId="0" xfId="0" applyFont="1" applyFill="1"/>
    <xf numFmtId="0" fontId="23" fillId="4" borderId="0" xfId="0" applyFont="1" applyFill="1"/>
    <xf numFmtId="0" fontId="242" fillId="4" borderId="0" xfId="0" applyFont="1" applyFill="1"/>
    <xf numFmtId="0" fontId="243" fillId="0" borderId="0" xfId="0" applyFont="1"/>
    <xf numFmtId="0" fontId="244" fillId="0" borderId="0" xfId="0" applyFont="1"/>
    <xf numFmtId="0" fontId="244" fillId="0" borderId="0" xfId="0" applyFont="1" applyAlignment="1">
      <alignment shrinkToFit="1"/>
    </xf>
    <xf numFmtId="0" fontId="245" fillId="0" borderId="0" xfId="0" applyFont="1" applyAlignment="1">
      <alignment shrinkToFit="1"/>
    </xf>
    <xf numFmtId="0" fontId="9" fillId="45" borderId="0" xfId="0" applyFont="1" applyFill="1"/>
    <xf numFmtId="0" fontId="9" fillId="45" borderId="0" xfId="0" quotePrefix="1" applyFont="1" applyFill="1"/>
    <xf numFmtId="0" fontId="16" fillId="4" borderId="29" xfId="0" applyFont="1" applyFill="1" applyBorder="1"/>
    <xf numFmtId="0" fontId="9" fillId="4" borderId="29" xfId="0" applyFont="1" applyFill="1" applyBorder="1"/>
    <xf numFmtId="0" fontId="40" fillId="4" borderId="29" xfId="0" applyFont="1" applyFill="1" applyBorder="1"/>
    <xf numFmtId="0" fontId="246" fillId="4" borderId="0" xfId="0" applyFont="1" applyFill="1"/>
    <xf numFmtId="0" fontId="25" fillId="4" borderId="0" xfId="0" applyFont="1" applyFill="1"/>
    <xf numFmtId="0" fontId="247" fillId="4" borderId="0" xfId="0" applyFont="1" applyFill="1"/>
    <xf numFmtId="0" fontId="9" fillId="4" borderId="0" xfId="0" applyFont="1" applyFill="1" applyAlignment="1">
      <alignment vertical="center"/>
    </xf>
    <xf numFmtId="0" fontId="14" fillId="4" borderId="0" xfId="0" applyFont="1" applyFill="1" applyAlignment="1">
      <alignment horizontal="center" vertical="center"/>
    </xf>
    <xf numFmtId="0" fontId="249" fillId="0" borderId="0" xfId="0" applyFont="1"/>
    <xf numFmtId="0" fontId="16" fillId="4" borderId="0" xfId="0" applyFont="1" applyFill="1" applyBorder="1"/>
    <xf numFmtId="0" fontId="24" fillId="4" borderId="14" xfId="0" applyFont="1" applyFill="1" applyBorder="1"/>
    <xf numFmtId="0" fontId="247" fillId="4" borderId="15" xfId="0" applyFont="1" applyFill="1" applyBorder="1"/>
    <xf numFmtId="0" fontId="24" fillId="4" borderId="15" xfId="0" applyFont="1" applyFill="1" applyBorder="1"/>
    <xf numFmtId="0" fontId="24" fillId="4" borderId="175" xfId="0" quotePrefix="1" applyFont="1" applyFill="1" applyBorder="1"/>
    <xf numFmtId="0" fontId="247" fillId="4" borderId="0" xfId="0" applyFont="1" applyFill="1" applyBorder="1"/>
    <xf numFmtId="0" fontId="24" fillId="4" borderId="0" xfId="0" quotePrefix="1" applyFont="1" applyFill="1" applyBorder="1"/>
    <xf numFmtId="0" fontId="24" fillId="4" borderId="175" xfId="0" applyFont="1" applyFill="1" applyBorder="1"/>
    <xf numFmtId="0" fontId="24" fillId="4" borderId="0" xfId="0" applyFont="1" applyFill="1" applyBorder="1"/>
    <xf numFmtId="0" fontId="24" fillId="4" borderId="18" xfId="0" applyFont="1" applyFill="1" applyBorder="1"/>
    <xf numFmtId="0" fontId="247" fillId="4" borderId="19" xfId="0" applyFont="1" applyFill="1" applyBorder="1"/>
    <xf numFmtId="0" fontId="24" fillId="4" borderId="19" xfId="0" applyFont="1" applyFill="1" applyBorder="1"/>
    <xf numFmtId="0" fontId="197" fillId="43" borderId="29" xfId="0" applyFont="1" applyFill="1" applyBorder="1"/>
    <xf numFmtId="0" fontId="9" fillId="43" borderId="0" xfId="0" applyFont="1" applyFill="1"/>
    <xf numFmtId="0" fontId="250" fillId="4" borderId="0" xfId="0" applyFont="1" applyFill="1"/>
    <xf numFmtId="0" fontId="251" fillId="4" borderId="0" xfId="0" applyFont="1" applyFill="1"/>
    <xf numFmtId="0" fontId="250" fillId="4" borderId="0" xfId="0" quotePrefix="1" applyFont="1" applyFill="1"/>
    <xf numFmtId="0" fontId="250" fillId="7" borderId="0" xfId="0" applyFont="1" applyFill="1"/>
    <xf numFmtId="0" fontId="250" fillId="7" borderId="0" xfId="0" quotePrefix="1" applyFont="1" applyFill="1"/>
    <xf numFmtId="0" fontId="251" fillId="46" borderId="0" xfId="0" applyFont="1" applyFill="1"/>
    <xf numFmtId="0" fontId="236" fillId="4" borderId="0" xfId="0" applyFont="1" applyFill="1"/>
    <xf numFmtId="0" fontId="252" fillId="43" borderId="0" xfId="0" applyFont="1" applyFill="1"/>
    <xf numFmtId="0" fontId="254" fillId="43" borderId="180" xfId="0" applyFont="1" applyFill="1" applyBorder="1"/>
    <xf numFmtId="0" fontId="255" fillId="43" borderId="180" xfId="0" applyFont="1" applyFill="1" applyBorder="1"/>
    <xf numFmtId="0" fontId="254" fillId="43" borderId="181" xfId="0" applyFont="1" applyFill="1" applyBorder="1"/>
    <xf numFmtId="0" fontId="255" fillId="43" borderId="181" xfId="0" applyFont="1" applyFill="1" applyBorder="1"/>
    <xf numFmtId="0" fontId="257" fillId="4" borderId="0" xfId="0" applyFont="1" applyFill="1" applyAlignment="1">
      <alignment horizontal="center" vertical="center" shrinkToFit="1"/>
    </xf>
    <xf numFmtId="0" fontId="258" fillId="4" borderId="0" xfId="0" applyFont="1" applyFill="1" applyAlignment="1">
      <alignment horizontal="center" vertical="center" shrinkToFit="1"/>
    </xf>
    <xf numFmtId="0" fontId="257" fillId="4" borderId="0" xfId="0" quotePrefix="1" applyFont="1" applyFill="1" applyAlignment="1">
      <alignment horizontal="center" vertical="center" shrinkToFit="1"/>
    </xf>
    <xf numFmtId="0" fontId="256" fillId="4" borderId="0" xfId="0" applyFont="1" applyFill="1" applyAlignment="1">
      <alignment horizontal="left" indent="1"/>
    </xf>
    <xf numFmtId="0" fontId="248" fillId="47" borderId="176" xfId="0" applyFont="1" applyFill="1" applyBorder="1"/>
    <xf numFmtId="0" fontId="253" fillId="47" borderId="178" xfId="0" applyFont="1" applyFill="1" applyBorder="1"/>
    <xf numFmtId="0" fontId="248" fillId="47" borderId="177" xfId="0" applyFont="1" applyFill="1" applyBorder="1"/>
    <xf numFmtId="0" fontId="253" fillId="47" borderId="179" xfId="0" applyFont="1" applyFill="1" applyBorder="1"/>
    <xf numFmtId="0" fontId="260" fillId="19" borderId="0" xfId="0" applyFont="1" applyFill="1" applyBorder="1" applyAlignment="1">
      <alignment horizontal="center" vertical="center"/>
    </xf>
    <xf numFmtId="0" fontId="259" fillId="19" borderId="0" xfId="0" applyFont="1" applyFill="1" applyAlignment="1">
      <alignment horizontal="center" vertical="center"/>
    </xf>
    <xf numFmtId="0" fontId="23" fillId="4" borderId="0" xfId="0" applyFont="1" applyFill="1" applyAlignment="1">
      <alignment horizontal="center" shrinkToFit="1"/>
    </xf>
    <xf numFmtId="0" fontId="25" fillId="4" borderId="0" xfId="0" applyFont="1" applyFill="1" applyAlignment="1">
      <alignment horizontal="center" shrinkToFit="1"/>
    </xf>
    <xf numFmtId="0" fontId="234" fillId="9" borderId="0" xfId="0" applyFont="1" applyFill="1" applyBorder="1" applyAlignment="1">
      <alignment horizontal="right" vertical="top" wrapText="1"/>
    </xf>
    <xf numFmtId="0" fontId="16" fillId="19" borderId="0" xfId="0" applyFont="1" applyFill="1"/>
    <xf numFmtId="0" fontId="95" fillId="4" borderId="0" xfId="0" applyFont="1" applyFill="1" applyAlignment="1">
      <alignment horizontal="right" vertical="center"/>
    </xf>
    <xf numFmtId="0" fontId="268" fillId="4" borderId="0" xfId="0" applyFont="1" applyFill="1"/>
    <xf numFmtId="0" fontId="268" fillId="4" borderId="0" xfId="0" applyFont="1" applyFill="1" applyAlignment="1">
      <alignment horizontal="right" vertical="center"/>
    </xf>
    <xf numFmtId="0" fontId="95" fillId="45" borderId="0" xfId="0" applyFont="1" applyFill="1"/>
    <xf numFmtId="0" fontId="268" fillId="45" borderId="0" xfId="0" applyFont="1" applyFill="1"/>
    <xf numFmtId="0" fontId="9" fillId="45" borderId="0" xfId="0" applyFont="1" applyFill="1" applyAlignment="1">
      <alignment wrapText="1"/>
    </xf>
    <xf numFmtId="0" fontId="9" fillId="45" borderId="0" xfId="0" quotePrefix="1" applyFont="1" applyFill="1" applyAlignment="1">
      <alignment wrapText="1"/>
    </xf>
    <xf numFmtId="0" fontId="9" fillId="45" borderId="0" xfId="0" quotePrefix="1" applyFont="1" applyFill="1" applyAlignment="1"/>
    <xf numFmtId="0" fontId="243" fillId="9" borderId="0" xfId="0" applyFont="1" applyFill="1" applyAlignment="1">
      <alignment vertical="top" wrapText="1"/>
    </xf>
    <xf numFmtId="0" fontId="9" fillId="45" borderId="0" xfId="0" applyFont="1" applyFill="1" applyAlignment="1">
      <alignment horizontal="center" vertical="center"/>
    </xf>
    <xf numFmtId="0" fontId="233" fillId="9" borderId="0" xfId="0" quotePrefix="1" applyFont="1" applyFill="1" applyBorder="1" applyAlignment="1">
      <alignment vertical="center"/>
    </xf>
    <xf numFmtId="0" fontId="235" fillId="9" borderId="0" xfId="0" applyFont="1" applyFill="1" applyBorder="1" applyAlignment="1">
      <alignment horizontal="left" indent="1"/>
    </xf>
    <xf numFmtId="0" fontId="9" fillId="7" borderId="0" xfId="0" applyFont="1" applyFill="1" applyAlignment="1">
      <alignment horizontal="left" vertical="center"/>
    </xf>
    <xf numFmtId="0" fontId="9" fillId="31" borderId="0" xfId="0" applyFont="1" applyFill="1" applyAlignment="1">
      <alignment horizontal="left" vertical="center"/>
    </xf>
    <xf numFmtId="0" fontId="16" fillId="7" borderId="0" xfId="0" applyFont="1" applyFill="1" applyAlignment="1">
      <alignment horizontal="left" vertical="center" indent="1"/>
    </xf>
    <xf numFmtId="0" fontId="16" fillId="31" borderId="0" xfId="0" applyFont="1" applyFill="1" applyAlignment="1">
      <alignment horizontal="left" vertical="center" indent="1"/>
    </xf>
    <xf numFmtId="0" fontId="9" fillId="9" borderId="0" xfId="0" applyFont="1" applyFill="1"/>
    <xf numFmtId="0" fontId="16" fillId="9" borderId="0" xfId="0" applyFont="1" applyFill="1" applyAlignment="1">
      <alignment horizontal="left" indent="1"/>
    </xf>
    <xf numFmtId="0" fontId="9" fillId="27" borderId="0" xfId="0" applyFont="1" applyFill="1"/>
    <xf numFmtId="0" fontId="9" fillId="48" borderId="0" xfId="0" applyFont="1" applyFill="1"/>
    <xf numFmtId="0" fontId="234" fillId="9" borderId="0" xfId="0" applyFont="1" applyFill="1" applyBorder="1" applyAlignment="1">
      <alignment horizontal="left" vertical="top" indent="1"/>
    </xf>
    <xf numFmtId="0" fontId="201" fillId="9" borderId="0" xfId="0" applyFont="1" applyFill="1" applyBorder="1"/>
    <xf numFmtId="0" fontId="13" fillId="11" borderId="168" xfId="0" applyFont="1" applyFill="1" applyBorder="1" applyAlignment="1">
      <alignment horizontal="left" indent="1"/>
    </xf>
    <xf numFmtId="0" fontId="232" fillId="11" borderId="169" xfId="0" applyFont="1" applyFill="1" applyBorder="1" applyAlignment="1">
      <alignment horizontal="left" indent="1"/>
    </xf>
    <xf numFmtId="0" fontId="13" fillId="11" borderId="169" xfId="0" applyFont="1" applyFill="1" applyBorder="1" applyAlignment="1">
      <alignment horizontal="left" indent="1"/>
    </xf>
    <xf numFmtId="0" fontId="13" fillId="11" borderId="170" xfId="0" applyFont="1" applyFill="1" applyBorder="1"/>
    <xf numFmtId="0" fontId="215" fillId="11" borderId="169" xfId="0" applyFont="1" applyFill="1" applyBorder="1" applyAlignment="1">
      <alignment vertical="center"/>
    </xf>
    <xf numFmtId="0" fontId="13" fillId="11" borderId="169" xfId="0" applyFont="1" applyFill="1" applyBorder="1"/>
    <xf numFmtId="0" fontId="105" fillId="11" borderId="0" xfId="0" applyFont="1" applyFill="1" applyBorder="1" applyAlignment="1">
      <alignment horizontal="left" vertical="center" wrapText="1"/>
    </xf>
    <xf numFmtId="0" fontId="9" fillId="11" borderId="158" xfId="0" applyFont="1" applyFill="1" applyBorder="1"/>
    <xf numFmtId="0" fontId="13" fillId="11" borderId="159" xfId="0" applyFont="1" applyFill="1" applyBorder="1" applyAlignment="1">
      <alignment horizontal="left" indent="1"/>
    </xf>
    <xf numFmtId="0" fontId="13" fillId="11" borderId="0" xfId="0" applyFont="1" applyFill="1" applyBorder="1" applyAlignment="1">
      <alignment horizontal="center"/>
    </xf>
    <xf numFmtId="0" fontId="215" fillId="11" borderId="0" xfId="0" applyFont="1" applyFill="1" applyBorder="1" applyAlignment="1">
      <alignment vertical="center"/>
    </xf>
    <xf numFmtId="0" fontId="13" fillId="11" borderId="0" xfId="0" applyFont="1" applyFill="1" applyBorder="1"/>
    <xf numFmtId="0" fontId="13" fillId="11" borderId="158" xfId="0" applyFont="1" applyFill="1" applyBorder="1"/>
    <xf numFmtId="0" fontId="9" fillId="9" borderId="185" xfId="0" applyFont="1" applyFill="1" applyBorder="1"/>
    <xf numFmtId="0" fontId="22" fillId="9" borderId="0" xfId="0" applyFont="1" applyFill="1" applyBorder="1"/>
    <xf numFmtId="0" fontId="24" fillId="9" borderId="0" xfId="0" applyFont="1" applyFill="1"/>
    <xf numFmtId="0" fontId="247" fillId="9" borderId="0" xfId="0" applyFont="1" applyFill="1"/>
    <xf numFmtId="0" fontId="277" fillId="9" borderId="163" xfId="0" applyFont="1" applyFill="1" applyBorder="1" applyAlignment="1">
      <alignment vertical="center"/>
    </xf>
    <xf numFmtId="0" fontId="278" fillId="9" borderId="0" xfId="0" applyFont="1" applyFill="1" applyBorder="1" applyAlignment="1">
      <alignment vertical="center"/>
    </xf>
    <xf numFmtId="0" fontId="277" fillId="9" borderId="0" xfId="0" applyFont="1" applyFill="1" applyBorder="1" applyAlignment="1">
      <alignment vertical="center"/>
    </xf>
    <xf numFmtId="0" fontId="277" fillId="9" borderId="164" xfId="0" applyFont="1" applyFill="1" applyBorder="1" applyAlignment="1">
      <alignment vertical="center"/>
    </xf>
    <xf numFmtId="0" fontId="279" fillId="9" borderId="0" xfId="0" applyFont="1" applyFill="1" applyBorder="1" applyAlignment="1">
      <alignment vertical="center" wrapText="1"/>
    </xf>
    <xf numFmtId="0" fontId="277" fillId="4" borderId="0" xfId="0" applyFont="1" applyFill="1" applyAlignment="1">
      <alignment vertical="center"/>
    </xf>
    <xf numFmtId="0" fontId="234" fillId="9" borderId="0" xfId="0" applyFont="1" applyFill="1" applyBorder="1" applyAlignment="1">
      <alignment vertical="top" wrapText="1"/>
    </xf>
    <xf numFmtId="0" fontId="9" fillId="9" borderId="187" xfId="0" applyFont="1" applyFill="1" applyBorder="1"/>
    <xf numFmtId="0" fontId="9" fillId="9" borderId="188" xfId="0" applyFont="1" applyFill="1" applyBorder="1"/>
    <xf numFmtId="0" fontId="9" fillId="9" borderId="192" xfId="0" applyFont="1" applyFill="1" applyBorder="1"/>
    <xf numFmtId="0" fontId="9" fillId="9" borderId="194" xfId="0" applyFont="1" applyFill="1" applyBorder="1"/>
    <xf numFmtId="0" fontId="9" fillId="9" borderId="195" xfId="0" applyFont="1" applyFill="1" applyBorder="1"/>
    <xf numFmtId="0" fontId="9" fillId="4" borderId="0" xfId="0" applyFont="1" applyFill="1" applyAlignment="1">
      <alignment horizontal="left" vertical="center"/>
    </xf>
    <xf numFmtId="0" fontId="289" fillId="9" borderId="0" xfId="4" applyFont="1" applyFill="1" applyBorder="1" applyAlignment="1">
      <alignment horizontal="center" vertical="top" wrapText="1"/>
    </xf>
    <xf numFmtId="0" fontId="290" fillId="9" borderId="163" xfId="0" applyFont="1" applyFill="1" applyBorder="1" applyAlignment="1">
      <alignment horizontal="left" vertical="top"/>
    </xf>
    <xf numFmtId="0" fontId="24" fillId="50" borderId="15" xfId="0" applyFont="1" applyFill="1" applyBorder="1"/>
    <xf numFmtId="0" fontId="247" fillId="50" borderId="16" xfId="0" applyFont="1" applyFill="1" applyBorder="1"/>
    <xf numFmtId="0" fontId="24" fillId="50" borderId="0" xfId="0" quotePrefix="1" applyFont="1" applyFill="1" applyBorder="1"/>
    <xf numFmtId="0" fontId="247" fillId="50" borderId="17" xfId="0" applyFont="1" applyFill="1" applyBorder="1"/>
    <xf numFmtId="0" fontId="248" fillId="50" borderId="0" xfId="0" applyFont="1" applyFill="1" applyBorder="1"/>
    <xf numFmtId="0" fontId="248" fillId="50" borderId="19" xfId="0" applyFont="1" applyFill="1" applyBorder="1"/>
    <xf numFmtId="0" fontId="247" fillId="50" borderId="20" xfId="0" applyFont="1" applyFill="1" applyBorder="1"/>
    <xf numFmtId="0" fontId="179" fillId="44" borderId="162" xfId="0" applyFont="1" applyFill="1" applyBorder="1" applyAlignment="1">
      <alignment horizontal="center" vertical="center"/>
    </xf>
    <xf numFmtId="0" fontId="9" fillId="44" borderId="164" xfId="0" applyFont="1" applyFill="1" applyBorder="1"/>
    <xf numFmtId="0" fontId="119" fillId="48" borderId="0" xfId="0" applyFont="1" applyFill="1" applyAlignment="1">
      <alignment horizontal="left" indent="2"/>
    </xf>
    <xf numFmtId="0" fontId="9" fillId="48" borderId="200" xfId="0" applyFont="1" applyFill="1" applyBorder="1"/>
    <xf numFmtId="0" fontId="9" fillId="48" borderId="0" xfId="0" applyFont="1" applyFill="1" applyBorder="1"/>
    <xf numFmtId="0" fontId="9" fillId="48" borderId="199" xfId="0" applyFont="1" applyFill="1" applyBorder="1" applyAlignment="1">
      <alignment vertical="center"/>
    </xf>
    <xf numFmtId="0" fontId="9" fillId="48" borderId="202" xfId="0" applyFont="1" applyFill="1" applyBorder="1" applyAlignment="1">
      <alignment vertical="center"/>
    </xf>
    <xf numFmtId="0" fontId="9" fillId="48" borderId="204" xfId="0" applyFont="1" applyFill="1" applyBorder="1" applyAlignment="1">
      <alignment vertical="center"/>
    </xf>
    <xf numFmtId="0" fontId="9" fillId="48" borderId="187" xfId="0" applyFont="1" applyFill="1" applyBorder="1" applyAlignment="1">
      <alignment vertical="center"/>
    </xf>
    <xf numFmtId="0" fontId="9" fillId="48" borderId="190" xfId="0" applyFont="1" applyFill="1" applyBorder="1"/>
    <xf numFmtId="0" fontId="9" fillId="48" borderId="192" xfId="0" applyFont="1" applyFill="1" applyBorder="1" applyAlignment="1">
      <alignment vertical="center"/>
    </xf>
    <xf numFmtId="0" fontId="261" fillId="48" borderId="0" xfId="0" quotePrefix="1" applyFont="1" applyFill="1" applyBorder="1" applyAlignment="1">
      <alignment horizontal="left" vertical="center"/>
    </xf>
    <xf numFmtId="0" fontId="9" fillId="48" borderId="207" xfId="0" applyFont="1" applyFill="1" applyBorder="1" applyAlignment="1">
      <alignment vertical="center"/>
    </xf>
    <xf numFmtId="0" fontId="9" fillId="48" borderId="209" xfId="0" applyFont="1" applyFill="1" applyBorder="1" applyAlignment="1">
      <alignment vertical="center"/>
    </xf>
    <xf numFmtId="0" fontId="9" fillId="48" borderId="194" xfId="0" applyFont="1" applyFill="1" applyBorder="1"/>
    <xf numFmtId="0" fontId="9" fillId="48" borderId="197" xfId="0" applyFont="1" applyFill="1" applyBorder="1"/>
    <xf numFmtId="0" fontId="9" fillId="48" borderId="198" xfId="0" applyFont="1" applyFill="1" applyBorder="1"/>
    <xf numFmtId="0" fontId="278" fillId="9" borderId="0" xfId="0" applyFont="1" applyFill="1" applyBorder="1" applyAlignment="1">
      <alignment horizontal="left" vertical="center"/>
    </xf>
    <xf numFmtId="0" fontId="300" fillId="44" borderId="170" xfId="0" applyFont="1" applyFill="1" applyBorder="1" applyAlignment="1">
      <alignment horizontal="left" indent="1"/>
    </xf>
    <xf numFmtId="0" fontId="304" fillId="48" borderId="197" xfId="0" applyFont="1" applyFill="1" applyBorder="1"/>
    <xf numFmtId="0" fontId="294" fillId="48" borderId="190" xfId="0" applyFont="1" applyFill="1" applyBorder="1" applyAlignment="1">
      <alignment vertical="center"/>
    </xf>
    <xf numFmtId="0" fontId="294" fillId="48" borderId="0" xfId="0" applyFont="1" applyFill="1" applyBorder="1" applyAlignment="1">
      <alignment vertical="center"/>
    </xf>
    <xf numFmtId="0" fontId="294" fillId="48" borderId="205" xfId="0" applyFont="1" applyFill="1" applyBorder="1" applyAlignment="1">
      <alignment vertical="center"/>
    </xf>
    <xf numFmtId="0" fontId="294" fillId="48" borderId="200" xfId="0" applyFont="1" applyFill="1" applyBorder="1" applyAlignment="1">
      <alignment vertical="center"/>
    </xf>
    <xf numFmtId="0" fontId="305" fillId="48" borderId="191" xfId="0" applyFont="1" applyFill="1" applyBorder="1" applyAlignment="1">
      <alignment vertical="center"/>
    </xf>
    <xf numFmtId="0" fontId="305" fillId="48" borderId="193" xfId="0" applyFont="1" applyFill="1" applyBorder="1" applyAlignment="1">
      <alignment vertical="center"/>
    </xf>
    <xf numFmtId="0" fontId="305" fillId="48" borderId="208" xfId="0" applyFont="1" applyFill="1" applyBorder="1" applyAlignment="1">
      <alignment vertical="center"/>
    </xf>
    <xf numFmtId="0" fontId="305" fillId="48" borderId="201" xfId="0" applyFont="1" applyFill="1" applyBorder="1" applyAlignment="1">
      <alignment vertical="center"/>
    </xf>
    <xf numFmtId="0" fontId="305" fillId="48" borderId="203" xfId="0" applyFont="1" applyFill="1" applyBorder="1" applyAlignment="1">
      <alignment vertical="center"/>
    </xf>
    <xf numFmtId="0" fontId="305" fillId="48" borderId="206" xfId="0" applyFont="1" applyFill="1" applyBorder="1" applyAlignment="1">
      <alignment vertical="center"/>
    </xf>
    <xf numFmtId="0" fontId="305" fillId="48" borderId="210" xfId="0" applyFont="1" applyFill="1" applyBorder="1" applyAlignment="1">
      <alignment vertical="center"/>
    </xf>
    <xf numFmtId="0" fontId="157" fillId="48" borderId="190" xfId="0" applyFont="1" applyFill="1" applyBorder="1" applyAlignment="1">
      <alignment horizontal="left" vertical="center"/>
    </xf>
    <xf numFmtId="0" fontId="6" fillId="48" borderId="0" xfId="0" applyFont="1" applyFill="1" applyBorder="1" applyAlignment="1">
      <alignment horizontal="left" vertical="center"/>
    </xf>
    <xf numFmtId="0" fontId="157" fillId="48" borderId="0" xfId="0" applyFont="1" applyFill="1" applyBorder="1" applyAlignment="1">
      <alignment horizontal="left" vertical="center"/>
    </xf>
    <xf numFmtId="0" fontId="9" fillId="48" borderId="211" xfId="0" applyFont="1" applyFill="1" applyBorder="1"/>
    <xf numFmtId="0" fontId="9" fillId="48" borderId="212" xfId="0" applyFont="1" applyFill="1" applyBorder="1"/>
    <xf numFmtId="0" fontId="9" fillId="48" borderId="213" xfId="0" applyFont="1" applyFill="1" applyBorder="1"/>
    <xf numFmtId="0" fontId="9" fillId="48" borderId="214" xfId="0" applyFont="1" applyFill="1" applyBorder="1"/>
    <xf numFmtId="0" fontId="9" fillId="48" borderId="215" xfId="0" applyFont="1" applyFill="1" applyBorder="1"/>
    <xf numFmtId="0" fontId="9" fillId="48" borderId="216" xfId="0" applyFont="1" applyFill="1" applyBorder="1"/>
    <xf numFmtId="0" fontId="9" fillId="48" borderId="217" xfId="0" applyFont="1" applyFill="1" applyBorder="1"/>
    <xf numFmtId="0" fontId="9" fillId="48" borderId="218" xfId="0" applyFont="1" applyFill="1" applyBorder="1"/>
    <xf numFmtId="0" fontId="306" fillId="48" borderId="205" xfId="0" applyFont="1" applyFill="1" applyBorder="1" applyAlignment="1">
      <alignment vertical="center"/>
    </xf>
    <xf numFmtId="0" fontId="9" fillId="51" borderId="0" xfId="0" applyFont="1" applyFill="1" applyAlignment="1">
      <alignment wrapText="1"/>
    </xf>
    <xf numFmtId="0" fontId="9" fillId="19" borderId="0" xfId="0" applyFont="1" applyFill="1"/>
    <xf numFmtId="0" fontId="9" fillId="51" borderId="0" xfId="0" applyFont="1" applyFill="1"/>
    <xf numFmtId="0" fontId="9" fillId="45" borderId="0" xfId="0" applyFont="1" applyFill="1" applyAlignment="1">
      <alignment horizontal="center" vertical="center" wrapText="1"/>
    </xf>
    <xf numFmtId="0" fontId="9" fillId="45" borderId="0" xfId="0" applyFont="1" applyFill="1" applyAlignment="1">
      <alignment horizontal="left" vertical="center"/>
    </xf>
    <xf numFmtId="0" fontId="307" fillId="4" borderId="0" xfId="0" applyFont="1" applyFill="1"/>
    <xf numFmtId="0" fontId="9" fillId="27" borderId="0" xfId="0" applyFont="1" applyFill="1" applyAlignment="1">
      <alignment wrapText="1"/>
    </xf>
    <xf numFmtId="0" fontId="24" fillId="52" borderId="0" xfId="0" quotePrefix="1" applyFont="1" applyFill="1" applyBorder="1"/>
    <xf numFmtId="0" fontId="247" fillId="52" borderId="0" xfId="0" applyFont="1" applyFill="1" applyBorder="1"/>
    <xf numFmtId="0" fontId="13" fillId="11" borderId="0" xfId="0" applyFont="1" applyFill="1" applyBorder="1" applyAlignment="1">
      <alignment horizontal="center"/>
    </xf>
    <xf numFmtId="0" fontId="9" fillId="45" borderId="0" xfId="0" applyFont="1" applyFill="1" applyAlignment="1">
      <alignment vertical="center" wrapText="1"/>
    </xf>
    <xf numFmtId="0" fontId="315" fillId="4" borderId="0" xfId="0" applyFont="1" applyFill="1"/>
    <xf numFmtId="0" fontId="13" fillId="4" borderId="0" xfId="0" applyFont="1" applyFill="1" applyBorder="1"/>
    <xf numFmtId="0" fontId="179" fillId="4" borderId="0" xfId="0" applyFont="1" applyFill="1" applyBorder="1" applyAlignment="1">
      <alignment horizontal="center" vertical="center"/>
    </xf>
    <xf numFmtId="0" fontId="277" fillId="4" borderId="0" xfId="0" applyFont="1" applyFill="1" applyBorder="1" applyAlignment="1">
      <alignment vertical="center"/>
    </xf>
    <xf numFmtId="0" fontId="316" fillId="42" borderId="161" xfId="0" applyFont="1" applyFill="1" applyBorder="1" applyAlignment="1">
      <alignment horizontal="left" vertical="center"/>
    </xf>
    <xf numFmtId="0" fontId="317" fillId="48" borderId="205" xfId="0" applyFont="1" applyFill="1" applyBorder="1" applyAlignment="1">
      <alignment vertical="center"/>
    </xf>
    <xf numFmtId="0" fontId="154" fillId="44" borderId="168" xfId="4" applyFill="1" applyBorder="1" applyAlignment="1">
      <alignment horizontal="left" indent="1"/>
    </xf>
    <xf numFmtId="0" fontId="154" fillId="42" borderId="0" xfId="4" applyFill="1" applyBorder="1"/>
    <xf numFmtId="0" fontId="154" fillId="42" borderId="0" xfId="4" applyFill="1" applyAlignment="1">
      <alignment horizontal="left" vertical="center" indent="2"/>
    </xf>
    <xf numFmtId="0" fontId="154" fillId="42" borderId="0" xfId="4" applyFill="1" applyAlignment="1">
      <alignment vertical="center"/>
    </xf>
    <xf numFmtId="0" fontId="154" fillId="42" borderId="0" xfId="4" applyFill="1" applyBorder="1" applyAlignment="1">
      <alignment horizontal="left"/>
    </xf>
    <xf numFmtId="0" fontId="312" fillId="9" borderId="0" xfId="4" applyFont="1" applyFill="1" applyBorder="1"/>
    <xf numFmtId="165" fontId="105" fillId="38" borderId="0" xfId="0" applyNumberFormat="1" applyFont="1" applyFill="1" applyBorder="1" applyAlignment="1">
      <alignment horizontal="left" vertical="top" indent="2"/>
    </xf>
    <xf numFmtId="0" fontId="184" fillId="9" borderId="0" xfId="0" applyFont="1" applyFill="1" applyBorder="1" applyAlignment="1">
      <alignment vertical="top"/>
    </xf>
    <xf numFmtId="0" fontId="233" fillId="9" borderId="219" xfId="0" applyFont="1" applyFill="1" applyBorder="1" applyAlignment="1">
      <alignment vertical="top" wrapText="1"/>
    </xf>
    <xf numFmtId="0" fontId="233" fillId="9" borderId="132" xfId="0" applyFont="1" applyFill="1" applyBorder="1" applyAlignment="1">
      <alignment vertical="top" wrapText="1"/>
    </xf>
    <xf numFmtId="0" fontId="233" fillId="9" borderId="221" xfId="0" applyFont="1" applyFill="1" applyBorder="1" applyAlignment="1">
      <alignment vertical="top" wrapText="1"/>
    </xf>
    <xf numFmtId="0" fontId="233" fillId="9" borderId="220" xfId="0" applyFont="1" applyFill="1" applyBorder="1" applyAlignment="1">
      <alignment vertical="top" wrapText="1"/>
    </xf>
    <xf numFmtId="0" fontId="233" fillId="9" borderId="130" xfId="0" applyFont="1" applyFill="1" applyBorder="1" applyAlignment="1">
      <alignment vertical="top" wrapText="1"/>
    </xf>
    <xf numFmtId="0" fontId="233" fillId="9" borderId="133" xfId="0" applyFont="1" applyFill="1" applyBorder="1" applyAlignment="1">
      <alignment vertical="top" wrapText="1"/>
    </xf>
    <xf numFmtId="0" fontId="16" fillId="19" borderId="0" xfId="0" applyFont="1" applyFill="1" applyAlignment="1">
      <alignment wrapText="1"/>
    </xf>
    <xf numFmtId="0" fontId="233" fillId="9" borderId="0" xfId="0" applyFont="1" applyFill="1" applyBorder="1" applyAlignment="1">
      <alignment horizontal="left" vertical="center" indent="1"/>
    </xf>
    <xf numFmtId="0" fontId="9" fillId="53" borderId="0" xfId="0" applyFont="1" applyFill="1"/>
    <xf numFmtId="0" fontId="323" fillId="9" borderId="0" xfId="0" applyFont="1" applyFill="1" applyAlignment="1">
      <alignment horizontal="left" vertical="top" wrapText="1" indent="1"/>
    </xf>
    <xf numFmtId="14" fontId="9" fillId="9" borderId="0" xfId="0" applyNumberFormat="1" applyFont="1" applyFill="1" applyBorder="1" applyAlignment="1">
      <alignment horizontal="center" vertical="center" shrinkToFit="1"/>
    </xf>
    <xf numFmtId="14" fontId="9" fillId="4" borderId="229" xfId="0" applyNumberFormat="1" applyFont="1" applyFill="1" applyBorder="1" applyAlignment="1">
      <alignment horizontal="center" vertical="center" shrinkToFit="1"/>
    </xf>
    <xf numFmtId="0" fontId="233" fillId="9" borderId="0" xfId="0" applyFont="1" applyFill="1" applyBorder="1" applyAlignment="1">
      <alignment vertical="top"/>
    </xf>
    <xf numFmtId="0" fontId="184" fillId="9" borderId="0" xfId="0" applyFont="1" applyFill="1" applyBorder="1" applyAlignment="1">
      <alignment vertical="center"/>
    </xf>
    <xf numFmtId="0" fontId="243" fillId="9" borderId="0" xfId="0" applyFont="1" applyFill="1" applyAlignment="1">
      <alignment vertical="top"/>
    </xf>
    <xf numFmtId="0" fontId="233" fillId="48" borderId="0" xfId="0" applyFont="1" applyFill="1" applyBorder="1" applyAlignment="1">
      <alignment vertical="top"/>
    </xf>
    <xf numFmtId="0" fontId="233" fillId="54" borderId="0" xfId="0" applyFont="1" applyFill="1" applyBorder="1" applyAlignment="1">
      <alignment vertical="top"/>
    </xf>
    <xf numFmtId="0" fontId="154" fillId="9" borderId="0" xfId="4" applyFill="1" applyAlignment="1">
      <alignment vertical="top"/>
    </xf>
    <xf numFmtId="0" fontId="9" fillId="4" borderId="0" xfId="0" applyFont="1" applyFill="1" applyAlignment="1">
      <alignment horizontal="center"/>
    </xf>
    <xf numFmtId="0" fontId="237" fillId="9" borderId="0" xfId="0" applyFont="1" applyFill="1" applyBorder="1" applyAlignment="1">
      <alignment horizontal="left" indent="1"/>
    </xf>
    <xf numFmtId="0" fontId="23" fillId="4" borderId="0" xfId="0" applyFont="1" applyFill="1" applyBorder="1"/>
    <xf numFmtId="0" fontId="25" fillId="4" borderId="0" xfId="0" applyFont="1" applyFill="1" applyBorder="1"/>
    <xf numFmtId="0" fontId="23" fillId="4" borderId="19" xfId="0" applyFont="1" applyFill="1" applyBorder="1"/>
    <xf numFmtId="0" fontId="25" fillId="4" borderId="19" xfId="0" applyFont="1" applyFill="1" applyBorder="1"/>
    <xf numFmtId="0" fontId="233" fillId="56" borderId="0" xfId="0" applyFont="1" applyFill="1" applyBorder="1" applyAlignment="1">
      <alignment vertical="top"/>
    </xf>
    <xf numFmtId="0" fontId="233" fillId="7" borderId="0" xfId="0" applyFont="1" applyFill="1" applyBorder="1" applyAlignment="1">
      <alignment vertical="top"/>
    </xf>
    <xf numFmtId="5" fontId="233" fillId="4" borderId="229" xfId="5" applyNumberFormat="1" applyFont="1" applyFill="1" applyBorder="1" applyAlignment="1">
      <alignment horizontal="right" vertical="center"/>
    </xf>
    <xf numFmtId="9" fontId="233" fillId="9" borderId="0" xfId="1" applyFont="1" applyFill="1" applyBorder="1" applyAlignment="1">
      <alignment vertical="top"/>
    </xf>
    <xf numFmtId="0" fontId="233" fillId="4" borderId="24" xfId="5" applyNumberFormat="1" applyFont="1" applyFill="1" applyBorder="1" applyAlignment="1">
      <alignment horizontal="right" vertical="center"/>
    </xf>
    <xf numFmtId="166" fontId="234" fillId="9" borderId="0" xfId="0" applyNumberFormat="1" applyFont="1" applyFill="1" applyBorder="1" applyAlignment="1">
      <alignment vertical="top" shrinkToFit="1"/>
    </xf>
    <xf numFmtId="0" fontId="237" fillId="9" borderId="0" xfId="0" applyFont="1" applyFill="1" applyBorder="1" applyAlignment="1">
      <alignment vertical="top"/>
    </xf>
    <xf numFmtId="5" fontId="233" fillId="9" borderId="0" xfId="5" applyNumberFormat="1" applyFont="1" applyFill="1" applyBorder="1" applyAlignment="1">
      <alignment horizontal="right" vertical="center"/>
    </xf>
    <xf numFmtId="0" fontId="157" fillId="9" borderId="0" xfId="0" applyFont="1" applyFill="1" applyBorder="1" applyAlignment="1">
      <alignment vertical="top"/>
    </xf>
    <xf numFmtId="5" fontId="243" fillId="9" borderId="0" xfId="0" applyNumberFormat="1" applyFont="1" applyFill="1" applyAlignment="1">
      <alignment horizontal="right" vertical="top" shrinkToFit="1"/>
    </xf>
    <xf numFmtId="5" fontId="270" fillId="9" borderId="0" xfId="0" applyNumberFormat="1" applyFont="1" applyFill="1" applyAlignment="1">
      <alignment horizontal="right" vertical="top" shrinkToFit="1"/>
    </xf>
    <xf numFmtId="5" fontId="346" fillId="9" borderId="0" xfId="0" applyNumberFormat="1" applyFont="1" applyFill="1" applyAlignment="1">
      <alignment vertical="top" wrapText="1"/>
    </xf>
    <xf numFmtId="0" fontId="9" fillId="9" borderId="0" xfId="0" applyFont="1" applyFill="1" applyBorder="1" applyAlignment="1">
      <alignment horizontal="right"/>
    </xf>
    <xf numFmtId="0" fontId="9" fillId="56" borderId="0" xfId="0" applyFont="1" applyFill="1" applyBorder="1"/>
    <xf numFmtId="0" fontId="7" fillId="9" borderId="0" xfId="0" applyFont="1" applyFill="1" applyBorder="1" applyAlignment="1">
      <alignment vertical="center"/>
    </xf>
    <xf numFmtId="0" fontId="348" fillId="42" borderId="161" xfId="0" applyFont="1" applyFill="1" applyBorder="1" applyAlignment="1">
      <alignment vertical="center"/>
    </xf>
    <xf numFmtId="0" fontId="9" fillId="53" borderId="0" xfId="0" applyFont="1" applyFill="1" applyBorder="1"/>
    <xf numFmtId="0" fontId="9" fillId="53" borderId="164" xfId="0" applyFont="1" applyFill="1" applyBorder="1"/>
    <xf numFmtId="0" fontId="233" fillId="53" borderId="0" xfId="0" applyFont="1" applyFill="1" applyBorder="1" applyAlignment="1">
      <alignment vertical="top"/>
    </xf>
    <xf numFmtId="0" fontId="237" fillId="53" borderId="0" xfId="0" applyFont="1" applyFill="1" applyBorder="1"/>
    <xf numFmtId="0" fontId="233" fillId="53" borderId="0" xfId="0" applyFont="1" applyFill="1" applyBorder="1" applyAlignment="1">
      <alignment vertical="top" wrapText="1"/>
    </xf>
    <xf numFmtId="0" fontId="233" fillId="53" borderId="0" xfId="0" applyFont="1" applyFill="1" applyBorder="1" applyAlignment="1">
      <alignment horizontal="left" vertical="top" wrapText="1"/>
    </xf>
    <xf numFmtId="0" fontId="9" fillId="53" borderId="166" xfId="0" applyFont="1" applyFill="1" applyBorder="1"/>
    <xf numFmtId="0" fontId="9" fillId="53" borderId="167" xfId="0" applyFont="1" applyFill="1" applyBorder="1"/>
    <xf numFmtId="0" fontId="264" fillId="53" borderId="0" xfId="0" applyFont="1" applyFill="1" applyBorder="1" applyAlignment="1">
      <alignment vertical="center" wrapText="1"/>
    </xf>
    <xf numFmtId="0" fontId="336" fillId="53" borderId="0" xfId="0" applyFont="1" applyFill="1" applyBorder="1" applyAlignment="1">
      <alignment vertical="center" wrapText="1"/>
    </xf>
    <xf numFmtId="0" fontId="184" fillId="53" borderId="0" xfId="0" applyFont="1" applyFill="1" applyBorder="1" applyAlignment="1">
      <alignment vertical="top"/>
    </xf>
    <xf numFmtId="0" fontId="119" fillId="53" borderId="0" xfId="0" applyFont="1" applyFill="1" applyBorder="1" applyAlignment="1">
      <alignment vertical="top"/>
    </xf>
    <xf numFmtId="0" fontId="234" fillId="53" borderId="0" xfId="0" applyFont="1" applyFill="1" applyBorder="1" applyAlignment="1">
      <alignment horizontal="left" vertical="top" wrapText="1"/>
    </xf>
    <xf numFmtId="0" fontId="234" fillId="53" borderId="0" xfId="0" applyFont="1" applyFill="1" applyBorder="1" applyAlignment="1">
      <alignment horizontal="right" vertical="top" wrapText="1"/>
    </xf>
    <xf numFmtId="0" fontId="233" fillId="53" borderId="0" xfId="0" applyFont="1" applyFill="1" applyBorder="1" applyAlignment="1">
      <alignment vertical="center"/>
    </xf>
    <xf numFmtId="0" fontId="233" fillId="53" borderId="0" xfId="0" applyFont="1" applyFill="1" applyBorder="1"/>
    <xf numFmtId="0" fontId="235" fillId="53" borderId="0" xfId="0" applyFont="1" applyFill="1" applyBorder="1" applyAlignment="1">
      <alignment horizontal="left" indent="1"/>
    </xf>
    <xf numFmtId="0" fontId="234" fillId="53" borderId="0" xfId="0" applyFont="1" applyFill="1" applyBorder="1" applyAlignment="1">
      <alignment horizontal="left" vertical="top" indent="1"/>
    </xf>
    <xf numFmtId="0" fontId="21" fillId="59" borderId="161" xfId="0" applyFont="1" applyFill="1" applyBorder="1"/>
    <xf numFmtId="0" fontId="179" fillId="60" borderId="160" xfId="0" applyFont="1" applyFill="1" applyBorder="1" applyAlignment="1">
      <alignment horizontal="center" vertical="center"/>
    </xf>
    <xf numFmtId="0" fontId="179" fillId="60" borderId="162" xfId="0" applyFont="1" applyFill="1" applyBorder="1" applyAlignment="1">
      <alignment horizontal="center" vertical="center"/>
    </xf>
    <xf numFmtId="0" fontId="350" fillId="59" borderId="162" xfId="0" applyFont="1" applyFill="1" applyBorder="1" applyAlignment="1">
      <alignment horizontal="center" vertical="center"/>
    </xf>
    <xf numFmtId="0" fontId="349" fillId="4" borderId="0" xfId="0" applyFont="1" applyFill="1"/>
    <xf numFmtId="0" fontId="349" fillId="4" borderId="0" xfId="0" applyFont="1" applyFill="1" applyBorder="1"/>
    <xf numFmtId="0" fontId="351" fillId="44" borderId="162" xfId="0" applyFont="1" applyFill="1" applyBorder="1" applyAlignment="1">
      <alignment horizontal="center" vertical="center"/>
    </xf>
    <xf numFmtId="0" fontId="352" fillId="4" borderId="0" xfId="0" applyFont="1" applyFill="1"/>
    <xf numFmtId="0" fontId="333" fillId="53" borderId="0" xfId="0" applyFont="1" applyFill="1" applyBorder="1" applyAlignment="1">
      <alignment horizontal="left" vertical="top" wrapText="1"/>
    </xf>
    <xf numFmtId="0" fontId="333" fillId="53" borderId="0" xfId="0" applyFont="1" applyFill="1" applyBorder="1" applyAlignment="1">
      <alignment vertical="top" wrapText="1"/>
    </xf>
    <xf numFmtId="0" fontId="235" fillId="53" borderId="0" xfId="0" applyFont="1" applyFill="1" applyBorder="1" applyAlignment="1">
      <alignment horizontal="left"/>
    </xf>
    <xf numFmtId="0" fontId="234" fillId="53" borderId="0" xfId="0" applyFont="1" applyFill="1" applyBorder="1" applyAlignment="1">
      <alignment horizontal="left" vertical="top"/>
    </xf>
    <xf numFmtId="0" fontId="22" fillId="9" borderId="0" xfId="0" applyFont="1" applyFill="1" applyBorder="1" applyAlignment="1">
      <alignment vertical="top"/>
    </xf>
    <xf numFmtId="0" fontId="356" fillId="9" borderId="0" xfId="0" applyFont="1" applyFill="1" applyBorder="1" applyAlignment="1">
      <alignment vertical="top"/>
    </xf>
    <xf numFmtId="0" fontId="6" fillId="9" borderId="0" xfId="0" applyFont="1" applyFill="1" applyBorder="1" applyAlignment="1">
      <alignment vertical="top"/>
    </xf>
    <xf numFmtId="0" fontId="105" fillId="9" borderId="0" xfId="0" applyFont="1" applyFill="1" applyAlignment="1">
      <alignment vertical="center" wrapText="1"/>
    </xf>
    <xf numFmtId="0" fontId="184" fillId="9" borderId="0" xfId="0" applyFont="1" applyFill="1" applyAlignment="1">
      <alignment vertical="center"/>
    </xf>
    <xf numFmtId="0" fontId="119" fillId="9" borderId="0" xfId="0" applyFont="1" applyFill="1" applyAlignment="1">
      <alignment vertical="top"/>
    </xf>
    <xf numFmtId="0" fontId="233" fillId="9" borderId="0" xfId="0" applyFont="1" applyFill="1" applyAlignment="1">
      <alignment vertical="top"/>
    </xf>
    <xf numFmtId="0" fontId="233" fillId="9" borderId="0" xfId="0" applyFont="1" applyFill="1" applyAlignment="1">
      <alignment vertical="top" wrapText="1"/>
    </xf>
    <xf numFmtId="0" fontId="333" fillId="58" borderId="0" xfId="0" applyFont="1" applyFill="1" applyBorder="1" applyAlignment="1">
      <alignment horizontal="left" vertical="top" wrapText="1"/>
    </xf>
    <xf numFmtId="0" fontId="333" fillId="58" borderId="230" xfId="0" applyFont="1" applyFill="1" applyBorder="1" applyAlignment="1">
      <alignment horizontal="left" vertical="top" wrapText="1"/>
    </xf>
    <xf numFmtId="0" fontId="287" fillId="53" borderId="0" xfId="0" applyFont="1" applyFill="1" applyBorder="1" applyAlignment="1">
      <alignment vertical="center" wrapText="1"/>
    </xf>
    <xf numFmtId="0" fontId="333" fillId="31" borderId="0" xfId="0" applyFont="1" applyFill="1" applyBorder="1" applyAlignment="1">
      <alignment horizontal="left" vertical="top" wrapText="1"/>
    </xf>
    <xf numFmtId="0" fontId="9" fillId="4" borderId="13" xfId="0" applyFont="1" applyFill="1" applyBorder="1"/>
    <xf numFmtId="0" fontId="9" fillId="4" borderId="4" xfId="0" applyFont="1" applyFill="1" applyBorder="1"/>
    <xf numFmtId="0" fontId="364" fillId="4" borderId="0" xfId="0" applyFont="1" applyFill="1"/>
    <xf numFmtId="0" fontId="365" fillId="4" borderId="0" xfId="0" applyFont="1" applyFill="1"/>
    <xf numFmtId="0" fontId="286" fillId="53" borderId="0" xfId="0" applyFont="1" applyFill="1" applyBorder="1" applyAlignment="1">
      <alignment vertical="top" textRotation="10"/>
    </xf>
    <xf numFmtId="0" fontId="286" fillId="53" borderId="0" xfId="0" applyFont="1" applyFill="1" applyBorder="1" applyAlignment="1">
      <alignment vertical="top" textRotation="100" wrapText="1"/>
    </xf>
    <xf numFmtId="0" fontId="9" fillId="61" borderId="0" xfId="0" applyFont="1" applyFill="1" applyAlignment="1">
      <alignment wrapText="1"/>
    </xf>
    <xf numFmtId="0" fontId="9" fillId="5" borderId="0" xfId="0" applyFont="1" applyFill="1" applyAlignment="1">
      <alignment wrapText="1"/>
    </xf>
    <xf numFmtId="0" fontId="233" fillId="7" borderId="221" xfId="0" applyFont="1" applyFill="1" applyBorder="1" applyAlignment="1">
      <alignment vertical="top" wrapText="1"/>
    </xf>
    <xf numFmtId="0" fontId="233" fillId="7" borderId="0" xfId="0" applyFont="1" applyFill="1" applyBorder="1" applyAlignment="1">
      <alignment vertical="top" wrapText="1"/>
    </xf>
    <xf numFmtId="0" fontId="233" fillId="7" borderId="220" xfId="0" applyFont="1" applyFill="1" applyBorder="1" applyAlignment="1">
      <alignment vertical="top" wrapText="1"/>
    </xf>
    <xf numFmtId="0" fontId="233" fillId="7" borderId="219" xfId="0" applyFont="1" applyFill="1" applyBorder="1" applyAlignment="1">
      <alignment vertical="top" wrapText="1"/>
    </xf>
    <xf numFmtId="0" fontId="233" fillId="31" borderId="0" xfId="0" applyFont="1" applyFill="1" applyBorder="1" applyAlignment="1">
      <alignment vertical="top" wrapText="1"/>
    </xf>
    <xf numFmtId="0" fontId="233" fillId="31" borderId="130" xfId="0" applyFont="1" applyFill="1" applyBorder="1" applyAlignment="1">
      <alignment vertical="top" wrapText="1"/>
    </xf>
    <xf numFmtId="0" fontId="233" fillId="31" borderId="132" xfId="0" applyFont="1" applyFill="1" applyBorder="1" applyAlignment="1">
      <alignment vertical="top" wrapText="1"/>
    </xf>
    <xf numFmtId="0" fontId="233" fillId="31" borderId="133" xfId="0" applyFont="1" applyFill="1" applyBorder="1" applyAlignment="1">
      <alignment vertical="top" wrapText="1"/>
    </xf>
    <xf numFmtId="0" fontId="357" fillId="53" borderId="0" xfId="0" applyFont="1" applyFill="1" applyBorder="1" applyAlignment="1">
      <alignment horizontal="left" vertical="center" indent="1"/>
    </xf>
    <xf numFmtId="0" fontId="357" fillId="53" borderId="0" xfId="0" applyFont="1" applyFill="1" applyBorder="1" applyAlignment="1">
      <alignment horizontal="left" indent="1"/>
    </xf>
    <xf numFmtId="0" fontId="237" fillId="58" borderId="0" xfId="0" applyFont="1" applyFill="1" applyBorder="1" applyAlignment="1">
      <alignment horizontal="left" indent="1"/>
    </xf>
    <xf numFmtId="0" fontId="372" fillId="9" borderId="0" xfId="0" applyFont="1" applyFill="1" applyBorder="1" applyAlignment="1">
      <alignment vertical="center"/>
    </xf>
    <xf numFmtId="0" fontId="371" fillId="9" borderId="19" xfId="0" applyFont="1" applyFill="1" applyBorder="1" applyAlignment="1">
      <alignment horizontal="center" vertical="center"/>
    </xf>
    <xf numFmtId="0" fontId="371" fillId="53" borderId="21" xfId="0" applyFont="1" applyFill="1" applyBorder="1" applyAlignment="1">
      <alignment vertical="center"/>
    </xf>
    <xf numFmtId="0" fontId="233" fillId="53" borderId="22" xfId="0" applyFont="1" applyFill="1" applyBorder="1" applyAlignment="1">
      <alignment vertical="top"/>
    </xf>
    <xf numFmtId="0" fontId="371" fillId="53" borderId="22" xfId="0" applyFont="1" applyFill="1" applyBorder="1" applyAlignment="1">
      <alignment vertical="center"/>
    </xf>
    <xf numFmtId="0" fontId="375" fillId="9" borderId="163" xfId="0" applyFont="1" applyFill="1" applyBorder="1" applyAlignment="1">
      <alignment horizontal="center" vertical="center"/>
    </xf>
    <xf numFmtId="0" fontId="9" fillId="45" borderId="0" xfId="0" applyFont="1" applyFill="1" applyAlignment="1">
      <alignment horizontal="center" wrapText="1"/>
    </xf>
    <xf numFmtId="0" fontId="376" fillId="4" borderId="0" xfId="0" applyFont="1" applyFill="1" applyAlignment="1">
      <alignment horizontal="center" vertical="center"/>
    </xf>
    <xf numFmtId="0" fontId="377" fillId="4" borderId="0" xfId="0" applyFont="1" applyFill="1" applyAlignment="1">
      <alignment horizontal="center" vertical="center"/>
    </xf>
    <xf numFmtId="0" fontId="9" fillId="4" borderId="0" xfId="0" applyFont="1" applyFill="1" applyAlignment="1">
      <alignment horizontal="right" shrinkToFit="1"/>
    </xf>
    <xf numFmtId="0" fontId="379" fillId="4" borderId="0" xfId="0" applyFont="1" applyFill="1"/>
    <xf numFmtId="0" fontId="379" fillId="4" borderId="0" xfId="0" applyFont="1" applyFill="1" applyAlignment="1">
      <alignment horizontal="right" vertical="center"/>
    </xf>
    <xf numFmtId="0" fontId="379" fillId="45" borderId="0" xfId="0" applyFont="1" applyFill="1"/>
    <xf numFmtId="0" fontId="9" fillId="55" borderId="0" xfId="0" applyFont="1" applyFill="1"/>
    <xf numFmtId="0" fontId="385" fillId="48" borderId="0" xfId="0" applyFont="1" applyFill="1" applyBorder="1" applyAlignment="1">
      <alignment vertical="center"/>
    </xf>
    <xf numFmtId="0" fontId="386" fillId="48" borderId="0" xfId="0" applyFont="1" applyFill="1" applyBorder="1"/>
    <xf numFmtId="0" fontId="358" fillId="53" borderId="0" xfId="0" applyFont="1" applyFill="1" applyBorder="1" applyAlignment="1">
      <alignment vertical="top"/>
    </xf>
    <xf numFmtId="0" fontId="388" fillId="53" borderId="0" xfId="0" applyFont="1" applyFill="1" applyBorder="1" applyAlignment="1">
      <alignment vertical="top"/>
    </xf>
    <xf numFmtId="0" fontId="361" fillId="48" borderId="0" xfId="0" applyFont="1" applyFill="1" applyBorder="1" applyAlignment="1">
      <alignment horizontal="right" vertical="center" indent="1"/>
    </xf>
    <xf numFmtId="0" fontId="16" fillId="4" borderId="3" xfId="0" applyFont="1" applyFill="1" applyBorder="1"/>
    <xf numFmtId="0" fontId="16" fillId="51" borderId="0" xfId="0" applyFont="1" applyFill="1"/>
    <xf numFmtId="0" fontId="9" fillId="4" borderId="0" xfId="0" applyFont="1" applyFill="1" applyAlignment="1">
      <alignment horizontal="left" indent="1"/>
    </xf>
    <xf numFmtId="0" fontId="234" fillId="9" borderId="0" xfId="0" applyFont="1" applyFill="1" applyBorder="1" applyAlignment="1">
      <alignment horizontal="left" vertical="center" indent="1"/>
    </xf>
    <xf numFmtId="0" fontId="7" fillId="9" borderId="0" xfId="0" applyFont="1" applyFill="1" applyBorder="1" applyAlignment="1">
      <alignment horizontal="left" indent="1"/>
    </xf>
    <xf numFmtId="0" fontId="22" fillId="9" borderId="0" xfId="0" applyFont="1" applyFill="1" applyBorder="1" applyAlignment="1">
      <alignment horizontal="left" indent="1"/>
    </xf>
    <xf numFmtId="0" fontId="390" fillId="9" borderId="0" xfId="0" applyFont="1" applyFill="1" applyBorder="1"/>
    <xf numFmtId="0" fontId="391" fillId="9" borderId="0" xfId="0" applyFont="1" applyFill="1" applyBorder="1" applyAlignment="1">
      <alignment horizontal="left" indent="1"/>
    </xf>
    <xf numFmtId="0" fontId="197" fillId="4" borderId="0" xfId="0" applyFont="1" applyFill="1" applyAlignment="1"/>
    <xf numFmtId="0" fontId="197" fillId="4" borderId="0" xfId="0" applyFont="1" applyFill="1"/>
    <xf numFmtId="0" fontId="357" fillId="9" borderId="0" xfId="0" applyFont="1" applyFill="1" applyBorder="1" applyAlignment="1">
      <alignment vertical="top"/>
    </xf>
    <xf numFmtId="0" fontId="357" fillId="9" borderId="0" xfId="4" applyFont="1" applyFill="1" applyBorder="1"/>
    <xf numFmtId="0" fontId="375" fillId="4" borderId="0" xfId="0" applyFont="1" applyFill="1" applyAlignment="1">
      <alignment horizontal="center"/>
    </xf>
    <xf numFmtId="0" fontId="7" fillId="58" borderId="0" xfId="0" applyFont="1" applyFill="1" applyBorder="1" applyAlignment="1">
      <alignment horizontal="right" vertical="center"/>
    </xf>
    <xf numFmtId="0" fontId="6" fillId="9" borderId="0" xfId="0" applyFont="1" applyFill="1" applyBorder="1" applyAlignment="1">
      <alignment horizontal="left" vertical="top" indent="1"/>
    </xf>
    <xf numFmtId="0" fontId="16" fillId="45" borderId="0" xfId="0" applyFont="1" applyFill="1"/>
    <xf numFmtId="0" fontId="395" fillId="9" borderId="0" xfId="0" applyFont="1" applyFill="1" applyBorder="1" applyAlignment="1">
      <alignment horizontal="right" vertical="top" indent="1"/>
    </xf>
    <xf numFmtId="0" fontId="105" fillId="51" borderId="0" xfId="0" applyFont="1" applyFill="1" applyBorder="1" applyAlignment="1">
      <alignment vertical="top"/>
    </xf>
    <xf numFmtId="0" fontId="243" fillId="51" borderId="0" xfId="0" applyFont="1" applyFill="1" applyAlignment="1">
      <alignment vertical="top"/>
    </xf>
    <xf numFmtId="0" fontId="105" fillId="31" borderId="0" xfId="0" applyFont="1" applyFill="1" applyBorder="1" applyAlignment="1">
      <alignment vertical="top"/>
    </xf>
    <xf numFmtId="0" fontId="233" fillId="31" borderId="0" xfId="0" applyFont="1" applyFill="1" applyBorder="1" applyAlignment="1">
      <alignment vertical="top"/>
    </xf>
    <xf numFmtId="0" fontId="105" fillId="64" borderId="0" xfId="0" applyFont="1" applyFill="1" applyBorder="1" applyAlignment="1">
      <alignment vertical="top"/>
    </xf>
    <xf numFmtId="0" fontId="233" fillId="64" borderId="0" xfId="0" applyFont="1" applyFill="1" applyBorder="1" applyAlignment="1">
      <alignment vertical="top"/>
    </xf>
    <xf numFmtId="0" fontId="395" fillId="9" borderId="0" xfId="0" applyFont="1" applyFill="1" applyBorder="1" applyAlignment="1">
      <alignment horizontal="right" vertical="center" indent="1"/>
    </xf>
    <xf numFmtId="0" fontId="397" fillId="4" borderId="0" xfId="0" applyFont="1" applyFill="1"/>
    <xf numFmtId="0" fontId="9" fillId="65" borderId="0" xfId="0" applyFont="1" applyFill="1" applyAlignment="1">
      <alignment wrapText="1"/>
    </xf>
    <xf numFmtId="0" fontId="16" fillId="4" borderId="0" xfId="0" applyFont="1" applyFill="1" applyAlignment="1">
      <alignment horizontal="right" indent="1"/>
    </xf>
    <xf numFmtId="166" fontId="403" fillId="9" borderId="0" xfId="0" applyNumberFormat="1" applyFont="1" applyFill="1" applyAlignment="1">
      <alignment vertical="top"/>
    </xf>
    <xf numFmtId="166" fontId="404" fillId="9" borderId="0" xfId="0" applyNumberFormat="1" applyFont="1" applyFill="1" applyAlignment="1">
      <alignment vertical="top"/>
    </xf>
    <xf numFmtId="0" fontId="347" fillId="9" borderId="0" xfId="0" applyFont="1" applyFill="1" applyAlignment="1">
      <alignment horizontal="center"/>
    </xf>
    <xf numFmtId="0" fontId="235" fillId="9" borderId="0" xfId="0" applyFont="1" applyFill="1"/>
    <xf numFmtId="0" fontId="347" fillId="9" borderId="0" xfId="0" applyFont="1" applyFill="1" applyAlignment="1">
      <alignment horizontal="right"/>
    </xf>
    <xf numFmtId="166" fontId="234" fillId="9" borderId="0" xfId="0" applyNumberFormat="1" applyFont="1" applyFill="1" applyAlignment="1">
      <alignment vertical="top" shrinkToFit="1"/>
    </xf>
    <xf numFmtId="166" fontId="233" fillId="9" borderId="0" xfId="0" applyNumberFormat="1" applyFont="1" applyFill="1" applyAlignment="1">
      <alignment horizontal="right" vertical="top"/>
    </xf>
    <xf numFmtId="0" fontId="405" fillId="9" borderId="0" xfId="0" applyFont="1" applyFill="1" applyBorder="1" applyAlignment="1">
      <alignment horizontal="left" vertical="center" indent="1"/>
    </xf>
    <xf numFmtId="5" fontId="346" fillId="4" borderId="229" xfId="0" applyNumberFormat="1" applyFont="1" applyFill="1" applyBorder="1" applyAlignment="1">
      <alignment vertical="top" wrapText="1"/>
    </xf>
    <xf numFmtId="5" fontId="396" fillId="9" borderId="0" xfId="0" applyNumberFormat="1" applyFont="1" applyFill="1" applyAlignment="1">
      <alignment horizontal="right" vertical="top" shrinkToFit="1"/>
    </xf>
    <xf numFmtId="0" fontId="233" fillId="57" borderId="247" xfId="0" applyFont="1" applyFill="1" applyBorder="1" applyAlignment="1">
      <alignment vertical="top" wrapText="1"/>
    </xf>
    <xf numFmtId="0" fontId="9" fillId="57" borderId="247" xfId="0" applyFont="1" applyFill="1" applyBorder="1"/>
    <xf numFmtId="0" fontId="406" fillId="57" borderId="247" xfId="0" applyFont="1" applyFill="1" applyBorder="1" applyAlignment="1">
      <alignment vertical="top"/>
    </xf>
    <xf numFmtId="0" fontId="409" fillId="57" borderId="0" xfId="0" applyFont="1" applyFill="1"/>
    <xf numFmtId="0" fontId="410" fillId="57" borderId="0" xfId="0" applyFont="1" applyFill="1" applyAlignment="1">
      <alignment horizontal="right" vertical="center" wrapText="1"/>
    </xf>
    <xf numFmtId="0" fontId="411" fillId="57" borderId="0" xfId="0" applyFont="1" applyFill="1" applyAlignment="1">
      <alignment vertical="top" wrapText="1"/>
    </xf>
    <xf numFmtId="0" fontId="412" fillId="57" borderId="0" xfId="0" applyFont="1" applyFill="1" applyAlignment="1">
      <alignment horizontal="right" vertical="center" wrapText="1"/>
    </xf>
    <xf numFmtId="0" fontId="233" fillId="9" borderId="0" xfId="5" applyNumberFormat="1" applyFont="1" applyFill="1" applyBorder="1" applyAlignment="1">
      <alignment horizontal="right" vertical="center"/>
    </xf>
    <xf numFmtId="0" fontId="415" fillId="57" borderId="0" xfId="0" applyFont="1" applyFill="1"/>
    <xf numFmtId="0" fontId="416" fillId="57" borderId="0" xfId="0" applyFont="1" applyFill="1"/>
    <xf numFmtId="0" fontId="177" fillId="9" borderId="0" xfId="0" applyFont="1" applyFill="1" applyBorder="1" applyAlignment="1">
      <alignment vertical="top"/>
    </xf>
    <xf numFmtId="0" fontId="9" fillId="9" borderId="0" xfId="0" applyFont="1" applyFill="1" applyBorder="1" applyAlignment="1">
      <alignment vertical="top" shrinkToFit="1"/>
    </xf>
    <xf numFmtId="0" fontId="14" fillId="9" borderId="0" xfId="0" applyFont="1" applyFill="1" applyBorder="1" applyAlignment="1"/>
    <xf numFmtId="0" fontId="119" fillId="9" borderId="0" xfId="0" applyFont="1" applyFill="1" applyBorder="1" applyAlignment="1">
      <alignment horizontal="right" vertical="top"/>
    </xf>
    <xf numFmtId="0" fontId="384" fillId="48" borderId="0" xfId="0" applyFont="1" applyFill="1" applyBorder="1" applyAlignment="1">
      <alignment horizontal="left" vertical="center"/>
    </xf>
    <xf numFmtId="0" fontId="385" fillId="48" borderId="0" xfId="0" applyFont="1" applyFill="1" applyBorder="1" applyAlignment="1">
      <alignment horizontal="left" vertical="center" indent="2"/>
    </xf>
    <xf numFmtId="0" fontId="286" fillId="9" borderId="0" xfId="0" applyFont="1" applyFill="1" applyBorder="1" applyAlignment="1">
      <alignment vertical="top"/>
    </xf>
    <xf numFmtId="0" fontId="233" fillId="27" borderId="0" xfId="0" applyFont="1" applyFill="1" applyBorder="1" applyAlignment="1">
      <alignment vertical="top"/>
    </xf>
    <xf numFmtId="0" fontId="9" fillId="27" borderId="0" xfId="0" applyFont="1" applyFill="1" applyBorder="1"/>
    <xf numFmtId="0" fontId="233" fillId="27" borderId="231" xfId="0" applyFont="1" applyFill="1" applyBorder="1" applyAlignment="1">
      <alignment vertical="top"/>
    </xf>
    <xf numFmtId="0" fontId="233" fillId="27" borderId="250" xfId="0" applyFont="1" applyFill="1" applyBorder="1" applyAlignment="1">
      <alignment vertical="top"/>
    </xf>
    <xf numFmtId="0" fontId="233" fillId="27" borderId="179" xfId="0" applyFont="1" applyFill="1" applyBorder="1" applyAlignment="1">
      <alignment vertical="top"/>
    </xf>
    <xf numFmtId="0" fontId="233" fillId="27" borderId="251" xfId="0" applyFont="1" applyFill="1" applyBorder="1" applyAlignment="1">
      <alignment vertical="top"/>
    </xf>
    <xf numFmtId="0" fontId="9" fillId="27" borderId="179" xfId="0" applyFont="1" applyFill="1" applyBorder="1"/>
    <xf numFmtId="0" fontId="9" fillId="27" borderId="251" xfId="0" applyFont="1" applyFill="1" applyBorder="1"/>
    <xf numFmtId="0" fontId="9" fillId="27" borderId="253" xfId="0" applyFont="1" applyFill="1" applyBorder="1"/>
    <xf numFmtId="0" fontId="9" fillId="27" borderId="22" xfId="0" applyFont="1" applyFill="1" applyBorder="1"/>
    <xf numFmtId="0" fontId="433" fillId="27" borderId="0" xfId="0" applyFont="1" applyFill="1" applyBorder="1" applyAlignment="1">
      <alignment vertical="top"/>
    </xf>
    <xf numFmtId="0" fontId="433" fillId="27" borderId="0" xfId="0" applyFont="1" applyFill="1" applyBorder="1" applyAlignment="1"/>
    <xf numFmtId="0" fontId="433" fillId="27" borderId="0" xfId="0" applyFont="1" applyFill="1" applyBorder="1" applyAlignment="1">
      <alignment horizontal="right"/>
    </xf>
    <xf numFmtId="0" fontId="36" fillId="27" borderId="179" xfId="0" applyFont="1" applyFill="1" applyBorder="1" applyAlignment="1">
      <alignment horizontal="left" vertical="center" indent="1"/>
    </xf>
    <xf numFmtId="0" fontId="209" fillId="27" borderId="179" xfId="0" applyFont="1" applyFill="1" applyBorder="1" applyAlignment="1">
      <alignment horizontal="left" vertical="center" indent="2"/>
    </xf>
    <xf numFmtId="0" fontId="234" fillId="9" borderId="0" xfId="0" applyFont="1" applyFill="1" applyBorder="1" applyAlignment="1">
      <alignment vertical="top"/>
    </xf>
    <xf numFmtId="14" fontId="9" fillId="4" borderId="0" xfId="0" applyNumberFormat="1" applyFont="1" applyFill="1"/>
    <xf numFmtId="0" fontId="433" fillId="27" borderId="179" xfId="0" applyFont="1" applyFill="1" applyBorder="1" applyAlignment="1">
      <alignment horizontal="left" indent="1"/>
    </xf>
    <xf numFmtId="0" fontId="234" fillId="9" borderId="0" xfId="0" applyFont="1" applyFill="1" applyBorder="1" applyAlignment="1">
      <alignment vertical="center"/>
    </xf>
    <xf numFmtId="0" fontId="234" fillId="9" borderId="0" xfId="0" applyFont="1" applyFill="1" applyBorder="1" applyAlignment="1">
      <alignment horizontal="left" vertical="center"/>
    </xf>
    <xf numFmtId="0" fontId="234" fillId="9" borderId="0" xfId="0" applyFont="1" applyFill="1" applyBorder="1" applyAlignment="1">
      <alignment horizontal="right" vertical="center"/>
    </xf>
    <xf numFmtId="167" fontId="9" fillId="4" borderId="0" xfId="5" applyNumberFormat="1" applyFont="1" applyFill="1"/>
    <xf numFmtId="0" fontId="9" fillId="4" borderId="0" xfId="0" quotePrefix="1" applyFont="1" applyFill="1" applyAlignment="1">
      <alignment horizontal="right"/>
    </xf>
    <xf numFmtId="0" fontId="445" fillId="4" borderId="0" xfId="0" applyFont="1" applyFill="1"/>
    <xf numFmtId="0" fontId="446" fillId="4" borderId="0" xfId="0" applyFont="1" applyFill="1"/>
    <xf numFmtId="167" fontId="16" fillId="4" borderId="0" xfId="0" applyNumberFormat="1" applyFont="1" applyFill="1"/>
    <xf numFmtId="0" fontId="442" fillId="27" borderId="21" xfId="0" applyFont="1" applyFill="1" applyBorder="1" applyAlignment="1">
      <alignment vertical="center"/>
    </xf>
    <xf numFmtId="0" fontId="442" fillId="27" borderId="22" xfId="0" applyFont="1" applyFill="1" applyBorder="1" applyAlignment="1">
      <alignment vertical="center"/>
    </xf>
    <xf numFmtId="0" fontId="442" fillId="27" borderId="22" xfId="0" applyFont="1" applyFill="1" applyBorder="1" applyAlignment="1">
      <alignment horizontal="right" vertical="center" indent="1"/>
    </xf>
    <xf numFmtId="44" fontId="9" fillId="4" borderId="0" xfId="0" applyNumberFormat="1" applyFont="1" applyFill="1"/>
    <xf numFmtId="44" fontId="9" fillId="4" borderId="0" xfId="0" applyNumberFormat="1" applyFont="1" applyFill="1" applyAlignment="1">
      <alignment shrinkToFit="1"/>
    </xf>
    <xf numFmtId="0" fontId="36" fillId="27" borderId="23" xfId="0" applyFont="1" applyFill="1" applyBorder="1" applyAlignment="1">
      <alignment horizontal="left" vertical="center" indent="1"/>
    </xf>
    <xf numFmtId="0" fontId="233" fillId="27" borderId="0" xfId="0" applyFont="1" applyFill="1" applyBorder="1" applyAlignment="1">
      <alignment horizontal="right" vertical="center" indent="1"/>
    </xf>
    <xf numFmtId="0" fontId="235" fillId="27" borderId="0" xfId="0" applyFont="1" applyFill="1" applyBorder="1" applyAlignment="1">
      <alignment horizontal="right" vertical="center" indent="1"/>
    </xf>
    <xf numFmtId="167" fontId="16" fillId="4" borderId="0" xfId="0" applyNumberFormat="1" applyFont="1" applyFill="1" applyAlignment="1">
      <alignment horizontal="right"/>
    </xf>
    <xf numFmtId="0" fontId="9" fillId="4" borderId="3" xfId="0" applyFont="1" applyFill="1" applyBorder="1"/>
    <xf numFmtId="0" fontId="233" fillId="27" borderId="230" xfId="0" applyFont="1" applyFill="1" applyBorder="1" applyAlignment="1">
      <alignment vertical="top" wrapText="1"/>
    </xf>
    <xf numFmtId="0" fontId="447" fillId="27" borderId="230" xfId="0" applyFont="1" applyFill="1" applyBorder="1" applyAlignment="1">
      <alignment vertical="top"/>
    </xf>
    <xf numFmtId="0" fontId="176" fillId="27" borderId="0" xfId="0" applyFont="1" applyFill="1" applyBorder="1" applyAlignment="1">
      <alignment vertical="top"/>
    </xf>
    <xf numFmtId="0" fontId="176" fillId="27" borderId="0" xfId="0" applyFont="1" applyFill="1" applyBorder="1" applyAlignment="1">
      <alignment horizontal="right" vertical="top"/>
    </xf>
    <xf numFmtId="0" fontId="352" fillId="4" borderId="0" xfId="0" applyFont="1" applyFill="1" applyAlignment="1">
      <alignment horizontal="center" vertical="center"/>
    </xf>
    <xf numFmtId="0" fontId="448" fillId="27" borderId="249" xfId="0" applyFont="1" applyFill="1" applyBorder="1" applyAlignment="1">
      <alignment horizontal="left" indent="1"/>
    </xf>
    <xf numFmtId="0" fontId="449" fillId="27" borderId="231" xfId="0" applyFont="1" applyFill="1" applyBorder="1" applyAlignment="1">
      <alignment horizontal="right"/>
    </xf>
    <xf numFmtId="0" fontId="234" fillId="51" borderId="0" xfId="0" applyFont="1" applyFill="1" applyBorder="1" applyAlignment="1">
      <alignment vertical="top"/>
    </xf>
    <xf numFmtId="0" fontId="333" fillId="9" borderId="0" xfId="0" applyFont="1" applyFill="1" applyBorder="1" applyAlignment="1">
      <alignment vertical="center"/>
    </xf>
    <xf numFmtId="0" fontId="333" fillId="51" borderId="259" xfId="0" applyFont="1" applyFill="1" applyBorder="1" applyAlignment="1">
      <alignment vertical="center"/>
    </xf>
    <xf numFmtId="0" fontId="333" fillId="51" borderId="260" xfId="0" applyFont="1" applyFill="1" applyBorder="1" applyAlignment="1">
      <alignment vertical="center"/>
    </xf>
    <xf numFmtId="0" fontId="333" fillId="51" borderId="260" xfId="0" applyFont="1" applyFill="1" applyBorder="1" applyAlignment="1">
      <alignment horizontal="right" vertical="top"/>
    </xf>
    <xf numFmtId="0" fontId="340" fillId="51" borderId="260" xfId="0" applyFont="1" applyFill="1" applyBorder="1" applyAlignment="1">
      <alignment vertical="top"/>
    </xf>
    <xf numFmtId="0" fontId="340" fillId="51" borderId="261" xfId="0" applyFont="1" applyFill="1" applyBorder="1" applyAlignment="1">
      <alignment vertical="top"/>
    </xf>
    <xf numFmtId="0" fontId="234" fillId="51" borderId="263" xfId="0" applyFont="1" applyFill="1" applyBorder="1" applyAlignment="1">
      <alignment vertical="top"/>
    </xf>
    <xf numFmtId="0" fontId="234" fillId="51" borderId="262" xfId="0" applyFont="1" applyFill="1" applyBorder="1" applyAlignment="1">
      <alignment vertical="top"/>
    </xf>
    <xf numFmtId="0" fontId="234" fillId="51" borderId="264" xfId="0" applyFont="1" applyFill="1" applyBorder="1" applyAlignment="1">
      <alignment vertical="top"/>
    </xf>
    <xf numFmtId="0" fontId="234" fillId="51" borderId="265" xfId="0" applyFont="1" applyFill="1" applyBorder="1" applyAlignment="1">
      <alignment vertical="top"/>
    </xf>
    <xf numFmtId="0" fontId="234" fillId="51" borderId="266" xfId="0" applyFont="1" applyFill="1" applyBorder="1" applyAlignment="1">
      <alignment vertical="top"/>
    </xf>
    <xf numFmtId="0" fontId="22" fillId="9" borderId="0" xfId="0" applyFont="1" applyFill="1" applyBorder="1" applyAlignment="1">
      <alignment vertical="center"/>
    </xf>
    <xf numFmtId="0" fontId="333" fillId="51" borderId="260" xfId="0" applyFont="1" applyFill="1" applyBorder="1" applyAlignment="1">
      <alignment horizontal="right" vertical="center"/>
    </xf>
    <xf numFmtId="0" fontId="340" fillId="51" borderId="260" xfId="0" applyFont="1" applyFill="1" applyBorder="1" applyAlignment="1">
      <alignment vertical="center"/>
    </xf>
    <xf numFmtId="0" fontId="16" fillId="19" borderId="0" xfId="0" applyFont="1" applyFill="1" applyAlignment="1"/>
    <xf numFmtId="0" fontId="176" fillId="4" borderId="0" xfId="0" applyFont="1" applyFill="1" applyAlignment="1">
      <alignment horizontal="center" vertical="center"/>
    </xf>
    <xf numFmtId="0" fontId="16" fillId="4" borderId="0" xfId="0" applyFont="1" applyFill="1" applyAlignment="1"/>
    <xf numFmtId="0" fontId="9" fillId="4" borderId="0" xfId="0" applyFont="1" applyFill="1" applyAlignment="1">
      <alignment horizontal="left" wrapText="1" indent="1"/>
    </xf>
    <xf numFmtId="0" fontId="450" fillId="4" borderId="0" xfId="0" applyFont="1" applyFill="1"/>
    <xf numFmtId="0" fontId="452" fillId="9" borderId="0" xfId="0" applyFont="1" applyFill="1" applyBorder="1" applyAlignment="1">
      <alignment horizontal="right" vertical="top" indent="1"/>
    </xf>
    <xf numFmtId="0" fontId="105" fillId="9" borderId="0" xfId="0" applyFont="1" applyFill="1" applyBorder="1" applyAlignment="1">
      <alignment vertical="center"/>
    </xf>
    <xf numFmtId="0" fontId="235" fillId="9" borderId="272" xfId="0" applyFont="1" applyFill="1" applyBorder="1" applyAlignment="1"/>
    <xf numFmtId="0" fontId="234" fillId="9" borderId="273" xfId="0" applyFont="1" applyFill="1" applyBorder="1" applyAlignment="1">
      <alignment vertical="top" wrapText="1"/>
    </xf>
    <xf numFmtId="0" fontId="234" fillId="9" borderId="272" xfId="0" applyFont="1" applyFill="1" applyBorder="1" applyAlignment="1">
      <alignment vertical="top" wrapText="1"/>
    </xf>
    <xf numFmtId="0" fontId="9" fillId="9" borderId="273" xfId="0" applyFont="1" applyFill="1" applyBorder="1"/>
    <xf numFmtId="0" fontId="234" fillId="9" borderId="274" xfId="0" applyFont="1" applyFill="1" applyBorder="1" applyAlignment="1">
      <alignment vertical="top" wrapText="1"/>
    </xf>
    <xf numFmtId="0" fontId="234" fillId="9" borderId="275" xfId="0" applyFont="1" applyFill="1" applyBorder="1" applyAlignment="1">
      <alignment vertical="top" wrapText="1"/>
    </xf>
    <xf numFmtId="0" fontId="234" fillId="9" borderId="276" xfId="0" applyFont="1" applyFill="1" applyBorder="1" applyAlignment="1">
      <alignment vertical="top" wrapText="1"/>
    </xf>
    <xf numFmtId="0" fontId="283" fillId="9" borderId="190" xfId="0" applyFont="1" applyFill="1" applyBorder="1" applyAlignment="1">
      <alignment vertical="top" wrapText="1"/>
    </xf>
    <xf numFmtId="0" fontId="283" fillId="9" borderId="191" xfId="0" applyFont="1" applyFill="1" applyBorder="1" applyAlignment="1">
      <alignment vertical="top" wrapText="1"/>
    </xf>
    <xf numFmtId="0" fontId="283" fillId="9" borderId="0" xfId="0" applyFont="1" applyFill="1" applyBorder="1" applyAlignment="1">
      <alignment vertical="top" wrapText="1"/>
    </xf>
    <xf numFmtId="0" fontId="283" fillId="9" borderId="193" xfId="0" applyFont="1" applyFill="1" applyBorder="1" applyAlignment="1">
      <alignment vertical="top" wrapText="1"/>
    </xf>
    <xf numFmtId="0" fontId="283" fillId="9" borderId="197" xfId="0" applyFont="1" applyFill="1" applyBorder="1" applyAlignment="1">
      <alignment vertical="top" wrapText="1"/>
    </xf>
    <xf numFmtId="0" fontId="283" fillId="9" borderId="198" xfId="0" applyFont="1" applyFill="1" applyBorder="1" applyAlignment="1">
      <alignment vertical="top" wrapText="1"/>
    </xf>
    <xf numFmtId="0" fontId="9" fillId="9" borderId="190" xfId="0" applyFont="1" applyFill="1" applyBorder="1"/>
    <xf numFmtId="0" fontId="285" fillId="9" borderId="190" xfId="0" applyFont="1" applyFill="1" applyBorder="1" applyAlignment="1">
      <alignment vertical="top" wrapText="1"/>
    </xf>
    <xf numFmtId="0" fontId="9" fillId="9" borderId="197" xfId="0" applyFont="1" applyFill="1" applyBorder="1"/>
    <xf numFmtId="0" fontId="357" fillId="9" borderId="0" xfId="0" applyFont="1" applyFill="1" applyBorder="1"/>
    <xf numFmtId="0" fontId="384" fillId="48" borderId="0" xfId="0" applyFont="1" applyFill="1" applyBorder="1" applyAlignment="1">
      <alignment vertical="center"/>
    </xf>
    <xf numFmtId="0" fontId="9" fillId="48" borderId="277" xfId="0" applyFont="1" applyFill="1" applyBorder="1" applyAlignment="1">
      <alignment vertical="center"/>
    </xf>
    <xf numFmtId="0" fontId="294" fillId="48" borderId="278" xfId="0" applyFont="1" applyFill="1" applyBorder="1" applyAlignment="1">
      <alignment vertical="center"/>
    </xf>
    <xf numFmtId="0" fontId="305" fillId="48" borderId="279" xfId="0" applyFont="1" applyFill="1" applyBorder="1" applyAlignment="1">
      <alignment vertical="center"/>
    </xf>
    <xf numFmtId="0" fontId="9" fillId="48" borderId="280" xfId="0" applyFont="1" applyFill="1" applyBorder="1" applyAlignment="1">
      <alignment vertical="center"/>
    </xf>
    <xf numFmtId="0" fontId="305" fillId="48" borderId="282" xfId="0" applyFont="1" applyFill="1" applyBorder="1" applyAlignment="1">
      <alignment vertical="center"/>
    </xf>
    <xf numFmtId="0" fontId="351" fillId="44" borderId="168" xfId="4" applyFont="1" applyFill="1" applyBorder="1" applyAlignment="1">
      <alignment horizontal="center" vertical="center"/>
    </xf>
    <xf numFmtId="0" fontId="350" fillId="59" borderId="168" xfId="0" applyFont="1" applyFill="1" applyBorder="1" applyAlignment="1">
      <alignment horizontal="center" vertical="center"/>
    </xf>
    <xf numFmtId="0" fontId="9" fillId="53" borderId="159" xfId="0" applyFont="1" applyFill="1" applyBorder="1"/>
    <xf numFmtId="0" fontId="350" fillId="59" borderId="283" xfId="0" applyFont="1" applyFill="1" applyBorder="1" applyAlignment="1">
      <alignment horizontal="center" vertical="center"/>
    </xf>
    <xf numFmtId="0" fontId="237" fillId="53" borderId="159" xfId="0" applyFont="1" applyFill="1" applyBorder="1" applyAlignment="1">
      <alignment horizontal="left" indent="1"/>
    </xf>
    <xf numFmtId="0" fontId="9" fillId="7" borderId="159" xfId="0" applyFont="1" applyFill="1" applyBorder="1"/>
    <xf numFmtId="0" fontId="9" fillId="53" borderId="284" xfId="0" applyFont="1" applyFill="1" applyBorder="1"/>
    <xf numFmtId="0" fontId="362" fillId="53" borderId="159" xfId="0" applyFont="1" applyFill="1" applyBorder="1" applyAlignment="1">
      <alignment horizontal="left" indent="1"/>
    </xf>
    <xf numFmtId="0" fontId="9" fillId="57" borderId="159" xfId="0" applyFont="1" applyFill="1" applyBorder="1"/>
    <xf numFmtId="0" fontId="179" fillId="59" borderId="161" xfId="0" applyFont="1" applyFill="1" applyBorder="1" applyAlignment="1">
      <alignment horizontal="center" vertical="center"/>
    </xf>
    <xf numFmtId="0" fontId="350" fillId="59" borderId="170" xfId="0" applyFont="1" applyFill="1" applyBorder="1" applyAlignment="1">
      <alignment horizontal="center" vertical="center"/>
    </xf>
    <xf numFmtId="0" fontId="9" fillId="53" borderId="158" xfId="0" applyFont="1" applyFill="1" applyBorder="1"/>
    <xf numFmtId="0" fontId="233" fillId="53" borderId="158" xfId="0" applyFont="1" applyFill="1" applyBorder="1" applyAlignment="1">
      <alignment vertical="center"/>
    </xf>
    <xf numFmtId="0" fontId="233" fillId="53" borderId="158" xfId="0" applyFont="1" applyFill="1" applyBorder="1" applyAlignment="1">
      <alignment vertical="top" wrapText="1"/>
    </xf>
    <xf numFmtId="0" fontId="350" fillId="59" borderId="285" xfId="0" applyFont="1" applyFill="1" applyBorder="1" applyAlignment="1">
      <alignment horizontal="center" vertical="center"/>
    </xf>
    <xf numFmtId="0" fontId="9" fillId="56" borderId="158" xfId="0" applyFont="1" applyFill="1" applyBorder="1"/>
    <xf numFmtId="0" fontId="9" fillId="53" borderId="286" xfId="0" applyFont="1" applyFill="1" applyBorder="1"/>
    <xf numFmtId="0" fontId="9" fillId="57" borderId="158" xfId="0" applyFont="1" applyFill="1" applyBorder="1"/>
    <xf numFmtId="0" fontId="157" fillId="38" borderId="0" xfId="0" applyFont="1" applyFill="1" applyBorder="1" applyAlignment="1">
      <alignment horizontal="left" vertical="top" wrapText="1"/>
    </xf>
    <xf numFmtId="0" fontId="177" fillId="9" borderId="0" xfId="4" applyFont="1" applyFill="1" applyBorder="1" applyAlignment="1">
      <alignment vertical="top" wrapText="1"/>
    </xf>
    <xf numFmtId="0" fontId="9" fillId="9" borderId="287" xfId="0" applyFont="1" applyFill="1" applyBorder="1"/>
    <xf numFmtId="0" fontId="9" fillId="9" borderId="288" xfId="0" applyFont="1" applyFill="1" applyBorder="1"/>
    <xf numFmtId="0" fontId="9" fillId="9" borderId="289" xfId="0" applyFont="1" applyFill="1" applyBorder="1"/>
    <xf numFmtId="0" fontId="9" fillId="9" borderId="290" xfId="0" applyFont="1" applyFill="1" applyBorder="1"/>
    <xf numFmtId="0" fontId="9" fillId="9" borderId="291" xfId="0" applyFont="1" applyFill="1" applyBorder="1"/>
    <xf numFmtId="0" fontId="13" fillId="12" borderId="169" xfId="0" applyFont="1" applyFill="1" applyBorder="1" applyAlignment="1">
      <alignment horizontal="left" indent="1"/>
    </xf>
    <xf numFmtId="0" fontId="179" fillId="42" borderId="292" xfId="0" applyFont="1" applyFill="1" applyBorder="1" applyAlignment="1">
      <alignment horizontal="center" vertical="center"/>
    </xf>
    <xf numFmtId="0" fontId="179" fillId="42" borderId="293" xfId="0" applyFont="1" applyFill="1" applyBorder="1" applyAlignment="1">
      <alignment horizontal="center" vertical="center"/>
    </xf>
    <xf numFmtId="0" fontId="387" fillId="48" borderId="0" xfId="0" applyFont="1" applyFill="1" applyBorder="1" applyAlignment="1">
      <alignment horizontal="center" vertical="center"/>
    </xf>
    <xf numFmtId="0" fontId="9" fillId="45" borderId="0" xfId="0" applyFont="1" applyFill="1" applyAlignment="1"/>
    <xf numFmtId="0" fontId="455" fillId="48" borderId="0" xfId="0" applyFont="1" applyFill="1" applyBorder="1" applyAlignment="1">
      <alignment horizontal="center" vertical="center"/>
    </xf>
    <xf numFmtId="0" fontId="300" fillId="44" borderId="169" xfId="0" applyFont="1" applyFill="1" applyBorder="1" applyAlignment="1">
      <alignment horizontal="left" indent="1"/>
    </xf>
    <xf numFmtId="0" fontId="239" fillId="59" borderId="169" xfId="4" applyFont="1" applyFill="1" applyBorder="1" applyAlignment="1">
      <alignment vertical="center"/>
    </xf>
    <xf numFmtId="0" fontId="321" fillId="59" borderId="169" xfId="4" applyFont="1" applyFill="1" applyBorder="1" applyAlignment="1">
      <alignment vertical="center"/>
    </xf>
    <xf numFmtId="0" fontId="321" fillId="60" borderId="161" xfId="4" applyFont="1" applyFill="1" applyBorder="1" applyAlignment="1">
      <alignment vertical="center"/>
    </xf>
    <xf numFmtId="0" fontId="318" fillId="42" borderId="161" xfId="0" applyFont="1" applyFill="1" applyBorder="1" applyAlignment="1">
      <alignment vertical="center"/>
    </xf>
    <xf numFmtId="0" fontId="348" fillId="42" borderId="0" xfId="0" applyFont="1" applyFill="1" applyBorder="1" applyAlignment="1">
      <alignment vertical="center"/>
    </xf>
    <xf numFmtId="0" fontId="240" fillId="42" borderId="0" xfId="0" applyFont="1" applyFill="1" applyBorder="1" applyAlignment="1">
      <alignment vertical="center"/>
    </xf>
    <xf numFmtId="0" fontId="455" fillId="48" borderId="281" xfId="0" applyFont="1" applyFill="1" applyBorder="1" applyAlignment="1">
      <alignment horizontal="center" vertical="center"/>
    </xf>
    <xf numFmtId="0" fontId="361" fillId="48" borderId="278" xfId="0" applyFont="1" applyFill="1" applyBorder="1" applyAlignment="1">
      <alignment horizontal="center" vertical="center"/>
    </xf>
    <xf numFmtId="0" fontId="157" fillId="48" borderId="278" xfId="0" applyFont="1" applyFill="1" applyBorder="1" applyAlignment="1">
      <alignment vertical="center"/>
    </xf>
    <xf numFmtId="0" fontId="24" fillId="4" borderId="0" xfId="0" applyFont="1" applyFill="1" applyAlignment="1">
      <alignment wrapText="1"/>
    </xf>
    <xf numFmtId="0" fontId="247" fillId="4" borderId="0" xfId="0" applyFont="1" applyFill="1" applyAlignment="1">
      <alignment wrapText="1"/>
    </xf>
    <xf numFmtId="0" fontId="366" fillId="4" borderId="0" xfId="0" applyFont="1" applyFill="1" applyAlignment="1"/>
    <xf numFmtId="0" fontId="460" fillId="65" borderId="0" xfId="0" applyFont="1" applyFill="1" applyAlignment="1">
      <alignment wrapText="1"/>
    </xf>
    <xf numFmtId="0" fontId="16" fillId="7" borderId="0" xfId="0" applyFont="1" applyFill="1"/>
    <xf numFmtId="0" fontId="9" fillId="66" borderId="0" xfId="0" applyFont="1" applyFill="1" applyAlignment="1">
      <alignment wrapText="1"/>
    </xf>
    <xf numFmtId="0" fontId="16" fillId="13" borderId="0" xfId="0" applyFont="1" applyFill="1"/>
    <xf numFmtId="0" fontId="467" fillId="9" borderId="0" xfId="0" applyFont="1" applyFill="1" applyBorder="1" applyAlignment="1">
      <alignment vertical="center"/>
    </xf>
    <xf numFmtId="0" fontId="468" fillId="9" borderId="0" xfId="0" applyFont="1" applyFill="1" applyBorder="1"/>
    <xf numFmtId="0" fontId="469" fillId="9" borderId="0" xfId="0" applyFont="1" applyFill="1" applyBorder="1" applyAlignment="1">
      <alignment vertical="center" wrapText="1"/>
    </xf>
    <xf numFmtId="0" fontId="467" fillId="9" borderId="0" xfId="0" applyFont="1" applyFill="1" applyBorder="1" applyAlignment="1">
      <alignment horizontal="left" vertical="center" indent="1"/>
    </xf>
    <xf numFmtId="0" fontId="467" fillId="9" borderId="0" xfId="0" quotePrefix="1" applyFont="1" applyFill="1" applyBorder="1" applyAlignment="1">
      <alignment vertical="center"/>
    </xf>
    <xf numFmtId="0" fontId="7" fillId="9" borderId="0" xfId="0" applyFont="1" applyFill="1" applyBorder="1"/>
    <xf numFmtId="0" fontId="233" fillId="27" borderId="179" xfId="0" applyFont="1" applyFill="1" applyBorder="1" applyAlignment="1">
      <alignment vertical="top" wrapText="1"/>
    </xf>
    <xf numFmtId="0" fontId="9" fillId="51" borderId="164" xfId="0" applyFont="1" applyFill="1" applyBorder="1"/>
    <xf numFmtId="165" fontId="471" fillId="38" borderId="0" xfId="0" applyNumberFormat="1" applyFont="1" applyFill="1" applyBorder="1" applyAlignment="1">
      <alignment horizontal="left" vertical="top" indent="1"/>
    </xf>
    <xf numFmtId="165" fontId="472" fillId="38" borderId="0" xfId="0" applyNumberFormat="1" applyFont="1" applyFill="1" applyBorder="1" applyAlignment="1">
      <alignment horizontal="left" vertical="top" indent="2"/>
    </xf>
    <xf numFmtId="0" fontId="35" fillId="19" borderId="0" xfId="0" applyFont="1" applyFill="1" applyBorder="1"/>
    <xf numFmtId="0" fontId="473" fillId="4" borderId="0" xfId="0" applyFont="1" applyFill="1"/>
    <xf numFmtId="0" fontId="152" fillId="39" borderId="169" xfId="0" applyFont="1" applyFill="1" applyBorder="1" applyAlignment="1">
      <alignment horizontal="left" vertical="center"/>
    </xf>
    <xf numFmtId="0" fontId="75" fillId="29" borderId="169" xfId="0" applyFont="1" applyFill="1" applyBorder="1" applyAlignment="1">
      <alignment horizontal="left" vertical="center"/>
    </xf>
    <xf numFmtId="0" fontId="21" fillId="8" borderId="169" xfId="0" applyFont="1" applyFill="1" applyBorder="1" applyAlignment="1">
      <alignment horizontal="left"/>
    </xf>
    <xf numFmtId="0" fontId="21" fillId="8" borderId="169" xfId="0" applyFont="1" applyFill="1" applyBorder="1" applyAlignment="1">
      <alignment horizontal="left" vertical="center"/>
    </xf>
    <xf numFmtId="0" fontId="180" fillId="8" borderId="169" xfId="0" applyFont="1" applyFill="1" applyBorder="1" applyAlignment="1">
      <alignment horizontal="left" vertical="center"/>
    </xf>
    <xf numFmtId="0" fontId="101" fillId="8" borderId="169" xfId="0" applyFont="1" applyFill="1" applyBorder="1" applyAlignment="1">
      <alignment horizontal="left" vertical="center"/>
    </xf>
    <xf numFmtId="0" fontId="176" fillId="9" borderId="0" xfId="0" applyFont="1" applyFill="1" applyBorder="1" applyAlignment="1">
      <alignment horizontal="left" vertical="top" wrapText="1"/>
    </xf>
    <xf numFmtId="0" fontId="176" fillId="9" borderId="119" xfId="0" applyFont="1" applyFill="1" applyBorder="1" applyAlignment="1">
      <alignment horizontal="left" vertical="top" wrapText="1"/>
    </xf>
    <xf numFmtId="0" fontId="114" fillId="4" borderId="6" xfId="0" applyFont="1" applyFill="1" applyBorder="1" applyAlignment="1">
      <alignment horizontal="center" vertical="center" wrapText="1"/>
    </xf>
    <xf numFmtId="0" fontId="114" fillId="4" borderId="7" xfId="0" applyFont="1" applyFill="1" applyBorder="1" applyAlignment="1">
      <alignment horizontal="center" vertical="center" wrapText="1"/>
    </xf>
    <xf numFmtId="0" fontId="114" fillId="4" borderId="11" xfId="0" applyFont="1" applyFill="1" applyBorder="1" applyAlignment="1">
      <alignment horizontal="center" vertical="center" wrapText="1"/>
    </xf>
    <xf numFmtId="0" fontId="114" fillId="4" borderId="12" xfId="0" applyFont="1" applyFill="1" applyBorder="1" applyAlignment="1">
      <alignment horizontal="center" vertical="center" wrapText="1"/>
    </xf>
    <xf numFmtId="0" fontId="212" fillId="7" borderId="114" xfId="0" applyFont="1" applyFill="1" applyBorder="1" applyAlignment="1">
      <alignment horizontal="left" vertical="center" wrapText="1" indent="3"/>
    </xf>
    <xf numFmtId="0" fontId="212" fillId="7" borderId="115" xfId="0" applyFont="1" applyFill="1" applyBorder="1" applyAlignment="1">
      <alignment horizontal="left" vertical="center" wrapText="1" indent="3"/>
    </xf>
    <xf numFmtId="0" fontId="212" fillId="7" borderId="0" xfId="0" applyFont="1" applyFill="1" applyBorder="1" applyAlignment="1">
      <alignment horizontal="left" vertical="center" wrapText="1" indent="3"/>
    </xf>
    <xf numFmtId="0" fontId="212" fillId="7" borderId="117" xfId="0" applyFont="1" applyFill="1" applyBorder="1" applyAlignment="1">
      <alignment horizontal="left" vertical="center" wrapText="1" indent="3"/>
    </xf>
    <xf numFmtId="0" fontId="212" fillId="7" borderId="119" xfId="0" applyFont="1" applyFill="1" applyBorder="1" applyAlignment="1">
      <alignment horizontal="left" vertical="center" wrapText="1" indent="3"/>
    </xf>
    <xf numFmtId="0" fontId="212" fillId="7" borderId="120" xfId="0" applyFont="1" applyFill="1" applyBorder="1" applyAlignment="1">
      <alignment horizontal="left" vertical="center" wrapText="1" indent="3"/>
    </xf>
    <xf numFmtId="0" fontId="20" fillId="7" borderId="6" xfId="0" applyFont="1" applyFill="1" applyBorder="1" applyAlignment="1">
      <alignment horizontal="right" vertical="center" wrapText="1"/>
    </xf>
    <xf numFmtId="0" fontId="20" fillId="19" borderId="6" xfId="0" applyFont="1" applyFill="1" applyBorder="1" applyAlignment="1">
      <alignment horizontal="center" vertical="center" wrapText="1"/>
    </xf>
    <xf numFmtId="0" fontId="20" fillId="35" borderId="6" xfId="0" applyFont="1" applyFill="1" applyBorder="1" applyAlignment="1">
      <alignment horizontal="left" vertical="center" wrapText="1"/>
    </xf>
    <xf numFmtId="0" fontId="9" fillId="9" borderId="0" xfId="0" applyFont="1" applyFill="1" applyBorder="1" applyAlignment="1">
      <alignment horizontal="left" vertical="top" wrapText="1"/>
    </xf>
    <xf numFmtId="0" fontId="33" fillId="20" borderId="30" xfId="0" applyFont="1" applyFill="1" applyBorder="1" applyAlignment="1">
      <alignment horizontal="center" vertical="center"/>
    </xf>
    <xf numFmtId="0" fontId="33" fillId="20" borderId="31" xfId="0" applyFont="1" applyFill="1" applyBorder="1" applyAlignment="1">
      <alignment horizontal="center" vertical="center"/>
    </xf>
    <xf numFmtId="0" fontId="105" fillId="9" borderId="0" xfId="0" applyFont="1" applyFill="1" applyBorder="1" applyAlignment="1">
      <alignment horizontal="left" vertical="center" wrapText="1"/>
    </xf>
    <xf numFmtId="0" fontId="211" fillId="9" borderId="0" xfId="0" applyFont="1" applyFill="1" applyBorder="1" applyAlignment="1">
      <alignment horizontal="left" vertical="top" wrapText="1"/>
    </xf>
    <xf numFmtId="0" fontId="211" fillId="9" borderId="9" xfId="0" applyFont="1" applyFill="1" applyBorder="1" applyAlignment="1">
      <alignment horizontal="left" vertical="top" wrapText="1"/>
    </xf>
    <xf numFmtId="0" fontId="213" fillId="31" borderId="106" xfId="0" applyFont="1" applyFill="1" applyBorder="1" applyAlignment="1">
      <alignment horizontal="left" vertical="center" wrapText="1" indent="3"/>
    </xf>
    <xf numFmtId="0" fontId="213" fillId="31" borderId="107" xfId="0" applyFont="1" applyFill="1" applyBorder="1" applyAlignment="1">
      <alignment horizontal="left" vertical="center" wrapText="1" indent="3"/>
    </xf>
    <xf numFmtId="0" fontId="213" fillId="31" borderId="0" xfId="0" applyFont="1" applyFill="1" applyBorder="1" applyAlignment="1">
      <alignment horizontal="left" vertical="center" wrapText="1" indent="3"/>
    </xf>
    <xf numFmtId="0" fontId="213" fillId="31" borderId="109" xfId="0" applyFont="1" applyFill="1" applyBorder="1" applyAlignment="1">
      <alignment horizontal="left" vertical="center" wrapText="1" indent="3"/>
    </xf>
    <xf numFmtId="0" fontId="213" fillId="31" borderId="111" xfId="0" applyFont="1" applyFill="1" applyBorder="1" applyAlignment="1">
      <alignment horizontal="left" vertical="center" wrapText="1" indent="3"/>
    </xf>
    <xf numFmtId="0" fontId="213" fillId="31" borderId="112" xfId="0" applyFont="1" applyFill="1" applyBorder="1" applyAlignment="1">
      <alignment horizontal="left" vertical="center" wrapText="1" indent="3"/>
    </xf>
    <xf numFmtId="0" fontId="12" fillId="28" borderId="169" xfId="0" applyFont="1" applyFill="1" applyBorder="1" applyAlignment="1">
      <alignment horizontal="left" vertical="center"/>
    </xf>
    <xf numFmtId="0" fontId="151" fillId="36" borderId="169" xfId="0" applyFont="1" applyFill="1" applyBorder="1" applyAlignment="1">
      <alignment horizontal="left" vertical="center"/>
    </xf>
    <xf numFmtId="0" fontId="12" fillId="2" borderId="169" xfId="0" applyFont="1" applyFill="1" applyBorder="1" applyAlignment="1">
      <alignment horizontal="left" vertical="center"/>
    </xf>
    <xf numFmtId="9" fontId="4" fillId="27" borderId="36" xfId="1" applyFont="1" applyFill="1" applyBorder="1" applyAlignment="1">
      <alignment horizontal="center" vertical="center"/>
    </xf>
    <xf numFmtId="9" fontId="4" fillId="27" borderId="37" xfId="1" applyFont="1" applyFill="1" applyBorder="1" applyAlignment="1">
      <alignment horizontal="center" vertical="center"/>
    </xf>
    <xf numFmtId="0" fontId="176" fillId="9" borderId="0" xfId="0" applyFont="1" applyFill="1" applyBorder="1" applyAlignment="1">
      <alignment horizontal="left" vertical="center" wrapText="1"/>
    </xf>
    <xf numFmtId="0" fontId="5" fillId="4" borderId="5" xfId="0" applyFont="1" applyFill="1" applyBorder="1" applyAlignment="1">
      <alignment horizontal="center" vertical="center" wrapText="1"/>
    </xf>
    <xf numFmtId="0" fontId="5" fillId="4" borderId="6" xfId="0" applyFont="1" applyFill="1" applyBorder="1" applyAlignment="1">
      <alignment horizontal="center" vertical="center" wrapText="1"/>
    </xf>
    <xf numFmtId="0" fontId="5" fillId="4" borderId="7" xfId="0" applyFont="1" applyFill="1" applyBorder="1" applyAlignment="1">
      <alignment horizontal="center" vertical="center" wrapText="1"/>
    </xf>
    <xf numFmtId="0" fontId="5" fillId="4" borderId="8" xfId="0" applyFont="1" applyFill="1" applyBorder="1" applyAlignment="1">
      <alignment horizontal="center" vertical="center" wrapText="1"/>
    </xf>
    <xf numFmtId="0" fontId="5" fillId="4" borderId="0" xfId="0" applyFont="1" applyFill="1" applyBorder="1" applyAlignment="1">
      <alignment horizontal="center" vertical="center" wrapText="1"/>
    </xf>
    <xf numFmtId="0" fontId="5" fillId="4" borderId="9" xfId="0" applyFont="1" applyFill="1" applyBorder="1" applyAlignment="1">
      <alignment horizontal="center" vertical="center" wrapText="1"/>
    </xf>
    <xf numFmtId="0" fontId="5" fillId="4" borderId="10" xfId="0" applyFont="1" applyFill="1" applyBorder="1" applyAlignment="1">
      <alignment horizontal="center" vertical="center" wrapText="1"/>
    </xf>
    <xf numFmtId="0" fontId="5" fillId="4" borderId="11" xfId="0" applyFont="1" applyFill="1" applyBorder="1" applyAlignment="1">
      <alignment horizontal="center" vertical="center" wrapText="1"/>
    </xf>
    <xf numFmtId="0" fontId="5" fillId="4" borderId="12" xfId="0" applyFont="1" applyFill="1" applyBorder="1" applyAlignment="1">
      <alignment horizontal="center" vertical="center" wrapText="1"/>
    </xf>
    <xf numFmtId="9" fontId="4" fillId="27" borderId="42" xfId="1" applyFont="1" applyFill="1" applyBorder="1" applyAlignment="1">
      <alignment horizontal="center" vertical="center"/>
    </xf>
    <xf numFmtId="9" fontId="4" fillId="27" borderId="43" xfId="1" applyFont="1" applyFill="1" applyBorder="1" applyAlignment="1">
      <alignment horizontal="center" vertical="center"/>
    </xf>
    <xf numFmtId="0" fontId="69" fillId="32" borderId="0" xfId="0" applyFont="1" applyFill="1" applyBorder="1" applyAlignment="1">
      <alignment horizontal="center" vertical="center"/>
    </xf>
    <xf numFmtId="0" fontId="74" fillId="24" borderId="0" xfId="0" applyFont="1" applyFill="1" applyBorder="1" applyAlignment="1">
      <alignment horizontal="center" vertical="center"/>
    </xf>
    <xf numFmtId="0" fontId="204" fillId="10" borderId="0" xfId="0" applyFont="1" applyFill="1" applyBorder="1" applyAlignment="1">
      <alignment horizontal="left" vertical="top" wrapText="1"/>
    </xf>
    <xf numFmtId="0" fontId="9" fillId="4" borderId="21" xfId="0" applyFont="1" applyFill="1" applyBorder="1" applyAlignment="1">
      <alignment horizontal="center" vertical="center"/>
    </xf>
    <xf numFmtId="0" fontId="9" fillId="4" borderId="23" xfId="0" applyFont="1" applyFill="1" applyBorder="1" applyAlignment="1">
      <alignment horizontal="center" vertical="center"/>
    </xf>
    <xf numFmtId="0" fontId="184" fillId="19" borderId="0" xfId="0" applyFont="1" applyFill="1" applyBorder="1" applyAlignment="1">
      <alignment horizontal="left" vertical="top" wrapText="1"/>
    </xf>
    <xf numFmtId="0" fontId="11" fillId="4" borderId="22" xfId="0" applyFont="1" applyFill="1" applyBorder="1" applyAlignment="1">
      <alignment horizontal="center" vertical="center"/>
    </xf>
    <xf numFmtId="0" fontId="11" fillId="4" borderId="23" xfId="0" applyFont="1" applyFill="1" applyBorder="1" applyAlignment="1">
      <alignment horizontal="center" vertical="center"/>
    </xf>
    <xf numFmtId="0" fontId="214" fillId="26" borderId="0" xfId="0" applyFont="1" applyFill="1" applyBorder="1" applyAlignment="1">
      <alignment horizontal="left" vertical="center" wrapText="1"/>
    </xf>
    <xf numFmtId="9" fontId="4" fillId="27" borderId="38" xfId="1" applyFont="1" applyFill="1" applyBorder="1" applyAlignment="1">
      <alignment horizontal="center" vertical="center"/>
    </xf>
    <xf numFmtId="9" fontId="4" fillId="27" borderId="39" xfId="1" applyFont="1" applyFill="1" applyBorder="1" applyAlignment="1">
      <alignment horizontal="center" vertical="center"/>
    </xf>
    <xf numFmtId="9" fontId="4" fillId="27" borderId="44" xfId="1" applyFont="1" applyFill="1" applyBorder="1" applyAlignment="1">
      <alignment horizontal="center" vertical="center"/>
    </xf>
    <xf numFmtId="9" fontId="4" fillId="27" borderId="45" xfId="1" applyFont="1" applyFill="1" applyBorder="1" applyAlignment="1">
      <alignment horizontal="center" vertical="center"/>
    </xf>
    <xf numFmtId="0" fontId="201" fillId="19" borderId="0" xfId="0" applyFont="1" applyFill="1" applyBorder="1" applyAlignment="1">
      <alignment horizontal="left" vertical="top" wrapText="1"/>
    </xf>
    <xf numFmtId="0" fontId="202" fillId="32" borderId="0" xfId="0" applyFont="1" applyFill="1" applyBorder="1" applyAlignment="1">
      <alignment horizontal="center" vertical="center" wrapText="1"/>
    </xf>
    <xf numFmtId="0" fontId="203" fillId="32" borderId="0" xfId="0" applyFont="1" applyFill="1" applyBorder="1" applyAlignment="1">
      <alignment horizontal="center" vertical="center" wrapText="1"/>
    </xf>
    <xf numFmtId="0" fontId="202" fillId="10" borderId="0" xfId="0" applyFont="1" applyFill="1" applyBorder="1" applyAlignment="1">
      <alignment horizontal="center" vertical="center" wrapText="1"/>
    </xf>
    <xf numFmtId="0" fontId="133" fillId="19" borderId="0" xfId="0" applyFont="1" applyFill="1" applyBorder="1" applyAlignment="1">
      <alignment horizontal="center" vertical="center"/>
    </xf>
    <xf numFmtId="0" fontId="135" fillId="19" borderId="134" xfId="0" applyFont="1" applyFill="1" applyBorder="1" applyAlignment="1">
      <alignment horizontal="center" vertical="center"/>
    </xf>
    <xf numFmtId="0" fontId="135" fillId="19" borderId="135" xfId="0" applyFont="1" applyFill="1" applyBorder="1" applyAlignment="1">
      <alignment horizontal="center" vertical="center"/>
    </xf>
    <xf numFmtId="0" fontId="135" fillId="19" borderId="136" xfId="0" applyFont="1" applyFill="1" applyBorder="1" applyAlignment="1">
      <alignment horizontal="center" vertical="center"/>
    </xf>
    <xf numFmtId="0" fontId="135" fillId="19" borderId="137" xfId="0" applyFont="1" applyFill="1" applyBorder="1" applyAlignment="1">
      <alignment horizontal="center" vertical="center"/>
    </xf>
    <xf numFmtId="0" fontId="135" fillId="19" borderId="0" xfId="0" applyFont="1" applyFill="1" applyBorder="1" applyAlignment="1">
      <alignment horizontal="center" vertical="center"/>
    </xf>
    <xf numFmtId="0" fontId="135" fillId="19" borderId="138" xfId="0" applyFont="1" applyFill="1" applyBorder="1" applyAlignment="1">
      <alignment horizontal="center" vertical="center"/>
    </xf>
    <xf numFmtId="0" fontId="135" fillId="19" borderId="139" xfId="0" applyFont="1" applyFill="1" applyBorder="1" applyAlignment="1">
      <alignment horizontal="center" vertical="center"/>
    </xf>
    <xf numFmtId="0" fontId="135" fillId="19" borderId="140" xfId="0" applyFont="1" applyFill="1" applyBorder="1" applyAlignment="1">
      <alignment horizontal="center" vertical="center"/>
    </xf>
    <xf numFmtId="0" fontId="135" fillId="19" borderId="141" xfId="0" applyFont="1" applyFill="1" applyBorder="1" applyAlignment="1">
      <alignment horizontal="center" vertical="center"/>
    </xf>
    <xf numFmtId="0" fontId="30" fillId="19" borderId="0" xfId="0" applyFont="1" applyFill="1" applyBorder="1" applyAlignment="1">
      <alignment horizontal="left" vertical="top" wrapText="1"/>
    </xf>
    <xf numFmtId="0" fontId="149" fillId="32" borderId="168" xfId="0" applyFont="1" applyFill="1" applyBorder="1" applyAlignment="1">
      <alignment horizontal="center" vertical="top"/>
    </xf>
    <xf numFmtId="0" fontId="149" fillId="32" borderId="169" xfId="0" applyFont="1" applyFill="1" applyBorder="1" applyAlignment="1">
      <alignment horizontal="center" vertical="top"/>
    </xf>
    <xf numFmtId="0" fontId="149" fillId="32" borderId="170" xfId="0" applyFont="1" applyFill="1" applyBorder="1" applyAlignment="1">
      <alignment horizontal="center" vertical="top"/>
    </xf>
    <xf numFmtId="0" fontId="149" fillId="32" borderId="159" xfId="0" applyFont="1" applyFill="1" applyBorder="1" applyAlignment="1">
      <alignment horizontal="center" vertical="top"/>
    </xf>
    <xf numFmtId="0" fontId="149" fillId="32" borderId="0" xfId="0" applyFont="1" applyFill="1" applyBorder="1" applyAlignment="1">
      <alignment horizontal="center" vertical="top"/>
    </xf>
    <xf numFmtId="0" fontId="149" fillId="32" borderId="158" xfId="0" applyFont="1" applyFill="1" applyBorder="1" applyAlignment="1">
      <alignment horizontal="center" vertical="top"/>
    </xf>
    <xf numFmtId="0" fontId="174" fillId="32" borderId="159" xfId="0" applyFont="1" applyFill="1" applyBorder="1" applyAlignment="1">
      <alignment horizontal="center" vertical="top" wrapText="1"/>
    </xf>
    <xf numFmtId="0" fontId="174" fillId="32" borderId="0" xfId="0" applyFont="1" applyFill="1" applyBorder="1" applyAlignment="1">
      <alignment horizontal="center" vertical="top" wrapText="1"/>
    </xf>
    <xf numFmtId="0" fontId="174" fillId="32" borderId="158" xfId="0" applyFont="1" applyFill="1" applyBorder="1" applyAlignment="1">
      <alignment horizontal="center" vertical="top" wrapText="1"/>
    </xf>
    <xf numFmtId="0" fontId="105" fillId="19" borderId="0" xfId="0" applyFont="1" applyFill="1" applyBorder="1" applyAlignment="1">
      <alignment horizontal="left" vertical="center" wrapText="1"/>
    </xf>
    <xf numFmtId="9" fontId="4" fillId="27" borderId="34" xfId="1" applyFont="1" applyFill="1" applyBorder="1" applyAlignment="1">
      <alignment horizontal="center" vertical="center"/>
    </xf>
    <xf numFmtId="9" fontId="4" fillId="27" borderId="35" xfId="1" applyFont="1" applyFill="1" applyBorder="1" applyAlignment="1">
      <alignment horizontal="center" vertical="center"/>
    </xf>
    <xf numFmtId="9" fontId="4" fillId="27" borderId="40" xfId="1" applyFont="1" applyFill="1" applyBorder="1" applyAlignment="1">
      <alignment horizontal="center" vertical="center"/>
    </xf>
    <xf numFmtId="9" fontId="4" fillId="27" borderId="41" xfId="1" applyFont="1" applyFill="1" applyBorder="1" applyAlignment="1">
      <alignment horizontal="center" vertical="center"/>
    </xf>
    <xf numFmtId="0" fontId="185" fillId="19" borderId="0" xfId="0" applyFont="1" applyFill="1" applyBorder="1" applyAlignment="1">
      <alignment horizontal="left" vertical="center" wrapText="1"/>
    </xf>
    <xf numFmtId="0" fontId="105" fillId="4" borderId="99" xfId="0" applyFont="1" applyFill="1" applyBorder="1" applyAlignment="1">
      <alignment horizontal="left" vertical="center" wrapText="1" indent="1"/>
    </xf>
    <xf numFmtId="0" fontId="105" fillId="4" borderId="100" xfId="0" applyFont="1" applyFill="1" applyBorder="1" applyAlignment="1">
      <alignment horizontal="left" vertical="center" wrapText="1" indent="1"/>
    </xf>
    <xf numFmtId="0" fontId="105" fillId="4" borderId="101" xfId="0" applyFont="1" applyFill="1" applyBorder="1" applyAlignment="1">
      <alignment horizontal="left" vertical="center" wrapText="1" indent="1"/>
    </xf>
    <xf numFmtId="0" fontId="105" fillId="4" borderId="102" xfId="0" applyFont="1" applyFill="1" applyBorder="1" applyAlignment="1">
      <alignment horizontal="left" vertical="center" wrapText="1" indent="1"/>
    </xf>
    <xf numFmtId="0" fontId="105" fillId="4" borderId="103" xfId="0" applyFont="1" applyFill="1" applyBorder="1" applyAlignment="1">
      <alignment horizontal="left" vertical="center" wrapText="1" indent="1"/>
    </xf>
    <xf numFmtId="0" fontId="105" fillId="4" borderId="104" xfId="0" applyFont="1" applyFill="1" applyBorder="1" applyAlignment="1">
      <alignment horizontal="left" vertical="center" wrapText="1" indent="1"/>
    </xf>
    <xf numFmtId="0" fontId="119" fillId="19" borderId="0" xfId="0" applyFont="1" applyFill="1" applyBorder="1" applyAlignment="1">
      <alignment horizontal="left" vertical="top" wrapText="1"/>
    </xf>
    <xf numFmtId="0" fontId="91" fillId="19" borderId="0" xfId="0" applyFont="1" applyFill="1" applyBorder="1" applyAlignment="1">
      <alignment horizontal="center" vertical="top" wrapText="1"/>
    </xf>
    <xf numFmtId="0" fontId="91" fillId="19" borderId="19" xfId="0" applyFont="1" applyFill="1" applyBorder="1" applyAlignment="1">
      <alignment horizontal="center" vertical="top" wrapText="1"/>
    </xf>
    <xf numFmtId="0" fontId="91" fillId="19" borderId="0" xfId="0" applyFont="1" applyFill="1" applyBorder="1" applyAlignment="1">
      <alignment horizontal="center" vertical="center"/>
    </xf>
    <xf numFmtId="0" fontId="119" fillId="4" borderId="14" xfId="0" applyFont="1" applyFill="1" applyBorder="1" applyAlignment="1">
      <alignment horizontal="center" vertical="center" shrinkToFit="1"/>
    </xf>
    <xf numFmtId="0" fontId="119" fillId="4" borderId="15" xfId="0" applyFont="1" applyFill="1" applyBorder="1" applyAlignment="1">
      <alignment horizontal="center" vertical="center" shrinkToFit="1"/>
    </xf>
    <xf numFmtId="0" fontId="119" fillId="4" borderId="16" xfId="0" applyFont="1" applyFill="1" applyBorder="1" applyAlignment="1">
      <alignment horizontal="center" vertical="center" shrinkToFit="1"/>
    </xf>
    <xf numFmtId="0" fontId="119" fillId="4" borderId="18" xfId="0" applyFont="1" applyFill="1" applyBorder="1" applyAlignment="1">
      <alignment horizontal="center" vertical="center" shrinkToFit="1"/>
    </xf>
    <xf numFmtId="0" fontId="119" fillId="4" borderId="19" xfId="0" applyFont="1" applyFill="1" applyBorder="1" applyAlignment="1">
      <alignment horizontal="center" vertical="center" shrinkToFit="1"/>
    </xf>
    <xf numFmtId="0" fontId="119" fillId="4" borderId="20" xfId="0" applyFont="1" applyFill="1" applyBorder="1" applyAlignment="1">
      <alignment horizontal="center" vertical="center" shrinkToFit="1"/>
    </xf>
    <xf numFmtId="0" fontId="186" fillId="19" borderId="0" xfId="0" applyFont="1" applyFill="1" applyBorder="1" applyAlignment="1">
      <alignment horizontal="left" wrapText="1" indent="1"/>
    </xf>
    <xf numFmtId="0" fontId="116" fillId="26" borderId="0" xfId="0" applyFont="1" applyFill="1" applyBorder="1" applyAlignment="1">
      <alignment horizontal="left" vertical="top" wrapText="1"/>
    </xf>
    <xf numFmtId="0" fontId="89" fillId="4" borderId="3" xfId="0" applyFont="1" applyFill="1" applyBorder="1" applyAlignment="1">
      <alignment horizontal="center" vertical="center"/>
    </xf>
    <xf numFmtId="0" fontId="89" fillId="4" borderId="13" xfId="0" applyFont="1" applyFill="1" applyBorder="1" applyAlignment="1">
      <alignment horizontal="center" vertical="center"/>
    </xf>
    <xf numFmtId="0" fontId="89" fillId="4" borderId="4" xfId="0" applyFont="1" applyFill="1" applyBorder="1" applyAlignment="1">
      <alignment horizontal="center" vertical="center"/>
    </xf>
    <xf numFmtId="0" fontId="121" fillId="7" borderId="0" xfId="0" applyFont="1" applyFill="1" applyBorder="1" applyAlignment="1">
      <alignment horizontal="right" vertical="center" wrapText="1" indent="1"/>
    </xf>
    <xf numFmtId="0" fontId="124" fillId="7" borderId="63" xfId="0" applyFont="1" applyFill="1" applyBorder="1" applyAlignment="1">
      <alignment horizontal="center" vertical="center"/>
    </xf>
    <xf numFmtId="0" fontId="124" fillId="7" borderId="64" xfId="0" applyFont="1" applyFill="1" applyBorder="1" applyAlignment="1">
      <alignment horizontal="center" vertical="center"/>
    </xf>
    <xf numFmtId="0" fontId="124" fillId="7" borderId="65" xfId="0" applyFont="1" applyFill="1" applyBorder="1" applyAlignment="1">
      <alignment horizontal="center" vertical="center"/>
    </xf>
    <xf numFmtId="0" fontId="50" fillId="7" borderId="66" xfId="0" applyFont="1" applyFill="1" applyBorder="1" applyAlignment="1">
      <alignment horizontal="center" vertical="top"/>
    </xf>
    <xf numFmtId="0" fontId="50" fillId="7" borderId="67" xfId="0" applyFont="1" applyFill="1" applyBorder="1" applyAlignment="1">
      <alignment horizontal="center" vertical="top"/>
    </xf>
    <xf numFmtId="0" fontId="50" fillId="7" borderId="68" xfId="0" applyFont="1" applyFill="1" applyBorder="1" applyAlignment="1">
      <alignment horizontal="center" vertical="top"/>
    </xf>
    <xf numFmtId="0" fontId="96" fillId="19" borderId="0" xfId="0" applyFont="1" applyFill="1" applyBorder="1" applyAlignment="1">
      <alignment horizontal="center"/>
    </xf>
    <xf numFmtId="0" fontId="128" fillId="32" borderId="0" xfId="0" applyFont="1" applyFill="1" applyBorder="1" applyAlignment="1">
      <alignment horizontal="center" vertical="center" wrapText="1"/>
    </xf>
    <xf numFmtId="0" fontId="129" fillId="10" borderId="0" xfId="0" applyFont="1" applyFill="1" applyBorder="1" applyAlignment="1">
      <alignment horizontal="center" vertical="center" wrapText="1"/>
    </xf>
    <xf numFmtId="0" fontId="134" fillId="4" borderId="75" xfId="0" applyFont="1" applyFill="1" applyBorder="1" applyAlignment="1">
      <alignment horizontal="center" vertical="center" wrapText="1"/>
    </xf>
    <xf numFmtId="0" fontId="134" fillId="4" borderId="76" xfId="0" applyFont="1" applyFill="1" applyBorder="1" applyAlignment="1">
      <alignment horizontal="center" vertical="center" wrapText="1"/>
    </xf>
    <xf numFmtId="0" fontId="134" fillId="4" borderId="79" xfId="0" applyFont="1" applyFill="1" applyBorder="1" applyAlignment="1">
      <alignment horizontal="center" vertical="center" wrapText="1"/>
    </xf>
    <xf numFmtId="0" fontId="134" fillId="4" borderId="85" xfId="0" applyFont="1" applyFill="1" applyBorder="1" applyAlignment="1">
      <alignment horizontal="center" vertical="center" wrapText="1"/>
    </xf>
    <xf numFmtId="0" fontId="134" fillId="4" borderId="1" xfId="0" applyFont="1" applyFill="1" applyBorder="1" applyAlignment="1">
      <alignment horizontal="center" vertical="center" wrapText="1"/>
    </xf>
    <xf numFmtId="0" fontId="134" fillId="4" borderId="88" xfId="0" applyFont="1" applyFill="1" applyBorder="1" applyAlignment="1">
      <alignment horizontal="center" vertical="center" wrapText="1"/>
    </xf>
    <xf numFmtId="0" fontId="105" fillId="19" borderId="0" xfId="0" applyFont="1" applyFill="1" applyBorder="1" applyAlignment="1">
      <alignment horizontal="left" vertical="top" wrapText="1"/>
    </xf>
    <xf numFmtId="0" fontId="105" fillId="19" borderId="0" xfId="0" applyFont="1" applyFill="1" applyBorder="1" applyAlignment="1">
      <alignment horizontal="center" vertical="center" wrapText="1"/>
    </xf>
    <xf numFmtId="0" fontId="47" fillId="9" borderId="0" xfId="0" applyFont="1" applyFill="1" applyBorder="1" applyAlignment="1">
      <alignment horizontal="left"/>
    </xf>
    <xf numFmtId="0" fontId="30" fillId="4" borderId="5" xfId="0" applyFont="1" applyFill="1" applyBorder="1" applyAlignment="1">
      <alignment horizontal="center" vertical="center" wrapText="1"/>
    </xf>
    <xf numFmtId="0" fontId="30" fillId="4" borderId="6" xfId="0" applyFont="1" applyFill="1" applyBorder="1" applyAlignment="1">
      <alignment horizontal="center" vertical="center" wrapText="1"/>
    </xf>
    <xf numFmtId="0" fontId="30" fillId="4" borderId="7" xfId="0" applyFont="1" applyFill="1" applyBorder="1" applyAlignment="1">
      <alignment horizontal="center" vertical="center" wrapText="1"/>
    </xf>
    <xf numFmtId="0" fontId="30" fillId="4" borderId="10" xfId="0" applyFont="1" applyFill="1" applyBorder="1" applyAlignment="1">
      <alignment horizontal="center" vertical="center" wrapText="1"/>
    </xf>
    <xf numFmtId="0" fontId="30" fillId="4" borderId="11" xfId="0" applyFont="1" applyFill="1" applyBorder="1" applyAlignment="1">
      <alignment horizontal="center" vertical="center" wrapText="1"/>
    </xf>
    <xf numFmtId="0" fontId="30" fillId="4" borderId="12" xfId="0" applyFont="1" applyFill="1" applyBorder="1" applyAlignment="1">
      <alignment horizontal="center" vertical="center" wrapText="1"/>
    </xf>
    <xf numFmtId="0" fontId="114" fillId="4" borderId="5" xfId="0" applyFont="1" applyFill="1" applyBorder="1" applyAlignment="1">
      <alignment horizontal="center" vertical="center" wrapText="1"/>
    </xf>
    <xf numFmtId="0" fontId="114" fillId="4" borderId="10" xfId="0" applyFont="1" applyFill="1" applyBorder="1" applyAlignment="1">
      <alignment horizontal="center" vertical="center" wrapText="1"/>
    </xf>
    <xf numFmtId="0" fontId="98" fillId="4" borderId="75" xfId="0" applyFont="1" applyFill="1" applyBorder="1" applyAlignment="1">
      <alignment horizontal="center"/>
    </xf>
    <xf numFmtId="0" fontId="98" fillId="4" borderId="76" xfId="0" applyFont="1" applyFill="1" applyBorder="1" applyAlignment="1">
      <alignment horizontal="center"/>
    </xf>
    <xf numFmtId="0" fontId="98" fillId="4" borderId="79" xfId="0" applyFont="1" applyFill="1" applyBorder="1" applyAlignment="1">
      <alignment horizontal="center"/>
    </xf>
    <xf numFmtId="0" fontId="98" fillId="4" borderId="80" xfId="0" applyFont="1" applyFill="1" applyBorder="1" applyAlignment="1">
      <alignment horizontal="center"/>
    </xf>
    <xf numFmtId="0" fontId="98" fillId="4" borderId="0" xfId="0" applyFont="1" applyFill="1" applyBorder="1" applyAlignment="1">
      <alignment horizontal="center"/>
    </xf>
    <xf numFmtId="0" fontId="98" fillId="4" borderId="2" xfId="0" applyFont="1" applyFill="1" applyBorder="1" applyAlignment="1">
      <alignment horizontal="center"/>
    </xf>
    <xf numFmtId="0" fontId="98" fillId="4" borderId="85" xfId="0" applyFont="1" applyFill="1" applyBorder="1" applyAlignment="1">
      <alignment horizontal="center"/>
    </xf>
    <xf numFmtId="0" fontId="98" fillId="4" borderId="1" xfId="0" applyFont="1" applyFill="1" applyBorder="1" applyAlignment="1">
      <alignment horizontal="center"/>
    </xf>
    <xf numFmtId="0" fontId="98" fillId="4" borderId="88" xfId="0" applyFont="1" applyFill="1" applyBorder="1" applyAlignment="1">
      <alignment horizontal="center"/>
    </xf>
    <xf numFmtId="0" fontId="17" fillId="35" borderId="132" xfId="0" applyFont="1" applyFill="1" applyBorder="1" applyAlignment="1">
      <alignment horizontal="right" vertical="center" wrapText="1" indent="1"/>
    </xf>
    <xf numFmtId="0" fontId="17" fillId="35" borderId="133" xfId="0" applyFont="1" applyFill="1" applyBorder="1" applyAlignment="1">
      <alignment horizontal="right" vertical="center" wrapText="1" indent="1"/>
    </xf>
    <xf numFmtId="0" fontId="110" fillId="7" borderId="54" xfId="0" applyFont="1" applyFill="1" applyBorder="1" applyAlignment="1">
      <alignment horizontal="center" vertical="center" wrapText="1"/>
    </xf>
    <xf numFmtId="0" fontId="110" fillId="7" borderId="55" xfId="0" applyFont="1" applyFill="1" applyBorder="1" applyAlignment="1">
      <alignment horizontal="center" vertical="center" wrapText="1"/>
    </xf>
    <xf numFmtId="0" fontId="110" fillId="7" borderId="56" xfId="0" applyFont="1" applyFill="1" applyBorder="1" applyAlignment="1">
      <alignment horizontal="center" vertical="center" wrapText="1"/>
    </xf>
    <xf numFmtId="0" fontId="110" fillId="7" borderId="57" xfId="0" applyFont="1" applyFill="1" applyBorder="1" applyAlignment="1">
      <alignment horizontal="center" vertical="center" wrapText="1"/>
    </xf>
    <xf numFmtId="0" fontId="110" fillId="7" borderId="58" xfId="0" applyFont="1" applyFill="1" applyBorder="1" applyAlignment="1">
      <alignment horizontal="center" vertical="center" wrapText="1"/>
    </xf>
    <xf numFmtId="0" fontId="110" fillId="7" borderId="59" xfId="0" applyFont="1" applyFill="1" applyBorder="1" applyAlignment="1">
      <alignment horizontal="center" vertical="center" wrapText="1"/>
    </xf>
    <xf numFmtId="0" fontId="9" fillId="9" borderId="29" xfId="0" applyFont="1" applyFill="1" applyBorder="1" applyAlignment="1">
      <alignment horizontal="left"/>
    </xf>
    <xf numFmtId="0" fontId="36" fillId="15" borderId="27" xfId="0" applyFont="1" applyFill="1" applyBorder="1" applyAlignment="1">
      <alignment horizontal="center" vertical="center" wrapText="1"/>
    </xf>
    <xf numFmtId="0" fontId="36" fillId="15" borderId="28" xfId="0" applyFont="1" applyFill="1" applyBorder="1" applyAlignment="1">
      <alignment horizontal="center" vertical="center" wrapText="1"/>
    </xf>
    <xf numFmtId="0" fontId="36" fillId="14" borderId="27" xfId="0" applyFont="1" applyFill="1" applyBorder="1" applyAlignment="1">
      <alignment horizontal="center" vertical="center" wrapText="1"/>
    </xf>
    <xf numFmtId="0" fontId="36" fillId="14" borderId="28" xfId="0" applyFont="1" applyFill="1" applyBorder="1" applyAlignment="1">
      <alignment horizontal="center" vertical="center" wrapText="1"/>
    </xf>
    <xf numFmtId="0" fontId="36" fillId="7" borderId="27" xfId="0" applyFont="1" applyFill="1" applyBorder="1" applyAlignment="1">
      <alignment horizontal="center" vertical="center" wrapText="1"/>
    </xf>
    <xf numFmtId="0" fontId="36" fillId="7" borderId="28" xfId="0" applyFont="1" applyFill="1" applyBorder="1" applyAlignment="1">
      <alignment horizontal="center" vertical="center" wrapText="1"/>
    </xf>
    <xf numFmtId="0" fontId="36" fillId="13" borderId="27" xfId="0" applyFont="1" applyFill="1" applyBorder="1" applyAlignment="1">
      <alignment horizontal="center" vertical="center" wrapText="1"/>
    </xf>
    <xf numFmtId="0" fontId="36" fillId="13" borderId="28" xfId="0" applyFont="1" applyFill="1" applyBorder="1" applyAlignment="1">
      <alignment horizontal="center" vertical="center" wrapText="1"/>
    </xf>
    <xf numFmtId="0" fontId="36" fillId="21" borderId="27" xfId="0" applyFont="1" applyFill="1" applyBorder="1" applyAlignment="1">
      <alignment horizontal="center" vertical="center" wrapText="1"/>
    </xf>
    <xf numFmtId="0" fontId="36" fillId="21" borderId="28" xfId="0" applyFont="1" applyFill="1" applyBorder="1" applyAlignment="1">
      <alignment horizontal="center" vertical="center" wrapText="1"/>
    </xf>
    <xf numFmtId="0" fontId="36" fillId="16" borderId="27" xfId="0" applyFont="1" applyFill="1" applyBorder="1" applyAlignment="1">
      <alignment horizontal="center" vertical="center" wrapText="1"/>
    </xf>
    <xf numFmtId="0" fontId="36" fillId="16" borderId="28" xfId="0" applyFont="1" applyFill="1" applyBorder="1" applyAlignment="1">
      <alignment horizontal="center" vertical="center" wrapText="1"/>
    </xf>
    <xf numFmtId="0" fontId="109" fillId="35" borderId="122" xfId="0" applyFont="1" applyFill="1" applyBorder="1" applyAlignment="1">
      <alignment horizontal="center" vertical="center" wrapText="1"/>
    </xf>
    <xf numFmtId="0" fontId="109" fillId="35" borderId="123" xfId="0" applyFont="1" applyFill="1" applyBorder="1" applyAlignment="1">
      <alignment horizontal="center" vertical="center" wrapText="1"/>
    </xf>
    <xf numFmtId="0" fontId="109" fillId="35" borderId="57" xfId="0" applyFont="1" applyFill="1" applyBorder="1" applyAlignment="1">
      <alignment horizontal="center" vertical="center" wrapText="1"/>
    </xf>
    <xf numFmtId="0" fontId="109" fillId="35" borderId="124" xfId="0" applyFont="1" applyFill="1" applyBorder="1" applyAlignment="1">
      <alignment horizontal="center" vertical="center" wrapText="1"/>
    </xf>
    <xf numFmtId="0" fontId="109" fillId="35" borderId="125" xfId="0" applyFont="1" applyFill="1" applyBorder="1" applyAlignment="1">
      <alignment horizontal="center" vertical="center" wrapText="1"/>
    </xf>
    <xf numFmtId="0" fontId="109" fillId="35" borderId="126" xfId="0" applyFont="1" applyFill="1" applyBorder="1" applyAlignment="1">
      <alignment horizontal="center" vertical="center" wrapText="1"/>
    </xf>
    <xf numFmtId="0" fontId="18" fillId="18" borderId="61" xfId="0" applyFont="1" applyFill="1" applyBorder="1" applyAlignment="1">
      <alignment horizontal="center" vertical="center" wrapText="1"/>
    </xf>
    <xf numFmtId="0" fontId="18" fillId="18" borderId="62" xfId="0" applyFont="1" applyFill="1" applyBorder="1" applyAlignment="1">
      <alignment horizontal="center" vertical="center" wrapText="1"/>
    </xf>
    <xf numFmtId="0" fontId="208" fillId="20" borderId="8" xfId="0" applyFont="1" applyFill="1" applyBorder="1" applyAlignment="1">
      <alignment horizontal="center" vertical="center" wrapText="1" shrinkToFit="1"/>
    </xf>
    <xf numFmtId="0" fontId="208" fillId="20" borderId="9" xfId="0" applyFont="1" applyFill="1" applyBorder="1" applyAlignment="1">
      <alignment horizontal="center" vertical="center" wrapText="1" shrinkToFit="1"/>
    </xf>
    <xf numFmtId="0" fontId="208" fillId="20" borderId="10" xfId="0" applyFont="1" applyFill="1" applyBorder="1" applyAlignment="1">
      <alignment horizontal="center" vertical="center" wrapText="1" shrinkToFit="1"/>
    </xf>
    <xf numFmtId="0" fontId="208" fillId="20" borderId="12" xfId="0" applyFont="1" applyFill="1" applyBorder="1" applyAlignment="1">
      <alignment horizontal="center" vertical="center" wrapText="1" shrinkToFit="1"/>
    </xf>
    <xf numFmtId="0" fontId="122" fillId="31" borderId="0" xfId="0" applyFont="1" applyFill="1" applyBorder="1" applyAlignment="1">
      <alignment horizontal="left" vertical="center" wrapText="1" indent="1"/>
    </xf>
    <xf numFmtId="0" fontId="86" fillId="9" borderId="0" xfId="0" applyFont="1" applyFill="1" applyBorder="1" applyAlignment="1">
      <alignment horizontal="center"/>
    </xf>
    <xf numFmtId="0" fontId="199" fillId="9" borderId="0" xfId="0" applyFont="1" applyFill="1" applyBorder="1" applyAlignment="1">
      <alignment horizontal="center"/>
    </xf>
    <xf numFmtId="0" fontId="103" fillId="7" borderId="0" xfId="0" applyFont="1" applyFill="1" applyBorder="1" applyAlignment="1">
      <alignment horizontal="right" vertical="center" wrapText="1"/>
    </xf>
    <xf numFmtId="0" fontId="104" fillId="31" borderId="0" xfId="0" applyFont="1" applyFill="1" applyBorder="1" applyAlignment="1">
      <alignment horizontal="left" vertical="center" wrapText="1"/>
    </xf>
    <xf numFmtId="0" fontId="89" fillId="9" borderId="0" xfId="0" applyFont="1" applyFill="1" applyBorder="1" applyAlignment="1">
      <alignment horizontal="left" vertical="top" wrapText="1"/>
    </xf>
    <xf numFmtId="0" fontId="86" fillId="7" borderId="0" xfId="0" applyFont="1" applyFill="1" applyBorder="1" applyAlignment="1">
      <alignment horizontal="center"/>
    </xf>
    <xf numFmtId="0" fontId="199" fillId="31" borderId="0" xfId="0" applyFont="1" applyFill="1" applyBorder="1" applyAlignment="1">
      <alignment horizontal="center"/>
    </xf>
    <xf numFmtId="0" fontId="87" fillId="31" borderId="0" xfId="0" applyFont="1" applyFill="1" applyBorder="1" applyAlignment="1">
      <alignment horizontal="center"/>
    </xf>
    <xf numFmtId="0" fontId="138" fillId="9" borderId="0" xfId="0" applyFont="1" applyFill="1" applyBorder="1" applyAlignment="1">
      <alignment horizontal="left" vertical="top" wrapText="1"/>
    </xf>
    <xf numFmtId="0" fontId="138" fillId="9" borderId="9" xfId="0" applyFont="1" applyFill="1" applyBorder="1" applyAlignment="1">
      <alignment horizontal="left" vertical="top" wrapText="1"/>
    </xf>
    <xf numFmtId="0" fontId="107" fillId="35" borderId="122" xfId="3" applyFont="1" applyFill="1" applyBorder="1" applyAlignment="1">
      <alignment horizontal="center" vertical="center" wrapText="1"/>
    </xf>
    <xf numFmtId="0" fontId="107" fillId="35" borderId="123" xfId="3" applyFont="1" applyFill="1" applyBorder="1" applyAlignment="1">
      <alignment horizontal="center" vertical="center" wrapText="1"/>
    </xf>
    <xf numFmtId="0" fontId="107" fillId="35" borderId="57" xfId="3" applyFont="1" applyFill="1" applyBorder="1" applyAlignment="1">
      <alignment horizontal="center" vertical="center" wrapText="1"/>
    </xf>
    <xf numFmtId="0" fontId="107" fillId="35" borderId="124" xfId="3" applyFont="1" applyFill="1" applyBorder="1" applyAlignment="1">
      <alignment horizontal="center" vertical="center" wrapText="1"/>
    </xf>
    <xf numFmtId="0" fontId="107" fillId="35" borderId="125" xfId="3" applyFont="1" applyFill="1" applyBorder="1" applyAlignment="1">
      <alignment horizontal="center" vertical="center" wrapText="1"/>
    </xf>
    <xf numFmtId="0" fontId="107" fillId="35" borderId="126" xfId="3" applyFont="1" applyFill="1" applyBorder="1" applyAlignment="1">
      <alignment horizontal="center" vertical="center" wrapText="1"/>
    </xf>
    <xf numFmtId="0" fontId="76" fillId="9" borderId="0" xfId="0" quotePrefix="1" applyFont="1" applyFill="1" applyBorder="1" applyAlignment="1">
      <alignment horizontal="center" vertical="center"/>
    </xf>
    <xf numFmtId="0" fontId="41" fillId="9" borderId="0" xfId="0" applyFont="1" applyFill="1" applyBorder="1" applyAlignment="1">
      <alignment horizontal="right"/>
    </xf>
    <xf numFmtId="0" fontId="48" fillId="9" borderId="0" xfId="0" applyFont="1" applyFill="1" applyBorder="1" applyAlignment="1">
      <alignment horizontal="center" vertical="center"/>
    </xf>
    <xf numFmtId="0" fontId="17" fillId="7" borderId="52" xfId="0" applyFont="1" applyFill="1" applyBorder="1" applyAlignment="1">
      <alignment horizontal="left" vertical="center" wrapText="1" indent="1"/>
    </xf>
    <xf numFmtId="0" fontId="17" fillId="7" borderId="53" xfId="0" applyFont="1" applyFill="1" applyBorder="1" applyAlignment="1">
      <alignment horizontal="left" vertical="center" wrapText="1" indent="1"/>
    </xf>
    <xf numFmtId="0" fontId="17" fillId="7" borderId="53" xfId="0" applyFont="1" applyFill="1" applyBorder="1" applyAlignment="1">
      <alignment horizontal="right" vertical="center" wrapText="1" indent="1"/>
    </xf>
    <xf numFmtId="0" fontId="17" fillId="35" borderId="131" xfId="0" applyFont="1" applyFill="1" applyBorder="1" applyAlignment="1">
      <alignment horizontal="left" vertical="center" wrapText="1" indent="1"/>
    </xf>
    <xf numFmtId="0" fontId="17" fillId="35" borderId="132" xfId="0" applyFont="1" applyFill="1" applyBorder="1" applyAlignment="1">
      <alignment horizontal="left" vertical="center" wrapText="1" indent="1"/>
    </xf>
    <xf numFmtId="0" fontId="6" fillId="7" borderId="49" xfId="0" applyFont="1" applyFill="1" applyBorder="1" applyAlignment="1">
      <alignment horizontal="center" vertical="center" shrinkToFit="1"/>
    </xf>
    <xf numFmtId="0" fontId="6" fillId="7" borderId="50" xfId="0" applyFont="1" applyFill="1" applyBorder="1" applyAlignment="1">
      <alignment horizontal="center" vertical="center" shrinkToFit="1"/>
    </xf>
    <xf numFmtId="0" fontId="80" fillId="14" borderId="80" xfId="0" applyFont="1" applyFill="1" applyBorder="1" applyAlignment="1">
      <alignment horizontal="left" wrapText="1" indent="1"/>
    </xf>
    <xf numFmtId="0" fontId="80" fillId="14" borderId="0" xfId="0" applyFont="1" applyFill="1" applyBorder="1" applyAlignment="1">
      <alignment horizontal="left" wrapText="1" indent="1"/>
    </xf>
    <xf numFmtId="0" fontId="80" fillId="14" borderId="32" xfId="0" applyFont="1" applyFill="1" applyBorder="1" applyAlignment="1">
      <alignment horizontal="left" wrapText="1" indent="1"/>
    </xf>
    <xf numFmtId="0" fontId="81" fillId="16" borderId="80" xfId="0" applyFont="1" applyFill="1" applyBorder="1" applyAlignment="1">
      <alignment horizontal="left" wrapText="1" indent="1"/>
    </xf>
    <xf numFmtId="0" fontId="81" fillId="16" borderId="0" xfId="0" applyFont="1" applyFill="1" applyBorder="1" applyAlignment="1">
      <alignment horizontal="left" wrapText="1" indent="1"/>
    </xf>
    <xf numFmtId="0" fontId="81" fillId="16" borderId="32" xfId="0" applyFont="1" applyFill="1" applyBorder="1" applyAlignment="1">
      <alignment horizontal="left" wrapText="1" indent="1"/>
    </xf>
    <xf numFmtId="0" fontId="80" fillId="14" borderId="33" xfId="0" applyFont="1" applyFill="1" applyBorder="1" applyAlignment="1">
      <alignment horizontal="right" wrapText="1" indent="1"/>
    </xf>
    <xf numFmtId="0" fontId="80" fillId="14" borderId="0" xfId="0" applyFont="1" applyFill="1" applyBorder="1" applyAlignment="1">
      <alignment horizontal="right" wrapText="1" indent="1"/>
    </xf>
    <xf numFmtId="0" fontId="80" fillId="14" borderId="2" xfId="0" applyFont="1" applyFill="1" applyBorder="1" applyAlignment="1">
      <alignment horizontal="right" wrapText="1" indent="1"/>
    </xf>
    <xf numFmtId="0" fontId="81" fillId="16" borderId="33" xfId="0" applyFont="1" applyFill="1" applyBorder="1" applyAlignment="1">
      <alignment horizontal="right" wrapText="1" indent="1"/>
    </xf>
    <xf numFmtId="0" fontId="81" fillId="16" borderId="0" xfId="0" applyFont="1" applyFill="1" applyBorder="1" applyAlignment="1">
      <alignment horizontal="right" wrapText="1" indent="1"/>
    </xf>
    <xf numFmtId="0" fontId="81" fillId="16" borderId="2" xfId="0" applyFont="1" applyFill="1" applyBorder="1" applyAlignment="1">
      <alignment horizontal="right" wrapText="1" indent="1"/>
    </xf>
    <xf numFmtId="0" fontId="81" fillId="14" borderId="33" xfId="0" applyFont="1" applyFill="1" applyBorder="1" applyAlignment="1">
      <alignment horizontal="right" wrapText="1" indent="1"/>
    </xf>
    <xf numFmtId="0" fontId="81" fillId="14" borderId="0" xfId="0" applyFont="1" applyFill="1" applyBorder="1" applyAlignment="1">
      <alignment horizontal="right" wrapText="1" indent="1"/>
    </xf>
    <xf numFmtId="0" fontId="81" fillId="14" borderId="2" xfId="0" applyFont="1" applyFill="1" applyBorder="1" applyAlignment="1">
      <alignment horizontal="right" wrapText="1" indent="1"/>
    </xf>
    <xf numFmtId="0" fontId="9" fillId="21" borderId="25" xfId="0" applyFont="1" applyFill="1" applyBorder="1" applyAlignment="1">
      <alignment horizontal="center" vertical="center"/>
    </xf>
    <xf numFmtId="0" fontId="9" fillId="21" borderId="26" xfId="0" applyFont="1" applyFill="1" applyBorder="1" applyAlignment="1">
      <alignment horizontal="center" vertical="center"/>
    </xf>
    <xf numFmtId="0" fontId="9" fillId="16" borderId="25" xfId="0" applyFont="1" applyFill="1" applyBorder="1" applyAlignment="1">
      <alignment horizontal="center" vertical="center"/>
    </xf>
    <xf numFmtId="0" fontId="9" fillId="16" borderId="26" xfId="0" applyFont="1" applyFill="1" applyBorder="1" applyAlignment="1">
      <alignment horizontal="center" vertical="center"/>
    </xf>
    <xf numFmtId="0" fontId="19" fillId="18" borderId="5" xfId="0" applyFont="1" applyFill="1" applyBorder="1" applyAlignment="1">
      <alignment horizontal="center" vertical="center"/>
    </xf>
    <xf numFmtId="0" fontId="19" fillId="18" borderId="7" xfId="0" applyFont="1" applyFill="1" applyBorder="1" applyAlignment="1">
      <alignment horizontal="center" vertical="center"/>
    </xf>
    <xf numFmtId="0" fontId="139" fillId="9" borderId="0" xfId="0" applyFont="1" applyFill="1" applyBorder="1" applyAlignment="1">
      <alignment horizontal="left" vertical="top" wrapText="1"/>
    </xf>
    <xf numFmtId="0" fontId="9" fillId="15" borderId="25" xfId="0" applyFont="1" applyFill="1" applyBorder="1" applyAlignment="1">
      <alignment horizontal="center" vertical="center"/>
    </xf>
    <xf numFmtId="0" fontId="9" fillId="15" borderId="26" xfId="0" applyFont="1" applyFill="1" applyBorder="1" applyAlignment="1">
      <alignment horizontal="center" vertical="center"/>
    </xf>
    <xf numFmtId="0" fontId="9" fillId="14" borderId="25" xfId="0" applyFont="1" applyFill="1" applyBorder="1" applyAlignment="1">
      <alignment horizontal="center" vertical="center"/>
    </xf>
    <xf numFmtId="0" fontId="9" fillId="14" borderId="26" xfId="0" applyFont="1" applyFill="1" applyBorder="1" applyAlignment="1">
      <alignment horizontal="center" vertical="center"/>
    </xf>
    <xf numFmtId="0" fontId="9" fillId="7" borderId="25" xfId="0" applyFont="1" applyFill="1" applyBorder="1" applyAlignment="1">
      <alignment horizontal="center" vertical="center"/>
    </xf>
    <xf numFmtId="0" fontId="9" fillId="7" borderId="26" xfId="0" applyFont="1" applyFill="1" applyBorder="1" applyAlignment="1">
      <alignment horizontal="center" vertical="center"/>
    </xf>
    <xf numFmtId="0" fontId="150" fillId="37" borderId="152" xfId="0" applyFont="1" applyFill="1" applyBorder="1" applyAlignment="1">
      <alignment horizontal="left"/>
    </xf>
    <xf numFmtId="0" fontId="150" fillId="37" borderId="153" xfId="0" applyFont="1" applyFill="1" applyBorder="1" applyAlignment="1">
      <alignment horizontal="left"/>
    </xf>
    <xf numFmtId="0" fontId="72" fillId="41" borderId="0" xfId="0" applyFont="1" applyFill="1" applyBorder="1" applyAlignment="1">
      <alignment horizontal="center" vertical="center" wrapText="1"/>
    </xf>
    <xf numFmtId="0" fontId="72" fillId="32" borderId="159" xfId="0" applyFont="1" applyFill="1" applyBorder="1" applyAlignment="1">
      <alignment horizontal="center" vertical="center" wrapText="1"/>
    </xf>
    <xf numFmtId="0" fontId="72" fillId="32" borderId="0" xfId="0" applyFont="1" applyFill="1" applyBorder="1" applyAlignment="1">
      <alignment horizontal="center" vertical="center" wrapText="1"/>
    </xf>
    <xf numFmtId="0" fontId="72" fillId="32" borderId="158" xfId="0" applyFont="1" applyFill="1" applyBorder="1" applyAlignment="1">
      <alignment horizontal="center" vertical="center" wrapText="1"/>
    </xf>
    <xf numFmtId="0" fontId="16" fillId="40" borderId="150" xfId="0" applyFont="1" applyFill="1" applyBorder="1" applyAlignment="1">
      <alignment horizontal="left" vertical="center"/>
    </xf>
    <xf numFmtId="0" fontId="150" fillId="37" borderId="144" xfId="0" applyFont="1" applyFill="1" applyBorder="1" applyAlignment="1">
      <alignment horizontal="left"/>
    </xf>
    <xf numFmtId="0" fontId="150" fillId="37" borderId="145" xfId="0" applyFont="1" applyFill="1" applyBorder="1" applyAlignment="1">
      <alignment horizontal="left"/>
    </xf>
    <xf numFmtId="0" fontId="16" fillId="40" borderId="0" xfId="0" applyFont="1" applyFill="1" applyBorder="1" applyAlignment="1">
      <alignment horizontal="left" vertical="center"/>
    </xf>
    <xf numFmtId="0" fontId="16" fillId="37" borderId="0" xfId="0" applyFont="1" applyFill="1" applyBorder="1" applyAlignment="1">
      <alignment horizontal="left" vertical="center"/>
    </xf>
    <xf numFmtId="0" fontId="6" fillId="35" borderId="128" xfId="0" applyFont="1" applyFill="1" applyBorder="1" applyAlignment="1">
      <alignment horizontal="center" vertical="center" shrinkToFit="1"/>
    </xf>
    <xf numFmtId="0" fontId="6" fillId="35" borderId="129" xfId="0" applyFont="1" applyFill="1" applyBorder="1" applyAlignment="1">
      <alignment horizontal="center" vertical="center" shrinkToFit="1"/>
    </xf>
    <xf numFmtId="0" fontId="6" fillId="7" borderId="0" xfId="0" applyFont="1" applyFill="1" applyBorder="1" applyAlignment="1">
      <alignment horizontal="center" vertical="center" shrinkToFit="1"/>
    </xf>
    <xf numFmtId="0" fontId="6" fillId="35" borderId="60" xfId="0" applyFont="1" applyFill="1" applyBorder="1" applyAlignment="1">
      <alignment horizontal="center" vertical="center" shrinkToFit="1"/>
    </xf>
    <xf numFmtId="0" fontId="6" fillId="35" borderId="0" xfId="0" applyFont="1" applyFill="1" applyBorder="1" applyAlignment="1">
      <alignment horizontal="center" vertical="center" shrinkToFit="1"/>
    </xf>
    <xf numFmtId="0" fontId="110" fillId="7" borderId="49" xfId="0" applyFont="1" applyFill="1" applyBorder="1" applyAlignment="1">
      <alignment horizontal="center" vertical="center" wrapText="1"/>
    </xf>
    <xf numFmtId="0" fontId="110" fillId="7" borderId="50" xfId="0" applyFont="1" applyFill="1" applyBorder="1" applyAlignment="1">
      <alignment horizontal="center" vertical="center" wrapText="1"/>
    </xf>
    <xf numFmtId="0" fontId="110" fillId="7" borderId="96" xfId="0" applyFont="1" applyFill="1" applyBorder="1" applyAlignment="1">
      <alignment horizontal="center" vertical="center" wrapText="1"/>
    </xf>
    <xf numFmtId="0" fontId="110" fillId="7" borderId="51" xfId="0" applyFont="1" applyFill="1" applyBorder="1" applyAlignment="1">
      <alignment horizontal="center" vertical="center" wrapText="1"/>
    </xf>
    <xf numFmtId="0" fontId="110" fillId="7" borderId="0" xfId="0" applyFont="1" applyFill="1" applyBorder="1" applyAlignment="1">
      <alignment horizontal="center" vertical="center" wrapText="1"/>
    </xf>
    <xf numFmtId="0" fontId="110" fillId="7" borderId="97" xfId="0" applyFont="1" applyFill="1" applyBorder="1" applyAlignment="1">
      <alignment horizontal="center" vertical="center" wrapText="1"/>
    </xf>
    <xf numFmtId="0" fontId="110" fillId="7" borderId="52" xfId="0" applyFont="1" applyFill="1" applyBorder="1" applyAlignment="1">
      <alignment horizontal="center" vertical="center" wrapText="1"/>
    </xf>
    <xf numFmtId="0" fontId="110" fillId="7" borderId="53" xfId="0" applyFont="1" applyFill="1" applyBorder="1" applyAlignment="1">
      <alignment horizontal="center" vertical="center" wrapText="1"/>
    </xf>
    <xf numFmtId="0" fontId="110" fillId="7" borderId="98" xfId="0" applyFont="1" applyFill="1" applyBorder="1" applyAlignment="1">
      <alignment horizontal="center" vertical="center" wrapText="1"/>
    </xf>
    <xf numFmtId="0" fontId="62" fillId="32" borderId="0" xfId="0" applyFont="1" applyFill="1" applyBorder="1" applyAlignment="1">
      <alignment horizontal="center" vertical="center"/>
    </xf>
    <xf numFmtId="0" fontId="66" fillId="32" borderId="0" xfId="0" applyFont="1" applyFill="1" applyBorder="1" applyAlignment="1">
      <alignment horizontal="center" vertical="center"/>
    </xf>
    <xf numFmtId="0" fontId="32" fillId="4" borderId="46" xfId="0" applyFont="1" applyFill="1" applyBorder="1" applyAlignment="1">
      <alignment horizontal="center" vertical="center"/>
    </xf>
    <xf numFmtId="0" fontId="32" fillId="4" borderId="47" xfId="0" applyFont="1" applyFill="1" applyBorder="1" applyAlignment="1">
      <alignment horizontal="center" vertical="center"/>
    </xf>
    <xf numFmtId="0" fontId="32" fillId="4" borderId="48" xfId="0" applyFont="1" applyFill="1" applyBorder="1" applyAlignment="1">
      <alignment horizontal="center" vertical="center"/>
    </xf>
    <xf numFmtId="0" fontId="77" fillId="9" borderId="0" xfId="0" quotePrefix="1" applyFont="1" applyFill="1" applyBorder="1" applyAlignment="1">
      <alignment horizontal="center" vertical="center"/>
    </xf>
    <xf numFmtId="0" fontId="16" fillId="37" borderId="150" xfId="0" applyFont="1" applyFill="1" applyBorder="1" applyAlignment="1">
      <alignment horizontal="left" vertical="center"/>
    </xf>
    <xf numFmtId="0" fontId="61" fillId="32" borderId="168" xfId="0" applyFont="1" applyFill="1" applyBorder="1" applyAlignment="1">
      <alignment horizontal="center" vertical="center"/>
    </xf>
    <xf numFmtId="0" fontId="61" fillId="32" borderId="169" xfId="0" applyFont="1" applyFill="1" applyBorder="1" applyAlignment="1">
      <alignment horizontal="center" vertical="center"/>
    </xf>
    <xf numFmtId="0" fontId="61" fillId="32" borderId="170" xfId="0" applyFont="1" applyFill="1" applyBorder="1" applyAlignment="1">
      <alignment horizontal="center" vertical="center"/>
    </xf>
    <xf numFmtId="0" fontId="61" fillId="32" borderId="159" xfId="0" applyFont="1" applyFill="1" applyBorder="1" applyAlignment="1">
      <alignment horizontal="center" vertical="center"/>
    </xf>
    <xf numFmtId="0" fontId="61" fillId="32" borderId="0" xfId="0" applyFont="1" applyFill="1" applyBorder="1" applyAlignment="1">
      <alignment horizontal="center" vertical="center"/>
    </xf>
    <xf numFmtId="0" fontId="61" fillId="32" borderId="158" xfId="0" applyFont="1" applyFill="1" applyBorder="1" applyAlignment="1">
      <alignment horizontal="center" vertical="center"/>
    </xf>
    <xf numFmtId="0" fontId="9" fillId="26" borderId="158" xfId="0" applyFont="1" applyFill="1" applyBorder="1" applyAlignment="1">
      <alignment horizontal="center"/>
    </xf>
    <xf numFmtId="0" fontId="106" fillId="26" borderId="0" xfId="0" applyFont="1" applyFill="1" applyBorder="1" applyAlignment="1">
      <alignment horizontal="left" vertical="center"/>
    </xf>
    <xf numFmtId="0" fontId="30" fillId="23" borderId="89" xfId="0" applyFont="1" applyFill="1" applyBorder="1" applyAlignment="1">
      <alignment horizontal="center" vertical="center" wrapText="1"/>
    </xf>
    <xf numFmtId="0" fontId="30" fillId="23" borderId="90" xfId="0" applyFont="1" applyFill="1" applyBorder="1" applyAlignment="1">
      <alignment horizontal="center" vertical="center" wrapText="1"/>
    </xf>
    <xf numFmtId="0" fontId="30" fillId="23" borderId="91" xfId="0" applyFont="1" applyFill="1" applyBorder="1" applyAlignment="1">
      <alignment horizontal="center" vertical="center" wrapText="1"/>
    </xf>
    <xf numFmtId="0" fontId="30" fillId="31" borderId="89" xfId="0" applyFont="1" applyFill="1" applyBorder="1" applyAlignment="1">
      <alignment horizontal="center" vertical="center" wrapText="1"/>
    </xf>
    <xf numFmtId="0" fontId="30" fillId="31" borderId="90" xfId="0" applyFont="1" applyFill="1" applyBorder="1" applyAlignment="1">
      <alignment horizontal="center" vertical="center" wrapText="1"/>
    </xf>
    <xf numFmtId="0" fontId="30" fillId="31" borderId="91" xfId="0" applyFont="1" applyFill="1" applyBorder="1" applyAlignment="1">
      <alignment horizontal="center" vertical="center" wrapText="1"/>
    </xf>
    <xf numFmtId="0" fontId="11" fillId="4" borderId="92" xfId="0" applyFont="1" applyFill="1" applyBorder="1" applyAlignment="1">
      <alignment horizontal="center" vertical="center"/>
    </xf>
    <xf numFmtId="0" fontId="11" fillId="4" borderId="6" xfId="0" applyFont="1" applyFill="1" applyBorder="1" applyAlignment="1">
      <alignment horizontal="center" vertical="center"/>
    </xf>
    <xf numFmtId="0" fontId="11" fillId="4" borderId="93" xfId="0" applyFont="1" applyFill="1" applyBorder="1" applyAlignment="1">
      <alignment horizontal="center" vertical="center"/>
    </xf>
    <xf numFmtId="0" fontId="11" fillId="4" borderId="94" xfId="0" applyFont="1" applyFill="1" applyBorder="1" applyAlignment="1">
      <alignment horizontal="center" vertical="center"/>
    </xf>
    <xf numFmtId="0" fontId="11" fillId="4" borderId="11" xfId="0" applyFont="1" applyFill="1" applyBorder="1" applyAlignment="1">
      <alignment horizontal="center" vertical="center"/>
    </xf>
    <xf numFmtId="0" fontId="11" fillId="4" borderId="95" xfId="0" applyFont="1" applyFill="1" applyBorder="1" applyAlignment="1">
      <alignment horizontal="center" vertical="center"/>
    </xf>
    <xf numFmtId="0" fontId="10" fillId="19" borderId="6" xfId="0" applyFont="1" applyFill="1" applyBorder="1" applyAlignment="1">
      <alignment horizontal="center" vertical="center"/>
    </xf>
    <xf numFmtId="0" fontId="10" fillId="19" borderId="7" xfId="0" applyFont="1" applyFill="1" applyBorder="1" applyAlignment="1">
      <alignment horizontal="center" vertical="center"/>
    </xf>
    <xf numFmtId="0" fontId="10" fillId="19" borderId="11" xfId="0" applyFont="1" applyFill="1" applyBorder="1" applyAlignment="1">
      <alignment horizontal="center" vertical="center"/>
    </xf>
    <xf numFmtId="0" fontId="10" fillId="19" borderId="12" xfId="0" applyFont="1" applyFill="1" applyBorder="1" applyAlignment="1">
      <alignment horizontal="center" vertical="center"/>
    </xf>
    <xf numFmtId="0" fontId="30" fillId="22" borderId="0" xfId="0" applyFont="1" applyFill="1" applyBorder="1" applyAlignment="1">
      <alignment horizontal="left" vertical="center" wrapText="1" indent="2"/>
    </xf>
    <xf numFmtId="0" fontId="96" fillId="26" borderId="0" xfId="0" applyFont="1" applyFill="1" applyBorder="1" applyAlignment="1">
      <alignment horizontal="center"/>
    </xf>
    <xf numFmtId="0" fontId="97" fillId="26" borderId="0" xfId="0" applyFont="1" applyFill="1" applyBorder="1" applyAlignment="1">
      <alignment horizontal="center" vertical="center"/>
    </xf>
    <xf numFmtId="0" fontId="16" fillId="4" borderId="75" xfId="0" applyFont="1" applyFill="1" applyBorder="1" applyAlignment="1">
      <alignment horizontal="center" vertical="center" wrapText="1"/>
    </xf>
    <xf numFmtId="0" fontId="16" fillId="4" borderId="76" xfId="0" applyFont="1" applyFill="1" applyBorder="1" applyAlignment="1">
      <alignment horizontal="center" vertical="center" wrapText="1"/>
    </xf>
    <xf numFmtId="0" fontId="16" fillId="4" borderId="79" xfId="0" applyFont="1" applyFill="1" applyBorder="1" applyAlignment="1">
      <alignment horizontal="center" vertical="center" wrapText="1"/>
    </xf>
    <xf numFmtId="0" fontId="16" fillId="4" borderId="85" xfId="0" applyFont="1" applyFill="1" applyBorder="1" applyAlignment="1">
      <alignment horizontal="center" vertical="center" wrapText="1"/>
    </xf>
    <xf numFmtId="0" fontId="16" fillId="4" borderId="1" xfId="0" applyFont="1" applyFill="1" applyBorder="1" applyAlignment="1">
      <alignment horizontal="center" vertical="center" wrapText="1"/>
    </xf>
    <xf numFmtId="0" fontId="16" fillId="4" borderId="88" xfId="0" applyFont="1" applyFill="1" applyBorder="1" applyAlignment="1">
      <alignment horizontal="center" vertical="center" wrapText="1"/>
    </xf>
    <xf numFmtId="0" fontId="182" fillId="19" borderId="0" xfId="0" applyFont="1" applyFill="1" applyBorder="1" applyAlignment="1">
      <alignment horizontal="center" vertical="center" wrapText="1"/>
    </xf>
    <xf numFmtId="0" fontId="183" fillId="9" borderId="0" xfId="0" applyFont="1" applyFill="1" applyBorder="1" applyAlignment="1">
      <alignment horizontal="center" vertical="center" wrapText="1"/>
    </xf>
    <xf numFmtId="0" fontId="9" fillId="26" borderId="159" xfId="0" applyFont="1" applyFill="1" applyBorder="1" applyAlignment="1">
      <alignment horizontal="center"/>
    </xf>
    <xf numFmtId="0" fontId="172" fillId="26" borderId="0" xfId="0" applyFont="1" applyFill="1" applyBorder="1" applyAlignment="1">
      <alignment horizontal="center" vertical="center" wrapText="1"/>
    </xf>
    <xf numFmtId="0" fontId="12" fillId="33" borderId="169" xfId="0" applyFont="1" applyFill="1" applyBorder="1" applyAlignment="1">
      <alignment horizontal="left" vertical="center"/>
    </xf>
    <xf numFmtId="0" fontId="30" fillId="26" borderId="0" xfId="0" applyFont="1" applyFill="1" applyBorder="1" applyAlignment="1">
      <alignment horizontal="left" vertical="center" wrapText="1" indent="2"/>
    </xf>
    <xf numFmtId="0" fontId="10" fillId="19" borderId="5" xfId="0" applyFont="1" applyFill="1" applyBorder="1" applyAlignment="1">
      <alignment horizontal="center" vertical="center"/>
    </xf>
    <xf numFmtId="0" fontId="10" fillId="19" borderId="10" xfId="0" applyFont="1" applyFill="1" applyBorder="1" applyAlignment="1">
      <alignment horizontal="center" vertical="center"/>
    </xf>
    <xf numFmtId="0" fontId="30" fillId="3" borderId="0" xfId="0" applyFont="1" applyFill="1" applyBorder="1" applyAlignment="1">
      <alignment horizontal="left" vertical="center" wrapText="1" indent="2"/>
    </xf>
    <xf numFmtId="0" fontId="30" fillId="5" borderId="0" xfId="0" applyFont="1" applyFill="1" applyBorder="1" applyAlignment="1">
      <alignment horizontal="left" vertical="center" wrapText="1" indent="2"/>
    </xf>
    <xf numFmtId="0" fontId="92" fillId="19" borderId="15" xfId="0" applyFont="1" applyFill="1" applyBorder="1" applyAlignment="1">
      <alignment horizontal="center" vertical="center"/>
    </xf>
    <xf numFmtId="0" fontId="11" fillId="4" borderId="21" xfId="0" applyFont="1" applyFill="1" applyBorder="1" applyAlignment="1">
      <alignment horizontal="center" vertical="center"/>
    </xf>
    <xf numFmtId="0" fontId="11" fillId="4" borderId="121" xfId="0" applyFont="1" applyFill="1" applyBorder="1" applyAlignment="1">
      <alignment horizontal="center" vertical="center"/>
    </xf>
    <xf numFmtId="0" fontId="118" fillId="26" borderId="0" xfId="0" applyFont="1" applyFill="1" applyBorder="1" applyAlignment="1">
      <alignment horizontal="center" vertical="center" wrapText="1"/>
    </xf>
    <xf numFmtId="0" fontId="120" fillId="26" borderId="0" xfId="0" applyFont="1" applyFill="1" applyBorder="1" applyAlignment="1">
      <alignment horizontal="center" vertical="center" wrapText="1"/>
    </xf>
    <xf numFmtId="0" fontId="89" fillId="26" borderId="0" xfId="0" applyFont="1" applyFill="1" applyBorder="1" applyAlignment="1">
      <alignment horizontal="left" vertical="center" wrapText="1"/>
    </xf>
    <xf numFmtId="0" fontId="9" fillId="9" borderId="29" xfId="0" applyFont="1" applyFill="1" applyBorder="1" applyAlignment="1">
      <alignment horizontal="right"/>
    </xf>
    <xf numFmtId="0" fontId="80" fillId="16" borderId="33" xfId="0" applyFont="1" applyFill="1" applyBorder="1" applyAlignment="1">
      <alignment horizontal="right" wrapText="1" indent="1"/>
    </xf>
    <xf numFmtId="0" fontId="80" fillId="16" borderId="0" xfId="0" applyFont="1" applyFill="1" applyBorder="1" applyAlignment="1">
      <alignment horizontal="right" wrapText="1" indent="1"/>
    </xf>
    <xf numFmtId="0" fontId="80" fillId="16" borderId="2" xfId="0" applyFont="1" applyFill="1" applyBorder="1" applyAlignment="1">
      <alignment horizontal="right" wrapText="1" indent="1"/>
    </xf>
    <xf numFmtId="0" fontId="81" fillId="14" borderId="80" xfId="0" applyFont="1" applyFill="1" applyBorder="1" applyAlignment="1">
      <alignment horizontal="left" wrapText="1" indent="1"/>
    </xf>
    <xf numFmtId="0" fontId="81" fillId="14" borderId="0" xfId="0" applyFont="1" applyFill="1" applyBorder="1" applyAlignment="1">
      <alignment horizontal="left" wrapText="1" indent="1"/>
    </xf>
    <xf numFmtId="0" fontId="81" fillId="14" borderId="32" xfId="0" applyFont="1" applyFill="1" applyBorder="1" applyAlignment="1">
      <alignment horizontal="left" wrapText="1" indent="1"/>
    </xf>
    <xf numFmtId="0" fontId="80" fillId="16" borderId="80" xfId="0" applyFont="1" applyFill="1" applyBorder="1" applyAlignment="1">
      <alignment horizontal="left" wrapText="1" indent="1"/>
    </xf>
    <xf numFmtId="0" fontId="80" fillId="16" borderId="0" xfId="0" applyFont="1" applyFill="1" applyBorder="1" applyAlignment="1">
      <alignment horizontal="left" wrapText="1" indent="1"/>
    </xf>
    <xf numFmtId="0" fontId="80" fillId="16" borderId="32" xfId="0" applyFont="1" applyFill="1" applyBorder="1" applyAlignment="1">
      <alignment horizontal="left" wrapText="1" indent="1"/>
    </xf>
    <xf numFmtId="0" fontId="9" fillId="13" borderId="25" xfId="0" applyFont="1" applyFill="1" applyBorder="1" applyAlignment="1">
      <alignment horizontal="center" vertical="center"/>
    </xf>
    <xf numFmtId="0" fontId="9" fillId="13" borderId="26" xfId="0" applyFont="1" applyFill="1" applyBorder="1" applyAlignment="1">
      <alignment horizontal="center" vertical="center"/>
    </xf>
    <xf numFmtId="0" fontId="108" fillId="7" borderId="54" xfId="0" applyFont="1" applyFill="1" applyBorder="1" applyAlignment="1">
      <alignment horizontal="center" vertical="center" wrapText="1"/>
    </xf>
    <xf numFmtId="0" fontId="108" fillId="7" borderId="55" xfId="0" applyFont="1" applyFill="1" applyBorder="1" applyAlignment="1">
      <alignment horizontal="center" vertical="center" wrapText="1"/>
    </xf>
    <xf numFmtId="0" fontId="108" fillId="7" borderId="56" xfId="0" applyFont="1" applyFill="1" applyBorder="1" applyAlignment="1">
      <alignment horizontal="center" vertical="center" wrapText="1"/>
    </xf>
    <xf numFmtId="0" fontId="108" fillId="7" borderId="57" xfId="0" applyFont="1" applyFill="1" applyBorder="1" applyAlignment="1">
      <alignment horizontal="center" vertical="center" wrapText="1"/>
    </xf>
    <xf numFmtId="0" fontId="108" fillId="7" borderId="142" xfId="0" applyFont="1" applyFill="1" applyBorder="1" applyAlignment="1">
      <alignment horizontal="center" vertical="center" wrapText="1"/>
    </xf>
    <xf numFmtId="0" fontId="108" fillId="7" borderId="143" xfId="0" applyFont="1" applyFill="1" applyBorder="1" applyAlignment="1">
      <alignment horizontal="center" vertical="center" wrapText="1"/>
    </xf>
    <xf numFmtId="0" fontId="109" fillId="35" borderId="0" xfId="0" applyFont="1" applyFill="1" applyBorder="1" applyAlignment="1">
      <alignment horizontal="center" vertical="center" wrapText="1"/>
    </xf>
    <xf numFmtId="0" fontId="125" fillId="13" borderId="63" xfId="0" applyFont="1" applyFill="1" applyBorder="1" applyAlignment="1">
      <alignment horizontal="center" vertical="center"/>
    </xf>
    <xf numFmtId="0" fontId="125" fillId="13" borderId="64" xfId="0" applyFont="1" applyFill="1" applyBorder="1" applyAlignment="1">
      <alignment horizontal="center" vertical="center"/>
    </xf>
    <xf numFmtId="0" fontId="125" fillId="13" borderId="65" xfId="0" applyFont="1" applyFill="1" applyBorder="1" applyAlignment="1">
      <alignment horizontal="center" vertical="center"/>
    </xf>
    <xf numFmtId="0" fontId="51" fillId="13" borderId="66" xfId="0" applyFont="1" applyFill="1" applyBorder="1" applyAlignment="1">
      <alignment horizontal="center" vertical="top"/>
    </xf>
    <xf numFmtId="0" fontId="51" fillId="13" borderId="67" xfId="0" applyFont="1" applyFill="1" applyBorder="1" applyAlignment="1">
      <alignment horizontal="center" vertical="top"/>
    </xf>
    <xf numFmtId="0" fontId="51" fillId="13" borderId="68" xfId="0" applyFont="1" applyFill="1" applyBorder="1" applyAlignment="1">
      <alignment horizontal="center" vertical="top"/>
    </xf>
    <xf numFmtId="0" fontId="108" fillId="7" borderId="58" xfId="0" applyFont="1" applyFill="1" applyBorder="1" applyAlignment="1">
      <alignment horizontal="center" vertical="center" wrapText="1"/>
    </xf>
    <xf numFmtId="0" fontId="108" fillId="7" borderId="59" xfId="0" applyFont="1" applyFill="1" applyBorder="1" applyAlignment="1">
      <alignment horizontal="center" vertical="center" wrapText="1"/>
    </xf>
    <xf numFmtId="0" fontId="142" fillId="38" borderId="0" xfId="0" applyFont="1" applyFill="1" applyBorder="1" applyAlignment="1">
      <alignment horizontal="left" vertical="top"/>
    </xf>
    <xf numFmtId="0" fontId="157" fillId="38" borderId="0" xfId="0" applyFont="1" applyFill="1" applyBorder="1" applyAlignment="1">
      <alignment horizontal="left" vertical="top" wrapText="1"/>
    </xf>
    <xf numFmtId="0" fontId="169" fillId="38" borderId="0" xfId="0" applyFont="1" applyFill="1" applyBorder="1" applyAlignment="1">
      <alignment horizontal="left" vertical="center"/>
    </xf>
    <xf numFmtId="0" fontId="162" fillId="39" borderId="155" xfId="4" applyFont="1" applyFill="1" applyBorder="1" applyAlignment="1">
      <alignment horizontal="center" vertical="center" wrapText="1"/>
    </xf>
    <xf numFmtId="0" fontId="162" fillId="39" borderId="156" xfId="4" applyFont="1" applyFill="1" applyBorder="1" applyAlignment="1">
      <alignment horizontal="center" vertical="center" wrapText="1"/>
    </xf>
    <xf numFmtId="0" fontId="162" fillId="39" borderId="157" xfId="4" applyFont="1" applyFill="1" applyBorder="1" applyAlignment="1">
      <alignment horizontal="center" vertical="center" wrapText="1"/>
    </xf>
    <xf numFmtId="165" fontId="226" fillId="38" borderId="0" xfId="4" applyNumberFormat="1" applyFont="1" applyFill="1" applyBorder="1" applyAlignment="1">
      <alignment horizontal="center" vertical="center"/>
    </xf>
    <xf numFmtId="165" fontId="319" fillId="38" borderId="0" xfId="0" applyNumberFormat="1" applyFont="1" applyFill="1" applyBorder="1" applyAlignment="1">
      <alignment horizontal="left" indent="1"/>
    </xf>
    <xf numFmtId="0" fontId="119" fillId="9" borderId="0" xfId="0" applyFont="1" applyFill="1" applyBorder="1" applyAlignment="1">
      <alignment horizontal="left" vertical="center" wrapText="1"/>
    </xf>
    <xf numFmtId="0" fontId="89" fillId="4" borderId="5" xfId="0" applyFont="1" applyFill="1" applyBorder="1" applyAlignment="1">
      <alignment horizontal="center" vertical="center" wrapText="1"/>
    </xf>
    <xf numFmtId="0" fontId="89" fillId="4" borderId="6" xfId="0" applyFont="1" applyFill="1" applyBorder="1" applyAlignment="1">
      <alignment horizontal="center" vertical="center" wrapText="1"/>
    </xf>
    <xf numFmtId="0" fontId="89" fillId="4" borderId="7" xfId="0" applyFont="1" applyFill="1" applyBorder="1" applyAlignment="1">
      <alignment horizontal="center" vertical="center" wrapText="1"/>
    </xf>
    <xf numFmtId="0" fontId="89" fillId="4" borderId="10" xfId="0" applyFont="1" applyFill="1" applyBorder="1" applyAlignment="1">
      <alignment horizontal="center" vertical="center" wrapText="1"/>
    </xf>
    <xf numFmtId="0" fontId="89" fillId="4" borderId="11" xfId="0" applyFont="1" applyFill="1" applyBorder="1" applyAlignment="1">
      <alignment horizontal="center" vertical="center" wrapText="1"/>
    </xf>
    <xf numFmtId="0" fontId="89" fillId="4" borderId="12" xfId="0" applyFont="1" applyFill="1" applyBorder="1" applyAlignment="1">
      <alignment horizontal="center" vertical="center" wrapText="1"/>
    </xf>
    <xf numFmtId="0" fontId="139" fillId="9" borderId="0" xfId="0" applyFont="1" applyFill="1" applyBorder="1" applyAlignment="1">
      <alignment horizontal="left" vertical="center" wrapText="1"/>
    </xf>
    <xf numFmtId="0" fontId="141" fillId="36" borderId="169" xfId="0" applyFont="1" applyFill="1" applyBorder="1" applyAlignment="1">
      <alignment horizontal="left" vertical="center"/>
    </xf>
    <xf numFmtId="0" fontId="16" fillId="37" borderId="145" xfId="0" applyFont="1" applyFill="1" applyBorder="1" applyAlignment="1">
      <alignment horizontal="left" vertical="center"/>
    </xf>
    <xf numFmtId="0" fontId="16" fillId="40" borderId="154" xfId="0" applyFont="1" applyFill="1" applyBorder="1" applyAlignment="1">
      <alignment horizontal="left" vertical="center"/>
    </xf>
    <xf numFmtId="0" fontId="292" fillId="11" borderId="0" xfId="0" applyFont="1" applyFill="1" applyBorder="1" applyAlignment="1">
      <alignment horizontal="center" vertical="top"/>
    </xf>
    <xf numFmtId="0" fontId="233" fillId="9" borderId="0" xfId="0" applyFont="1" applyFill="1" applyBorder="1" applyAlignment="1">
      <alignment horizontal="left" vertical="top" wrapText="1"/>
    </xf>
    <xf numFmtId="0" fontId="13" fillId="11" borderId="169" xfId="0" applyFont="1" applyFill="1" applyBorder="1" applyAlignment="1">
      <alignment horizontal="center"/>
    </xf>
    <xf numFmtId="0" fontId="13" fillId="11" borderId="0" xfId="0" applyFont="1" applyFill="1" applyBorder="1" applyAlignment="1">
      <alignment horizontal="center"/>
    </xf>
    <xf numFmtId="0" fontId="89" fillId="4" borderId="182" xfId="0" applyFont="1" applyFill="1" applyBorder="1" applyAlignment="1">
      <alignment horizontal="center" vertical="center" shrinkToFit="1"/>
    </xf>
    <xf numFmtId="0" fontId="89" fillId="4" borderId="183" xfId="0" applyFont="1" applyFill="1" applyBorder="1" applyAlignment="1">
      <alignment horizontal="center" vertical="center" shrinkToFit="1"/>
    </xf>
    <xf numFmtId="0" fontId="89" fillId="4" borderId="184" xfId="0" applyFont="1" applyFill="1" applyBorder="1" applyAlignment="1">
      <alignment horizontal="center" vertical="center" shrinkToFit="1"/>
    </xf>
    <xf numFmtId="0" fontId="6" fillId="48" borderId="200" xfId="0" applyFont="1" applyFill="1" applyBorder="1" applyAlignment="1">
      <alignment horizontal="left" vertical="center"/>
    </xf>
    <xf numFmtId="0" fontId="311" fillId="48" borderId="205" xfId="4" applyFont="1" applyFill="1" applyBorder="1" applyAlignment="1">
      <alignment horizontal="left" vertical="center"/>
    </xf>
    <xf numFmtId="0" fontId="157" fillId="48" borderId="0" xfId="0" applyFont="1" applyFill="1" applyBorder="1" applyAlignment="1">
      <alignment horizontal="left" vertical="center" indent="2"/>
    </xf>
    <xf numFmtId="0" fontId="180" fillId="42" borderId="169" xfId="0" applyFont="1" applyFill="1" applyBorder="1" applyAlignment="1">
      <alignment horizontal="left" vertical="center"/>
    </xf>
    <xf numFmtId="0" fontId="296" fillId="11" borderId="0" xfId="0" applyFont="1" applyFill="1" applyBorder="1" applyAlignment="1">
      <alignment horizontal="center" vertical="center"/>
    </xf>
    <xf numFmtId="0" fontId="157" fillId="48" borderId="205" xfId="0" applyFont="1" applyFill="1" applyBorder="1" applyAlignment="1">
      <alignment horizontal="left" vertical="center" indent="5"/>
    </xf>
    <xf numFmtId="0" fontId="6" fillId="48" borderId="0" xfId="0" applyFont="1" applyFill="1" applyBorder="1" applyAlignment="1">
      <alignment horizontal="left" vertical="center"/>
    </xf>
    <xf numFmtId="0" fontId="157" fillId="48" borderId="205" xfId="0" applyFont="1" applyFill="1" applyBorder="1" applyAlignment="1">
      <alignment horizontal="left" vertical="center" indent="2"/>
    </xf>
    <xf numFmtId="0" fontId="157" fillId="48" borderId="0" xfId="0" applyFont="1" applyFill="1" applyBorder="1" applyAlignment="1">
      <alignment horizontal="left" vertical="center" indent="5"/>
    </xf>
    <xf numFmtId="0" fontId="13" fillId="12" borderId="169" xfId="0" applyFont="1" applyFill="1" applyBorder="1" applyAlignment="1">
      <alignment horizontal="center" vertical="center"/>
    </xf>
    <xf numFmtId="0" fontId="13" fillId="44" borderId="169" xfId="0" applyFont="1" applyFill="1" applyBorder="1" applyAlignment="1">
      <alignment horizontal="center"/>
    </xf>
    <xf numFmtId="0" fontId="201" fillId="9" borderId="0" xfId="0" applyFont="1" applyFill="1" applyBorder="1" applyAlignment="1">
      <alignment horizontal="left" vertical="top" wrapText="1"/>
    </xf>
    <xf numFmtId="0" fontId="114" fillId="4" borderId="3" xfId="0" applyFont="1" applyFill="1" applyBorder="1" applyAlignment="1">
      <alignment horizontal="center" vertical="center"/>
    </xf>
    <xf numFmtId="0" fontId="114" fillId="4" borderId="13" xfId="0" applyFont="1" applyFill="1" applyBorder="1" applyAlignment="1">
      <alignment horizontal="center" vertical="center"/>
    </xf>
    <xf numFmtId="0" fontId="114" fillId="4" borderId="4" xfId="0" applyFont="1" applyFill="1" applyBorder="1" applyAlignment="1">
      <alignment horizontal="center" vertical="center"/>
    </xf>
    <xf numFmtId="0" fontId="209" fillId="49" borderId="0" xfId="0" applyFont="1" applyFill="1" applyBorder="1" applyAlignment="1">
      <alignment horizontal="right" vertical="center" shrinkToFit="1"/>
    </xf>
    <xf numFmtId="0" fontId="243" fillId="9" borderId="0" xfId="0" applyFont="1" applyFill="1" applyAlignment="1">
      <alignment horizontal="left" vertical="top" wrapText="1"/>
    </xf>
    <xf numFmtId="0" fontId="280" fillId="9" borderId="0" xfId="4" applyFont="1" applyFill="1" applyAlignment="1">
      <alignment horizontal="left" vertical="top" wrapText="1"/>
    </xf>
    <xf numFmtId="0" fontId="154" fillId="9" borderId="0" xfId="4" applyFill="1" applyAlignment="1">
      <alignment horizontal="left" vertical="top" wrapText="1"/>
    </xf>
    <xf numFmtId="0" fontId="283" fillId="9" borderId="223" xfId="0" applyFont="1" applyFill="1" applyBorder="1" applyAlignment="1">
      <alignment horizontal="right" wrapText="1"/>
    </xf>
    <xf numFmtId="0" fontId="283" fillId="9" borderId="224" xfId="0" applyFont="1" applyFill="1" applyBorder="1" applyAlignment="1">
      <alignment horizontal="right" wrapText="1"/>
    </xf>
    <xf numFmtId="0" fontId="283" fillId="9" borderId="227" xfId="0" applyFont="1" applyFill="1" applyBorder="1" applyAlignment="1">
      <alignment horizontal="right" wrapText="1"/>
    </xf>
    <xf numFmtId="0" fontId="283" fillId="9" borderId="228" xfId="0" applyFont="1" applyFill="1" applyBorder="1" applyAlignment="1">
      <alignment horizontal="right" wrapText="1"/>
    </xf>
    <xf numFmtId="0" fontId="233" fillId="9" borderId="0" xfId="0" applyFont="1" applyFill="1" applyBorder="1" applyAlignment="1">
      <alignment horizontal="left" vertical="top" wrapText="1" indent="1"/>
    </xf>
    <xf numFmtId="0" fontId="238" fillId="42" borderId="161" xfId="0" applyFont="1" applyFill="1" applyBorder="1" applyAlignment="1">
      <alignment horizontal="left" vertical="center"/>
    </xf>
    <xf numFmtId="0" fontId="233" fillId="49" borderId="0" xfId="0" applyFont="1" applyFill="1" applyBorder="1" applyAlignment="1">
      <alignment horizontal="left" vertical="top" wrapText="1"/>
    </xf>
    <xf numFmtId="0" fontId="209" fillId="49" borderId="0" xfId="0" applyFont="1" applyFill="1" applyBorder="1" applyAlignment="1">
      <alignment horizontal="left" vertical="center" shrinkToFit="1"/>
    </xf>
    <xf numFmtId="0" fontId="177" fillId="9" borderId="0" xfId="4" applyFont="1" applyFill="1" applyBorder="1" applyAlignment="1">
      <alignment horizontal="left" vertical="top" wrapText="1"/>
    </xf>
    <xf numFmtId="0" fontId="310" fillId="9" borderId="0" xfId="4" applyFont="1" applyFill="1" applyBorder="1" applyAlignment="1">
      <alignment horizontal="left" vertical="top" wrapText="1"/>
    </xf>
    <xf numFmtId="0" fontId="278" fillId="9" borderId="0" xfId="0" applyFont="1" applyFill="1" applyBorder="1" applyAlignment="1">
      <alignment horizontal="left" vertical="center"/>
    </xf>
    <xf numFmtId="0" fontId="285" fillId="9" borderId="189" xfId="0" applyFont="1" applyFill="1" applyBorder="1" applyAlignment="1">
      <alignment horizontal="left" vertical="top" wrapText="1"/>
    </xf>
    <xf numFmtId="0" fontId="283" fillId="9" borderId="190" xfId="0" applyFont="1" applyFill="1" applyBorder="1" applyAlignment="1">
      <alignment horizontal="left" vertical="top" wrapText="1"/>
    </xf>
    <xf numFmtId="0" fontId="283" fillId="9" borderId="191" xfId="0" applyFont="1" applyFill="1" applyBorder="1" applyAlignment="1">
      <alignment horizontal="left" vertical="top" wrapText="1"/>
    </xf>
    <xf numFmtId="0" fontId="283" fillId="9" borderId="186" xfId="0" applyFont="1" applyFill="1" applyBorder="1" applyAlignment="1">
      <alignment horizontal="left" vertical="top" wrapText="1"/>
    </xf>
    <xf numFmtId="0" fontId="283" fillId="9" borderId="0" xfId="0" applyFont="1" applyFill="1" applyBorder="1" applyAlignment="1">
      <alignment horizontal="left" vertical="top" wrapText="1"/>
    </xf>
    <xf numFmtId="0" fontId="283" fillId="9" borderId="193" xfId="0" applyFont="1" applyFill="1" applyBorder="1" applyAlignment="1">
      <alignment horizontal="left" vertical="top" wrapText="1"/>
    </xf>
    <xf numFmtId="0" fontId="283" fillId="9" borderId="196" xfId="0" applyFont="1" applyFill="1" applyBorder="1" applyAlignment="1">
      <alignment horizontal="left" vertical="top" wrapText="1"/>
    </xf>
    <xf numFmtId="0" fontId="283" fillId="9" borderId="197" xfId="0" applyFont="1" applyFill="1" applyBorder="1" applyAlignment="1">
      <alignment horizontal="left" vertical="top" wrapText="1"/>
    </xf>
    <xf numFmtId="0" fontId="283" fillId="9" borderId="198" xfId="0" applyFont="1" applyFill="1" applyBorder="1" applyAlignment="1">
      <alignment horizontal="left" vertical="top" wrapText="1"/>
    </xf>
    <xf numFmtId="0" fontId="234" fillId="9" borderId="0" xfId="0" applyFont="1" applyFill="1" applyBorder="1" applyAlignment="1">
      <alignment horizontal="left" vertical="top" wrapText="1"/>
    </xf>
    <xf numFmtId="0" fontId="221" fillId="12" borderId="169" xfId="0" applyFont="1" applyFill="1" applyBorder="1" applyAlignment="1">
      <alignment horizontal="left" vertical="center"/>
    </xf>
    <xf numFmtId="0" fontId="30" fillId="4" borderId="3" xfId="0" applyFont="1" applyFill="1" applyBorder="1" applyAlignment="1">
      <alignment horizontal="center" vertical="center"/>
    </xf>
    <xf numFmtId="0" fontId="30" fillId="4" borderId="13" xfId="0" applyFont="1" applyFill="1" applyBorder="1" applyAlignment="1">
      <alignment horizontal="center" vertical="center"/>
    </xf>
    <xf numFmtId="0" fontId="30" fillId="4" borderId="4" xfId="0" applyFont="1" applyFill="1" applyBorder="1" applyAlignment="1">
      <alignment horizontal="center" vertical="center"/>
    </xf>
    <xf numFmtId="0" fontId="283" fillId="9" borderId="222" xfId="0" applyFont="1" applyFill="1" applyBorder="1" applyAlignment="1">
      <alignment horizontal="left" wrapText="1"/>
    </xf>
    <xf numFmtId="0" fontId="283" fillId="9" borderId="223" xfId="0" applyFont="1" applyFill="1" applyBorder="1" applyAlignment="1">
      <alignment horizontal="left" wrapText="1"/>
    </xf>
    <xf numFmtId="0" fontId="283" fillId="9" borderId="225" xfId="0" applyFont="1" applyFill="1" applyBorder="1" applyAlignment="1">
      <alignment horizontal="left" wrapText="1"/>
    </xf>
    <xf numFmtId="0" fontId="283" fillId="9" borderId="226" xfId="0" applyFont="1" applyFill="1" applyBorder="1" applyAlignment="1">
      <alignment horizontal="left" wrapText="1"/>
    </xf>
    <xf numFmtId="0" fontId="184" fillId="9" borderId="0" xfId="0" applyFont="1" applyFill="1" applyBorder="1" applyAlignment="1">
      <alignment horizontal="left" vertical="top" wrapText="1"/>
    </xf>
    <xf numFmtId="0" fontId="233" fillId="9" borderId="0" xfId="0" applyFont="1" applyFill="1" applyBorder="1" applyAlignment="1">
      <alignment horizontal="left" vertical="top" wrapText="1" indent="2"/>
    </xf>
    <xf numFmtId="0" fontId="342" fillId="56" borderId="0" xfId="0" applyFont="1" applyFill="1" applyBorder="1" applyAlignment="1">
      <alignment horizontal="center" vertical="center" wrapText="1"/>
    </xf>
    <xf numFmtId="0" fontId="381" fillId="7" borderId="0" xfId="0" applyFont="1" applyFill="1" applyBorder="1" applyAlignment="1">
      <alignment horizontal="center" vertical="center" wrapText="1"/>
    </xf>
    <xf numFmtId="0" fontId="286" fillId="53" borderId="0" xfId="0" applyFont="1" applyFill="1" applyBorder="1" applyAlignment="1">
      <alignment horizontal="left" vertical="top" wrapText="1"/>
    </xf>
    <xf numFmtId="0" fontId="387" fillId="48" borderId="278" xfId="0" applyFont="1" applyFill="1" applyBorder="1" applyAlignment="1">
      <alignment horizontal="left" vertical="center"/>
    </xf>
    <xf numFmtId="0" fontId="157" fillId="48" borderId="190" xfId="0" applyFont="1" applyFill="1" applyBorder="1" applyAlignment="1">
      <alignment horizontal="center" vertical="center"/>
    </xf>
    <xf numFmtId="0" fontId="239" fillId="59" borderId="169" xfId="4" applyFont="1" applyFill="1" applyBorder="1" applyAlignment="1">
      <alignment horizontal="left" vertical="center"/>
    </xf>
    <xf numFmtId="0" fontId="387" fillId="48" borderId="0" xfId="0" applyFont="1" applyFill="1" applyBorder="1" applyAlignment="1">
      <alignment horizontal="left" vertical="center"/>
    </xf>
    <xf numFmtId="0" fontId="387" fillId="48" borderId="281" xfId="0" applyFont="1" applyFill="1" applyBorder="1" applyAlignment="1">
      <alignment horizontal="left" vertical="center"/>
    </xf>
    <xf numFmtId="0" fontId="385" fillId="48" borderId="0" xfId="0" applyFont="1" applyFill="1" applyBorder="1" applyAlignment="1">
      <alignment horizontal="left" vertical="center" indent="2"/>
    </xf>
    <xf numFmtId="0" fontId="384" fillId="48" borderId="0" xfId="0" applyFont="1" applyFill="1" applyBorder="1" applyAlignment="1">
      <alignment horizontal="left" vertical="center"/>
    </xf>
    <xf numFmtId="0" fontId="22" fillId="9" borderId="8" xfId="0" applyFont="1" applyFill="1" applyBorder="1" applyAlignment="1">
      <alignment horizontal="center" vertical="center"/>
    </xf>
    <xf numFmtId="0" fontId="22" fillId="9" borderId="0" xfId="0" applyFont="1" applyFill="1" applyBorder="1" applyAlignment="1">
      <alignment horizontal="center" vertical="center"/>
    </xf>
    <xf numFmtId="0" fontId="30" fillId="4" borderId="238" xfId="0" applyFont="1" applyFill="1" applyBorder="1" applyAlignment="1">
      <alignment horizontal="center" vertical="center" shrinkToFit="1"/>
    </xf>
    <xf numFmtId="0" fontId="30" fillId="4" borderId="239" xfId="0" applyFont="1" applyFill="1" applyBorder="1" applyAlignment="1">
      <alignment horizontal="center" vertical="center" shrinkToFit="1"/>
    </xf>
    <xf numFmtId="0" fontId="30" fillId="4" borderId="240" xfId="0" applyFont="1" applyFill="1" applyBorder="1" applyAlignment="1">
      <alignment horizontal="center" vertical="center" shrinkToFit="1"/>
    </xf>
    <xf numFmtId="0" fontId="30" fillId="4" borderId="241" xfId="0" applyFont="1" applyFill="1" applyBorder="1" applyAlignment="1">
      <alignment horizontal="center" vertical="center" shrinkToFit="1"/>
    </xf>
    <xf numFmtId="0" fontId="30" fillId="4" borderId="242" xfId="0" applyFont="1" applyFill="1" applyBorder="1" applyAlignment="1">
      <alignment horizontal="center" vertical="center" shrinkToFit="1"/>
    </xf>
    <xf numFmtId="0" fontId="30" fillId="4" borderId="243" xfId="0" applyFont="1" applyFill="1" applyBorder="1" applyAlignment="1">
      <alignment horizontal="center" vertical="center" shrinkToFit="1"/>
    </xf>
    <xf numFmtId="0" fontId="30" fillId="4" borderId="3" xfId="0" applyFont="1" applyFill="1" applyBorder="1" applyAlignment="1">
      <alignment horizontal="center" vertical="center" shrinkToFit="1"/>
    </xf>
    <xf numFmtId="0" fontId="30" fillId="4" borderId="13" xfId="0" applyFont="1" applyFill="1" applyBorder="1" applyAlignment="1">
      <alignment horizontal="center" vertical="center" shrinkToFit="1"/>
    </xf>
    <xf numFmtId="0" fontId="30" fillId="4" borderId="4" xfId="0" applyFont="1" applyFill="1" applyBorder="1" applyAlignment="1">
      <alignment horizontal="center" vertical="center" shrinkToFit="1"/>
    </xf>
    <xf numFmtId="0" fontId="392" fillId="9" borderId="244" xfId="0" applyFont="1" applyFill="1" applyBorder="1" applyAlignment="1">
      <alignment horizontal="center" vertical="center"/>
    </xf>
    <xf numFmtId="0" fontId="392" fillId="9" borderId="245" xfId="0" applyFont="1" applyFill="1" applyBorder="1" applyAlignment="1">
      <alignment horizontal="center" vertical="center"/>
    </xf>
    <xf numFmtId="0" fontId="392" fillId="9" borderId="246" xfId="0" applyFont="1" applyFill="1" applyBorder="1" applyAlignment="1">
      <alignment horizontal="center" vertical="center"/>
    </xf>
    <xf numFmtId="0" fontId="344" fillId="57" borderId="0" xfId="0" applyFont="1" applyFill="1" applyBorder="1" applyAlignment="1">
      <alignment horizontal="center" vertical="center" wrapText="1"/>
    </xf>
    <xf numFmtId="0" fontId="334" fillId="7" borderId="0" xfId="0" applyFont="1" applyFill="1" applyBorder="1" applyAlignment="1">
      <alignment horizontal="left" vertical="center" shrinkToFit="1"/>
    </xf>
    <xf numFmtId="0" fontId="335" fillId="56" borderId="0" xfId="0" applyFont="1" applyFill="1" applyBorder="1" applyAlignment="1">
      <alignment horizontal="right" vertical="center" shrinkToFit="1"/>
    </xf>
    <xf numFmtId="0" fontId="341" fillId="7" borderId="0" xfId="0" applyFont="1" applyFill="1" applyBorder="1" applyAlignment="1">
      <alignment horizontal="center" vertical="center" wrapText="1"/>
    </xf>
    <xf numFmtId="0" fontId="176" fillId="4" borderId="21" xfId="0" applyFont="1" applyFill="1" applyBorder="1" applyAlignment="1">
      <alignment horizontal="center" vertical="center"/>
    </xf>
    <xf numFmtId="0" fontId="176" fillId="4" borderId="23" xfId="0" applyFont="1" applyFill="1" applyBorder="1" applyAlignment="1">
      <alignment horizontal="center" vertical="center"/>
    </xf>
    <xf numFmtId="0" fontId="30" fillId="4" borderId="3" xfId="0" applyFont="1" applyFill="1" applyBorder="1" applyAlignment="1">
      <alignment horizontal="center" vertical="center" wrapText="1"/>
    </xf>
    <xf numFmtId="0" fontId="30" fillId="4" borderId="13" xfId="0" applyFont="1" applyFill="1" applyBorder="1" applyAlignment="1">
      <alignment horizontal="center" vertical="center" wrapText="1"/>
    </xf>
    <xf numFmtId="0" fontId="30" fillId="4" borderId="4" xfId="0" applyFont="1" applyFill="1" applyBorder="1" applyAlignment="1">
      <alignment horizontal="center" vertical="center" wrapText="1"/>
    </xf>
    <xf numFmtId="0" fontId="233" fillId="9" borderId="6" xfId="0" applyFont="1" applyFill="1" applyBorder="1" applyAlignment="1">
      <alignment horizontal="left" vertical="top" wrapText="1"/>
    </xf>
    <xf numFmtId="0" fontId="407" fillId="57" borderId="247" xfId="0" applyFont="1" applyFill="1" applyBorder="1" applyAlignment="1">
      <alignment horizontal="center" vertical="top"/>
    </xf>
    <xf numFmtId="0" fontId="417" fillId="57" borderId="247" xfId="0" applyFont="1" applyFill="1" applyBorder="1" applyAlignment="1">
      <alignment horizontal="center" vertical="top"/>
    </xf>
    <xf numFmtId="5" fontId="345" fillId="9" borderId="0" xfId="5" applyNumberFormat="1" applyFont="1" applyFill="1" applyBorder="1" applyAlignment="1">
      <alignment horizontal="right" vertical="center"/>
    </xf>
    <xf numFmtId="0" fontId="348" fillId="42" borderId="0" xfId="0" applyFont="1" applyFill="1" applyBorder="1" applyAlignment="1">
      <alignment horizontal="left" vertical="center"/>
    </xf>
    <xf numFmtId="0" fontId="176" fillId="4" borderId="21" xfId="0" applyFont="1" applyFill="1" applyBorder="1" applyAlignment="1">
      <alignment horizontal="left" vertical="center" shrinkToFit="1"/>
    </xf>
    <xf numFmtId="0" fontId="176" fillId="4" borderId="22" xfId="0" applyFont="1" applyFill="1" applyBorder="1" applyAlignment="1">
      <alignment horizontal="left" vertical="center" shrinkToFit="1"/>
    </xf>
    <xf numFmtId="0" fontId="176" fillId="4" borderId="23" xfId="0" applyFont="1" applyFill="1" applyBorder="1" applyAlignment="1">
      <alignment horizontal="left" vertical="center" shrinkToFit="1"/>
    </xf>
    <xf numFmtId="0" fontId="371" fillId="9" borderId="19" xfId="0" applyFont="1" applyFill="1" applyBorder="1" applyAlignment="1">
      <alignment horizontal="center" vertical="center"/>
    </xf>
    <xf numFmtId="0" fontId="370" fillId="53" borderId="0" xfId="0" applyFont="1" applyFill="1" applyBorder="1" applyAlignment="1">
      <alignment horizontal="left" vertical="top" wrapText="1"/>
    </xf>
    <xf numFmtId="0" fontId="286" fillId="53" borderId="0" xfId="0" applyFont="1" applyFill="1" applyBorder="1" applyAlignment="1">
      <alignment horizontal="right" vertical="top" wrapText="1"/>
    </xf>
    <xf numFmtId="0" fontId="343" fillId="11" borderId="0" xfId="0" applyFont="1" applyFill="1" applyBorder="1" applyAlignment="1">
      <alignment horizontal="center" vertical="center" wrapText="1"/>
    </xf>
    <xf numFmtId="0" fontId="219" fillId="48" borderId="231" xfId="0" applyFont="1" applyFill="1" applyBorder="1" applyAlignment="1">
      <alignment horizontal="center" vertical="center" wrapText="1"/>
    </xf>
    <xf numFmtId="0" fontId="219" fillId="48" borderId="0" xfId="0" applyFont="1" applyFill="1" applyBorder="1" applyAlignment="1">
      <alignment horizontal="center" vertical="center" wrapText="1"/>
    </xf>
    <xf numFmtId="0" fontId="233" fillId="54" borderId="0" xfId="0" applyFont="1" applyFill="1" applyBorder="1" applyAlignment="1">
      <alignment horizontal="center" vertical="center" wrapText="1"/>
    </xf>
    <xf numFmtId="0" fontId="233" fillId="48" borderId="0" xfId="0" applyFont="1" applyFill="1" applyBorder="1" applyAlignment="1">
      <alignment horizontal="center" vertical="center" wrapText="1"/>
    </xf>
    <xf numFmtId="0" fontId="30" fillId="4" borderId="235" xfId="0" applyFont="1" applyFill="1" applyBorder="1" applyAlignment="1">
      <alignment horizontal="center" vertical="center" shrinkToFit="1"/>
    </xf>
    <xf numFmtId="0" fontId="30" fillId="4" borderId="236" xfId="0" applyFont="1" applyFill="1" applyBorder="1" applyAlignment="1">
      <alignment horizontal="center" vertical="center" shrinkToFit="1"/>
    </xf>
    <xf numFmtId="0" fontId="30" fillId="4" borderId="237" xfId="0" applyFont="1" applyFill="1" applyBorder="1" applyAlignment="1">
      <alignment horizontal="center" vertical="center" shrinkToFit="1"/>
    </xf>
    <xf numFmtId="0" fontId="378" fillId="63" borderId="232" xfId="0" applyFont="1" applyFill="1" applyBorder="1" applyAlignment="1">
      <alignment horizontal="center" vertical="center" wrapText="1"/>
    </xf>
    <xf numFmtId="0" fontId="378" fillId="63" borderId="233" xfId="0" applyFont="1" applyFill="1" applyBorder="1" applyAlignment="1">
      <alignment horizontal="center" vertical="center" wrapText="1"/>
    </xf>
    <xf numFmtId="0" fontId="378" fillId="63" borderId="234" xfId="0" applyFont="1" applyFill="1" applyBorder="1" applyAlignment="1">
      <alignment horizontal="center" vertical="center" wrapText="1"/>
    </xf>
    <xf numFmtId="0" fontId="369" fillId="31" borderId="0" xfId="0" applyFont="1" applyFill="1" applyBorder="1" applyAlignment="1">
      <alignment horizontal="center" vertical="center" wrapText="1"/>
    </xf>
    <xf numFmtId="0" fontId="463" fillId="7" borderId="6" xfId="0" applyFont="1" applyFill="1" applyBorder="1" applyAlignment="1">
      <alignment horizontal="center" vertical="center" wrapText="1"/>
    </xf>
    <xf numFmtId="0" fontId="463" fillId="7" borderId="0" xfId="0" applyFont="1" applyFill="1" applyBorder="1" applyAlignment="1">
      <alignment horizontal="center" vertical="center" wrapText="1"/>
    </xf>
    <xf numFmtId="0" fontId="458" fillId="58" borderId="0" xfId="0" applyFont="1" applyFill="1" applyBorder="1" applyAlignment="1">
      <alignment horizontal="center" vertical="center" wrapText="1"/>
    </xf>
    <xf numFmtId="0" fontId="458" fillId="58" borderId="230" xfId="0" applyFont="1" applyFill="1" applyBorder="1" applyAlignment="1">
      <alignment horizontal="center" vertical="center" wrapText="1"/>
    </xf>
    <xf numFmtId="0" fontId="459" fillId="53" borderId="0" xfId="0" applyFont="1" applyFill="1" applyBorder="1" applyAlignment="1">
      <alignment horizontal="center" vertical="center" wrapText="1"/>
    </xf>
    <xf numFmtId="0" fontId="363" fillId="58" borderId="0" xfId="0" applyFont="1" applyFill="1" applyBorder="1" applyAlignment="1">
      <alignment horizontal="center" vertical="center" wrapText="1"/>
    </xf>
    <xf numFmtId="0" fontId="363" fillId="58" borderId="230" xfId="0" applyFont="1" applyFill="1" applyBorder="1" applyAlignment="1">
      <alignment horizontal="center" vertical="center" wrapText="1"/>
    </xf>
    <xf numFmtId="0" fontId="357" fillId="9" borderId="0" xfId="0" applyFont="1" applyFill="1" applyBorder="1" applyAlignment="1">
      <alignment horizontal="left" vertical="center" wrapText="1"/>
    </xf>
    <xf numFmtId="0" fontId="234" fillId="48" borderId="0" xfId="0" applyFont="1" applyFill="1" applyBorder="1" applyAlignment="1">
      <alignment horizontal="center" vertical="center" wrapText="1"/>
    </xf>
    <xf numFmtId="0" fontId="234" fillId="54" borderId="0" xfId="0" applyFont="1" applyFill="1" applyBorder="1" applyAlignment="1">
      <alignment horizontal="center" vertical="center" wrapText="1"/>
    </xf>
    <xf numFmtId="0" fontId="371" fillId="53" borderId="22" xfId="0" applyFont="1" applyFill="1" applyBorder="1" applyAlignment="1">
      <alignment horizontal="center" vertical="center"/>
    </xf>
    <xf numFmtId="0" fontId="371" fillId="53" borderId="23" xfId="0" applyFont="1" applyFill="1" applyBorder="1" applyAlignment="1">
      <alignment horizontal="center" vertical="center"/>
    </xf>
    <xf numFmtId="0" fontId="5" fillId="62" borderId="232" xfId="0" applyFont="1" applyFill="1" applyBorder="1" applyAlignment="1">
      <alignment horizontal="center" vertical="center" wrapText="1"/>
    </xf>
    <xf numFmtId="0" fontId="5" fillId="62" borderId="233" xfId="0" applyFont="1" applyFill="1" applyBorder="1" applyAlignment="1">
      <alignment horizontal="center" vertical="center" wrapText="1"/>
    </xf>
    <xf numFmtId="0" fontId="5" fillId="62" borderId="234" xfId="0" applyFont="1" applyFill="1" applyBorder="1" applyAlignment="1">
      <alignment horizontal="center" vertical="center" wrapText="1"/>
    </xf>
    <xf numFmtId="0" fontId="333" fillId="53" borderId="0" xfId="0" applyFont="1" applyFill="1" applyBorder="1" applyAlignment="1">
      <alignment horizontal="left" vertical="top" wrapText="1"/>
    </xf>
    <xf numFmtId="0" fontId="233" fillId="53" borderId="0" xfId="0" applyFont="1" applyFill="1" applyBorder="1" applyAlignment="1">
      <alignment horizontal="center" vertical="top" wrapText="1"/>
    </xf>
    <xf numFmtId="0" fontId="321" fillId="59" borderId="161" xfId="4" applyFont="1" applyFill="1" applyBorder="1" applyAlignment="1">
      <alignment horizontal="left" vertical="center"/>
    </xf>
    <xf numFmtId="0" fontId="332" fillId="53" borderId="0" xfId="0" applyFont="1" applyFill="1" applyBorder="1" applyAlignment="1">
      <alignment horizontal="left" vertical="top" wrapText="1"/>
    </xf>
    <xf numFmtId="0" fontId="354" fillId="54" borderId="0" xfId="0" applyFont="1" applyFill="1" applyBorder="1" applyAlignment="1">
      <alignment horizontal="center" vertical="center" wrapText="1"/>
    </xf>
    <xf numFmtId="0" fontId="355" fillId="48" borderId="0" xfId="0" applyFont="1" applyFill="1" applyBorder="1" applyAlignment="1">
      <alignment horizontal="center" vertical="center" wrapText="1"/>
    </xf>
    <xf numFmtId="0" fontId="27" fillId="53" borderId="0" xfId="0" applyFont="1" applyFill="1" applyBorder="1" applyAlignment="1">
      <alignment horizontal="center" vertical="center" textRotation="90" wrapText="1"/>
    </xf>
    <xf numFmtId="0" fontId="26" fillId="53" borderId="0" xfId="0" applyFont="1" applyFill="1" applyBorder="1" applyAlignment="1">
      <alignment horizontal="center" vertical="center" textRotation="180" wrapText="1"/>
    </xf>
    <xf numFmtId="0" fontId="337" fillId="53" borderId="0" xfId="0" applyFont="1" applyFill="1" applyBorder="1" applyAlignment="1">
      <alignment horizontal="left" vertical="top" wrapText="1"/>
    </xf>
    <xf numFmtId="0" fontId="367" fillId="4" borderId="3" xfId="0" applyFont="1" applyFill="1" applyBorder="1" applyAlignment="1">
      <alignment horizontal="center" vertical="center"/>
    </xf>
    <xf numFmtId="0" fontId="367" fillId="4" borderId="13" xfId="0" applyFont="1" applyFill="1" applyBorder="1" applyAlignment="1">
      <alignment horizontal="center" vertical="center"/>
    </xf>
    <xf numFmtId="0" fontId="367" fillId="4" borderId="4" xfId="0" applyFont="1" applyFill="1" applyBorder="1" applyAlignment="1">
      <alignment horizontal="center" vertical="center"/>
    </xf>
    <xf numFmtId="0" fontId="283" fillId="7" borderId="0" xfId="0" applyFont="1" applyFill="1" applyBorder="1" applyAlignment="1">
      <alignment horizontal="left" wrapText="1"/>
    </xf>
    <xf numFmtId="0" fontId="283" fillId="7" borderId="222" xfId="0" applyFont="1" applyFill="1" applyBorder="1" applyAlignment="1">
      <alignment horizontal="left" wrapText="1"/>
    </xf>
    <xf numFmtId="0" fontId="283" fillId="7" borderId="219" xfId="0" applyFont="1" applyFill="1" applyBorder="1" applyAlignment="1">
      <alignment horizontal="left" wrapText="1"/>
    </xf>
    <xf numFmtId="0" fontId="283" fillId="7" borderId="225" xfId="0" applyFont="1" applyFill="1" applyBorder="1" applyAlignment="1">
      <alignment horizontal="left" wrapText="1"/>
    </xf>
    <xf numFmtId="0" fontId="283" fillId="31" borderId="224" xfId="0" applyFont="1" applyFill="1" applyBorder="1" applyAlignment="1">
      <alignment horizontal="right" wrapText="1"/>
    </xf>
    <xf numFmtId="0" fontId="283" fillId="31" borderId="0" xfId="0" applyFont="1" applyFill="1" applyBorder="1" applyAlignment="1">
      <alignment horizontal="right" wrapText="1"/>
    </xf>
    <xf numFmtId="0" fontId="283" fillId="31" borderId="228" xfId="0" applyFont="1" applyFill="1" applyBorder="1" applyAlignment="1">
      <alignment horizontal="right" wrapText="1"/>
    </xf>
    <xf numFmtId="0" fontId="283" fillId="31" borderId="132" xfId="0" applyFont="1" applyFill="1" applyBorder="1" applyAlignment="1">
      <alignment horizontal="right" wrapText="1"/>
    </xf>
    <xf numFmtId="0" fontId="462" fillId="31" borderId="6" xfId="0" applyFont="1" applyFill="1" applyBorder="1" applyAlignment="1">
      <alignment horizontal="center" vertical="center" wrapText="1"/>
    </xf>
    <xf numFmtId="0" fontId="462" fillId="31" borderId="0" xfId="0" applyFont="1" applyFill="1" applyBorder="1" applyAlignment="1">
      <alignment horizontal="center" vertical="center" wrapText="1"/>
    </xf>
    <xf numFmtId="0" fontId="22" fillId="53" borderId="0" xfId="0" applyFont="1" applyFill="1" applyBorder="1" applyAlignment="1">
      <alignment horizontal="center" vertical="center" wrapText="1"/>
    </xf>
    <xf numFmtId="0" fontId="261" fillId="53" borderId="0" xfId="0" applyFont="1" applyFill="1" applyBorder="1" applyAlignment="1">
      <alignment horizontal="center" vertical="top" wrapText="1"/>
    </xf>
    <xf numFmtId="0" fontId="280" fillId="53" borderId="0" xfId="4" applyFont="1" applyFill="1" applyBorder="1" applyAlignment="1">
      <alignment horizontal="left" vertical="top" wrapText="1"/>
    </xf>
    <xf numFmtId="0" fontId="5" fillId="4" borderId="232" xfId="0" applyFont="1" applyFill="1" applyBorder="1" applyAlignment="1">
      <alignment horizontal="center" vertical="center" wrapText="1"/>
    </xf>
    <xf numFmtId="0" fontId="5" fillId="4" borderId="233" xfId="0" applyFont="1" applyFill="1" applyBorder="1" applyAlignment="1">
      <alignment horizontal="center" vertical="center" wrapText="1"/>
    </xf>
    <xf numFmtId="0" fontId="5" fillId="4" borderId="234" xfId="0" applyFont="1" applyFill="1" applyBorder="1" applyAlignment="1">
      <alignment horizontal="center" vertical="center" wrapText="1"/>
    </xf>
    <xf numFmtId="0" fontId="9" fillId="9" borderId="0" xfId="0" applyFont="1" applyFill="1" applyBorder="1" applyAlignment="1">
      <alignment horizontal="center" vertical="top" shrinkToFit="1"/>
    </xf>
    <xf numFmtId="0" fontId="14" fillId="9" borderId="0" xfId="0" applyFont="1" applyFill="1" applyBorder="1" applyAlignment="1">
      <alignment horizontal="center"/>
    </xf>
    <xf numFmtId="14" fontId="30" fillId="4" borderId="256" xfId="0" applyNumberFormat="1" applyFont="1" applyFill="1" applyBorder="1" applyAlignment="1">
      <alignment horizontal="center" vertical="center"/>
    </xf>
    <xf numFmtId="14" fontId="30" fillId="4" borderId="257" xfId="0" applyNumberFormat="1" applyFont="1" applyFill="1" applyBorder="1" applyAlignment="1">
      <alignment horizontal="center" vertical="center"/>
    </xf>
    <xf numFmtId="14" fontId="30" fillId="4" borderId="254" xfId="0" applyNumberFormat="1" applyFont="1" applyFill="1" applyBorder="1" applyAlignment="1">
      <alignment horizontal="center" vertical="center"/>
    </xf>
    <xf numFmtId="14" fontId="30" fillId="4" borderId="255" xfId="0" applyNumberFormat="1" applyFont="1" applyFill="1" applyBorder="1" applyAlignment="1">
      <alignment horizontal="center" vertical="center"/>
    </xf>
    <xf numFmtId="0" fontId="30" fillId="4" borderId="256" xfId="0" applyFont="1" applyFill="1" applyBorder="1" applyAlignment="1">
      <alignment horizontal="center" vertical="center"/>
    </xf>
    <xf numFmtId="0" fontId="30" fillId="4" borderId="257" xfId="0" applyFont="1" applyFill="1" applyBorder="1" applyAlignment="1">
      <alignment horizontal="center" vertical="center"/>
    </xf>
    <xf numFmtId="0" fontId="30" fillId="27" borderId="22" xfId="0" applyFont="1" applyFill="1" applyBorder="1" applyAlignment="1">
      <alignment horizontal="center" vertical="center" shrinkToFit="1"/>
    </xf>
    <xf numFmtId="0" fontId="30" fillId="27" borderId="23" xfId="0" applyFont="1" applyFill="1" applyBorder="1" applyAlignment="1">
      <alignment horizontal="center" vertical="center" shrinkToFit="1"/>
    </xf>
    <xf numFmtId="166" fontId="30" fillId="27" borderId="21" xfId="5" applyNumberFormat="1" applyFont="1" applyFill="1" applyBorder="1" applyAlignment="1">
      <alignment horizontal="center" vertical="center" shrinkToFit="1"/>
    </xf>
    <xf numFmtId="166" fontId="30" fillId="27" borderId="23" xfId="5" applyNumberFormat="1" applyFont="1" applyFill="1" applyBorder="1" applyAlignment="1">
      <alignment horizontal="center" vertical="center" shrinkToFit="1"/>
    </xf>
    <xf numFmtId="0" fontId="234" fillId="9" borderId="175" xfId="0" applyFont="1" applyFill="1" applyBorder="1" applyAlignment="1">
      <alignment horizontal="left" vertical="center"/>
    </xf>
    <xf numFmtId="0" fontId="234" fillId="9" borderId="17" xfId="0" applyFont="1" applyFill="1" applyBorder="1" applyAlignment="1">
      <alignment horizontal="left" vertical="center"/>
    </xf>
    <xf numFmtId="0" fontId="36" fillId="4" borderId="13" xfId="0" applyFont="1" applyFill="1" applyBorder="1" applyAlignment="1">
      <alignment horizontal="center" vertical="center" shrinkToFit="1"/>
    </xf>
    <xf numFmtId="0" fontId="36" fillId="4" borderId="4" xfId="0" applyFont="1" applyFill="1" applyBorder="1" applyAlignment="1">
      <alignment horizontal="center" vertical="center" shrinkToFit="1"/>
    </xf>
    <xf numFmtId="0" fontId="89" fillId="4" borderId="21" xfId="0" applyFont="1" applyFill="1" applyBorder="1" applyAlignment="1">
      <alignment horizontal="left" vertical="center" indent="1" shrinkToFit="1"/>
    </xf>
    <xf numFmtId="0" fontId="89" fillId="4" borderId="22" xfId="0" applyFont="1" applyFill="1" applyBorder="1" applyAlignment="1">
      <alignment horizontal="left" vertical="center" indent="1" shrinkToFit="1"/>
    </xf>
    <xf numFmtId="0" fontId="89" fillId="4" borderId="23" xfId="0" applyFont="1" applyFill="1" applyBorder="1" applyAlignment="1">
      <alignment horizontal="left" vertical="center" indent="1" shrinkToFit="1"/>
    </xf>
    <xf numFmtId="44" fontId="186" fillId="27" borderId="21" xfId="5" applyFont="1" applyFill="1" applyBorder="1" applyAlignment="1">
      <alignment horizontal="right" vertical="center" shrinkToFit="1"/>
    </xf>
    <xf numFmtId="44" fontId="186" fillId="27" borderId="23" xfId="5" applyFont="1" applyFill="1" applyBorder="1" applyAlignment="1">
      <alignment horizontal="right" vertical="center" shrinkToFit="1"/>
    </xf>
    <xf numFmtId="0" fontId="368" fillId="14" borderId="0" xfId="0" applyFont="1" applyFill="1" applyBorder="1" applyAlignment="1">
      <alignment horizontal="center" vertical="center" wrapText="1"/>
    </xf>
    <xf numFmtId="0" fontId="233" fillId="53" borderId="0" xfId="0" applyFont="1" applyFill="1" applyBorder="1" applyAlignment="1">
      <alignment horizontal="left" vertical="top" wrapText="1"/>
    </xf>
    <xf numFmtId="0" fontId="382" fillId="56" borderId="0" xfId="0" applyFont="1" applyFill="1" applyBorder="1" applyAlignment="1">
      <alignment horizontal="center" vertical="center" wrapText="1"/>
    </xf>
    <xf numFmtId="0" fontId="233" fillId="9" borderId="248" xfId="0" applyFont="1" applyFill="1" applyBorder="1" applyAlignment="1">
      <alignment horizontal="left" vertical="top" wrapText="1"/>
    </xf>
    <xf numFmtId="167" fontId="186" fillId="27" borderId="258" xfId="5" applyNumberFormat="1" applyFont="1" applyFill="1" applyBorder="1" applyAlignment="1">
      <alignment horizontal="right" vertical="center" indent="3" shrinkToFit="1"/>
    </xf>
    <xf numFmtId="44" fontId="186" fillId="27" borderId="23" xfId="5" applyFont="1" applyFill="1" applyBorder="1" applyAlignment="1">
      <alignment horizontal="right" vertical="center" indent="3" shrinkToFit="1"/>
    </xf>
    <xf numFmtId="0" fontId="89" fillId="4" borderId="18" xfId="0" applyFont="1" applyFill="1" applyBorder="1" applyAlignment="1">
      <alignment horizontal="left" vertical="center" indent="1" shrinkToFit="1"/>
    </xf>
    <xf numFmtId="0" fontId="89" fillId="4" borderId="19" xfId="0" applyFont="1" applyFill="1" applyBorder="1" applyAlignment="1">
      <alignment horizontal="left" vertical="center" indent="1" shrinkToFit="1"/>
    </xf>
    <xf numFmtId="0" fontId="89" fillId="4" borderId="20" xfId="0" applyFont="1" applyFill="1" applyBorder="1" applyAlignment="1">
      <alignment horizontal="left" vertical="center" indent="1" shrinkToFit="1"/>
    </xf>
    <xf numFmtId="0" fontId="235" fillId="9" borderId="0" xfId="0" applyFont="1" applyFill="1" applyBorder="1" applyAlignment="1">
      <alignment horizontal="right" vertical="center"/>
    </xf>
    <xf numFmtId="44" fontId="186" fillId="27" borderId="14" xfId="5" applyFont="1" applyFill="1" applyBorder="1" applyAlignment="1">
      <alignment horizontal="right" vertical="center" shrinkToFit="1"/>
    </xf>
    <xf numFmtId="44" fontId="186" fillId="27" borderId="16" xfId="5" applyFont="1" applyFill="1" applyBorder="1" applyAlignment="1">
      <alignment horizontal="right" vertical="center" shrinkToFit="1"/>
    </xf>
    <xf numFmtId="44" fontId="186" fillId="4" borderId="3" xfId="5" applyFont="1" applyFill="1" applyBorder="1" applyAlignment="1">
      <alignment horizontal="right" vertical="center" shrinkToFit="1"/>
    </xf>
    <xf numFmtId="44" fontId="186" fillId="4" borderId="4" xfId="5" applyFont="1" applyFill="1" applyBorder="1" applyAlignment="1">
      <alignment horizontal="right" vertical="center" shrinkToFit="1"/>
    </xf>
    <xf numFmtId="44" fontId="186" fillId="27" borderId="18" xfId="5" applyFont="1" applyFill="1" applyBorder="1" applyAlignment="1">
      <alignment horizontal="right" vertical="center" shrinkToFit="1"/>
    </xf>
    <xf numFmtId="44" fontId="186" fillId="27" borderId="20" xfId="5" applyFont="1" applyFill="1" applyBorder="1" applyAlignment="1">
      <alignment horizontal="right" vertical="center" shrinkToFit="1"/>
    </xf>
    <xf numFmtId="0" fontId="234" fillId="9" borderId="272" xfId="0" applyFont="1" applyFill="1" applyBorder="1" applyAlignment="1">
      <alignment horizontal="left" vertical="top" wrapText="1"/>
    </xf>
    <xf numFmtId="0" fontId="234" fillId="9" borderId="273" xfId="0" applyFont="1" applyFill="1" applyBorder="1" applyAlignment="1">
      <alignment horizontal="left" vertical="top" wrapText="1"/>
    </xf>
    <xf numFmtId="0" fontId="451" fillId="9" borderId="267" xfId="0" applyFont="1" applyFill="1" applyBorder="1" applyAlignment="1">
      <alignment horizontal="center" vertical="center"/>
    </xf>
    <xf numFmtId="0" fontId="451" fillId="9" borderId="268" xfId="0" applyFont="1" applyFill="1" applyBorder="1" applyAlignment="1">
      <alignment horizontal="center" vertical="center"/>
    </xf>
    <xf numFmtId="0" fontId="234" fillId="9" borderId="269" xfId="0" applyFont="1" applyFill="1" applyBorder="1" applyAlignment="1">
      <alignment horizontal="left" vertical="top" wrapText="1"/>
    </xf>
    <xf numFmtId="0" fontId="234" fillId="9" borderId="270" xfId="0" applyFont="1" applyFill="1" applyBorder="1" applyAlignment="1">
      <alignment horizontal="left" vertical="top" wrapText="1"/>
    </xf>
    <xf numFmtId="0" fontId="234" fillId="9" borderId="271" xfId="0" applyFont="1" applyFill="1" applyBorder="1" applyAlignment="1">
      <alignment horizontal="left" vertical="top" wrapText="1"/>
    </xf>
    <xf numFmtId="0" fontId="233" fillId="27" borderId="179" xfId="0" applyFont="1" applyFill="1" applyBorder="1" applyAlignment="1">
      <alignment horizontal="left" vertical="top" wrapText="1" indent="2"/>
    </xf>
    <xf numFmtId="0" fontId="233" fillId="27" borderId="0" xfId="0" applyFont="1" applyFill="1" applyBorder="1" applyAlignment="1">
      <alignment horizontal="left" vertical="top" wrapText="1" indent="2"/>
    </xf>
    <xf numFmtId="0" fontId="233" fillId="27" borderId="252" xfId="0" applyFont="1" applyFill="1" applyBorder="1" applyAlignment="1">
      <alignment horizontal="left" vertical="top" wrapText="1" indent="2"/>
    </xf>
    <xf numFmtId="0" fontId="233" fillId="27" borderId="230" xfId="0" applyFont="1" applyFill="1" applyBorder="1" applyAlignment="1">
      <alignment horizontal="left" vertical="top" wrapText="1" indent="2"/>
    </xf>
    <xf numFmtId="44" fontId="186" fillId="4" borderId="3" xfId="5" applyFont="1" applyFill="1" applyBorder="1" applyAlignment="1">
      <alignment horizontal="center" vertical="center" shrinkToFit="1"/>
    </xf>
    <xf numFmtId="44" fontId="186" fillId="4" borderId="4" xfId="5" applyFont="1" applyFill="1" applyBorder="1" applyAlignment="1">
      <alignment horizontal="center" vertical="center" shrinkToFit="1"/>
    </xf>
    <xf numFmtId="0" fontId="234" fillId="51" borderId="262" xfId="0" applyFont="1" applyFill="1" applyBorder="1" applyAlignment="1">
      <alignment horizontal="left" vertical="top" wrapText="1" indent="2"/>
    </xf>
    <xf numFmtId="0" fontId="234" fillId="51" borderId="0" xfId="0" applyFont="1" applyFill="1" applyBorder="1" applyAlignment="1">
      <alignment horizontal="left" vertical="top" wrapText="1" indent="2"/>
    </xf>
    <xf numFmtId="0" fontId="234" fillId="51" borderId="263" xfId="0" applyFont="1" applyFill="1" applyBorder="1" applyAlignment="1">
      <alignment horizontal="left" vertical="top" wrapText="1" indent="2"/>
    </xf>
    <xf numFmtId="0" fontId="474" fillId="32" borderId="159" xfId="0" applyFont="1" applyFill="1" applyBorder="1" applyAlignment="1">
      <alignment horizontal="center" vertical="center" wrapText="1"/>
    </xf>
    <xf numFmtId="0" fontId="474" fillId="32" borderId="0" xfId="0" applyFont="1" applyFill="1" applyBorder="1" applyAlignment="1">
      <alignment horizontal="center" vertical="center" wrapText="1"/>
    </xf>
    <xf numFmtId="0" fontId="474" fillId="32" borderId="158" xfId="0" applyFont="1" applyFill="1" applyBorder="1" applyAlignment="1">
      <alignment horizontal="center" vertical="center" wrapText="1"/>
    </xf>
  </cellXfs>
  <cellStyles count="6">
    <cellStyle name="Bad" xfId="3" builtinId="27"/>
    <cellStyle name="Currency" xfId="5" builtinId="4"/>
    <cellStyle name="Hyperlink" xfId="4" builtinId="8"/>
    <cellStyle name="Normal" xfId="0" builtinId="0"/>
    <cellStyle name="Normal 2" xfId="2" xr:uid="{00000000-0005-0000-0000-000003000000}"/>
    <cellStyle name="Percent" xfId="1" builtinId="5"/>
  </cellStyles>
  <dxfs count="128">
    <dxf>
      <font>
        <color rgb="FF780091"/>
      </font>
      <fill>
        <gradientFill degree="90">
          <stop position="0">
            <color rgb="FFFFE1FF"/>
          </stop>
          <stop position="1">
            <color rgb="FFFFCCFF"/>
          </stop>
        </gradientFill>
      </fill>
      <border>
        <vertical/>
        <horizontal/>
      </border>
    </dxf>
    <dxf>
      <font>
        <color theme="1" tint="0.499984740745262"/>
      </font>
    </dxf>
    <dxf>
      <font>
        <color theme="1" tint="0.499984740745262"/>
      </font>
    </dxf>
    <dxf>
      <font>
        <color theme="1" tint="0.499984740745262"/>
      </font>
    </dxf>
    <dxf>
      <font>
        <color theme="1" tint="0.499984740745262"/>
      </font>
    </dxf>
    <dxf>
      <font>
        <color theme="1" tint="0.499984740745262"/>
      </font>
    </dxf>
    <dxf>
      <font>
        <color theme="0" tint="-0.499984740745262"/>
      </font>
    </dxf>
    <dxf>
      <font>
        <b/>
        <i val="0"/>
      </font>
    </dxf>
    <dxf>
      <font>
        <color theme="0" tint="-0.499984740745262"/>
      </font>
    </dxf>
    <dxf>
      <font>
        <b/>
        <i val="0"/>
      </font>
    </dxf>
    <dxf>
      <font>
        <color theme="0" tint="-0.499984740745262"/>
      </font>
    </dxf>
    <dxf>
      <font>
        <b/>
        <i val="0"/>
      </font>
    </dxf>
    <dxf>
      <font>
        <color theme="0" tint="-0.499984740745262"/>
      </font>
    </dxf>
    <dxf>
      <font>
        <b/>
        <i val="0"/>
      </font>
    </dxf>
    <dxf>
      <font>
        <color theme="0" tint="-0.499984740745262"/>
      </font>
    </dxf>
    <dxf>
      <font>
        <b/>
        <i val="0"/>
      </font>
    </dxf>
    <dxf>
      <font>
        <color rgb="FF7030A0"/>
      </font>
    </dxf>
    <dxf>
      <font>
        <color theme="1" tint="0.499984740745262"/>
      </font>
    </dxf>
    <dxf>
      <fill>
        <patternFill>
          <bgColor theme="7" tint="0.79998168889431442"/>
        </patternFill>
      </fill>
      <border>
        <left style="thin">
          <color rgb="FF00823C"/>
        </left>
        <right style="thin">
          <color rgb="FF00823C"/>
        </right>
        <bottom style="thin">
          <color rgb="FF00823C"/>
        </bottom>
        <vertical/>
        <horizontal/>
      </border>
    </dxf>
    <dxf>
      <font>
        <color rgb="FF00823C"/>
      </font>
    </dxf>
    <dxf>
      <fill>
        <patternFill>
          <bgColor theme="7" tint="0.79998168889431442"/>
        </patternFill>
      </fill>
      <border>
        <left style="thin">
          <color rgb="FF00823C"/>
        </left>
        <right style="thin">
          <color rgb="FF00823C"/>
        </right>
        <top style="thin">
          <color rgb="FF00823C"/>
        </top>
        <vertical/>
        <horizontal/>
      </border>
    </dxf>
    <dxf>
      <font>
        <color theme="1" tint="0.499984740745262"/>
      </font>
    </dxf>
    <dxf>
      <font>
        <color theme="1" tint="0.499984740745262"/>
      </font>
    </dxf>
    <dxf>
      <font>
        <color theme="1" tint="0.499984740745262"/>
      </font>
    </dxf>
    <dxf>
      <font>
        <color rgb="FF00823C"/>
      </font>
    </dxf>
    <dxf>
      <font>
        <color rgb="FF00823C"/>
      </font>
    </dxf>
    <dxf>
      <font>
        <color rgb="FFFFFF00"/>
      </font>
    </dxf>
    <dxf>
      <font>
        <color rgb="FF9C0006"/>
      </font>
    </dxf>
    <dxf>
      <font>
        <color theme="0" tint="-0.34998626667073579"/>
      </font>
    </dxf>
    <dxf>
      <font>
        <color theme="0" tint="-0.34998626667073579"/>
      </font>
    </dxf>
    <dxf>
      <font>
        <color theme="0" tint="-0.34998626667073579"/>
      </font>
    </dxf>
    <dxf>
      <font>
        <color theme="0" tint="-0.34998626667073579"/>
      </font>
    </dxf>
    <dxf>
      <font>
        <color theme="0" tint="-0.34998626667073579"/>
      </font>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70C0"/>
      </font>
      <fill>
        <patternFill patternType="mediumGray">
          <fgColor theme="8" tint="0.79998168889431442"/>
          <bgColor auto="1"/>
        </patternFill>
      </fill>
      <border>
        <left style="thin">
          <color rgb="FF002060"/>
        </left>
        <right style="thin">
          <color rgb="FF002060"/>
        </right>
        <top style="thin">
          <color rgb="FF002060"/>
        </top>
        <bottom style="thin">
          <color rgb="FF002060"/>
        </bottom>
      </border>
    </dxf>
    <dxf>
      <font>
        <color rgb="FFC00000"/>
      </font>
      <fill>
        <patternFill patternType="mediumGray">
          <fgColor rgb="FFFFCCCC"/>
        </patternFill>
      </fill>
      <border>
        <left style="thin">
          <color rgb="FF780000"/>
        </left>
        <right style="thin">
          <color rgb="FF780000"/>
        </right>
        <top style="thin">
          <color rgb="FF780000"/>
        </top>
        <bottom style="thin">
          <color rgb="FF780000"/>
        </bottom>
      </border>
    </dxf>
    <dxf>
      <font>
        <color rgb="FF0070C0"/>
      </font>
      <fill>
        <patternFill patternType="mediumGray">
          <fgColor theme="8" tint="0.79998168889431442"/>
          <bgColor auto="1"/>
        </patternFill>
      </fill>
    </dxf>
    <dxf>
      <font>
        <color rgb="FFC00000"/>
      </font>
      <fill>
        <patternFill patternType="mediumGray">
          <fgColor rgb="FFFFCCCC"/>
        </patternFill>
      </fill>
    </dxf>
    <dxf>
      <font>
        <b/>
        <i/>
        <color theme="1" tint="0.499984740745262"/>
      </font>
    </dxf>
    <dxf>
      <fill>
        <patternFill>
          <bgColor theme="1"/>
        </patternFill>
      </fill>
    </dxf>
    <dxf>
      <fill>
        <patternFill>
          <bgColor theme="1"/>
        </patternFill>
      </fill>
    </dxf>
    <dxf>
      <fill>
        <patternFill>
          <bgColor theme="9" tint="-0.24994659260841701"/>
        </patternFill>
      </fill>
    </dxf>
    <dxf>
      <fill>
        <patternFill>
          <bgColor rgb="FF007846"/>
        </patternFill>
      </fill>
    </dxf>
    <dxf>
      <fill>
        <patternFill>
          <bgColor theme="9" tint="-0.24994659260841701"/>
        </patternFill>
      </fill>
    </dxf>
    <dxf>
      <fill>
        <patternFill>
          <bgColor rgb="FF007846"/>
        </patternFill>
      </fill>
    </dxf>
    <dxf>
      <font>
        <color theme="0"/>
      </font>
    </dxf>
    <dxf>
      <font>
        <b/>
        <i val="0"/>
        <color rgb="FF009641"/>
      </font>
      <border>
        <left style="thin">
          <color rgb="FF009641"/>
        </left>
        <right style="thin">
          <color rgb="FF009641"/>
        </right>
        <top style="thin">
          <color rgb="FF009641"/>
        </top>
        <bottom style="thin">
          <color rgb="FF009641"/>
        </bottom>
      </border>
    </dxf>
    <dxf>
      <font>
        <b/>
        <i val="0"/>
      </font>
    </dxf>
    <dxf>
      <font>
        <b/>
        <i val="0"/>
        <color rgb="FF660066"/>
      </font>
      <fill>
        <patternFill>
          <bgColor theme="9" tint="0.79998168889431442"/>
        </patternFill>
      </fill>
    </dxf>
    <dxf>
      <font>
        <b/>
        <i val="0"/>
        <color rgb="FF7030A0"/>
      </font>
    </dxf>
    <dxf>
      <font>
        <b/>
        <i val="0"/>
        <color rgb="FF7030A0"/>
      </font>
    </dxf>
    <dxf>
      <font>
        <b/>
        <i val="0"/>
        <color rgb="FF7030A0"/>
      </font>
    </dxf>
    <dxf>
      <font>
        <b/>
        <i val="0"/>
        <strike val="0"/>
        <color theme="0" tint="-0.499984740745262"/>
      </font>
      <border>
        <left style="thin">
          <color rgb="FF7030A0"/>
        </left>
        <right style="thin">
          <color rgb="FF7030A0"/>
        </right>
        <top style="thin">
          <color rgb="FF7030A0"/>
        </top>
        <bottom style="thin">
          <color rgb="FF7030A0"/>
        </bottom>
        <vertical/>
        <horizontal/>
      </border>
    </dxf>
    <dxf>
      <font>
        <color theme="7" tint="0.79998168889431442"/>
      </font>
      <fill>
        <patternFill>
          <bgColor theme="9" tint="-0.499984740745262"/>
        </patternFill>
      </fill>
    </dxf>
    <dxf>
      <font>
        <color theme="7" tint="0.79998168889431442"/>
      </font>
      <fill>
        <patternFill>
          <bgColor rgb="FF660066"/>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ont>
        <color rgb="FFD2FFE6"/>
      </font>
      <fill>
        <patternFill>
          <bgColor rgb="FF007846"/>
        </patternFill>
      </fill>
    </dxf>
    <dxf>
      <font>
        <b/>
        <i val="0"/>
        <color theme="1" tint="0.499984740745262"/>
      </font>
    </dxf>
    <dxf>
      <font>
        <color theme="1" tint="0.499984740745262"/>
      </font>
    </dxf>
    <dxf>
      <font>
        <strike val="0"/>
        <color theme="7" tint="0.79998168889431442"/>
      </font>
      <fill>
        <patternFill>
          <fgColor auto="1"/>
          <bgColor theme="1"/>
        </patternFill>
      </fill>
    </dxf>
    <dxf>
      <font>
        <strike val="0"/>
        <color theme="7" tint="0.79998168889431442"/>
      </font>
      <fill>
        <patternFill>
          <fgColor auto="1"/>
          <bgColor theme="1"/>
        </patternFill>
      </fill>
    </dxf>
    <dxf>
      <font>
        <strike val="0"/>
        <color theme="7" tint="0.79998168889431442"/>
      </font>
      <fill>
        <patternFill>
          <bgColor theme="1"/>
        </patternFill>
      </fill>
    </dxf>
    <dxf>
      <font>
        <b/>
        <i val="0"/>
        <strike val="0"/>
        <color theme="0" tint="-0.499984740745262"/>
      </font>
      <border>
        <left style="thin">
          <color rgb="FF7030A0"/>
        </left>
        <right style="thin">
          <color rgb="FF7030A0"/>
        </right>
        <top style="thin">
          <color rgb="FF7030A0"/>
        </top>
        <bottom style="thin">
          <color rgb="FF7030A0"/>
        </bottom>
        <vertical/>
        <horizontal/>
      </border>
    </dxf>
    <dxf>
      <font>
        <color theme="7" tint="0.79998168889431442"/>
      </font>
      <fill>
        <patternFill>
          <bgColor theme="1"/>
        </patternFill>
      </fill>
      <border>
        <left/>
        <right/>
        <top style="thin">
          <color theme="7" tint="-0.24994659260841701"/>
        </top>
        <bottom/>
      </border>
    </dxf>
  </dxfs>
  <tableStyles count="0" defaultTableStyle="TableStyleMedium2" defaultPivotStyle="PivotStyleLight16"/>
  <colors>
    <mruColors>
      <color rgb="FF780091"/>
      <color rgb="FFA5FFC8"/>
      <color rgb="FFFF99FF"/>
      <color rgb="FFCC00CC"/>
      <color rgb="FF005A28"/>
      <color rgb="FF99FF99"/>
      <color rgb="FFCCFFCC"/>
      <color rgb="FFD2FFE6"/>
      <color rgb="FFFFCCFF"/>
      <color rgb="FF00823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hyperlink" Target="#HP!A1425:N1515"/><Relationship Id="rId3" Type="http://schemas.openxmlformats.org/officeDocument/2006/relationships/image" Target="../media/image3.png"/><Relationship Id="rId7" Type="http://schemas.openxmlformats.org/officeDocument/2006/relationships/hyperlink" Target="#HP!A1331:N1424"/><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hyperlink" Target="#HP!A1238:N1330"/><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6.png"/><Relationship Id="rId18" Type="http://schemas.openxmlformats.org/officeDocument/2006/relationships/image" Target="../media/image20.png"/><Relationship Id="rId26" Type="http://schemas.openxmlformats.org/officeDocument/2006/relationships/hyperlink" Target="#clients!A23:N53"/><Relationship Id="rId39" Type="http://schemas.openxmlformats.org/officeDocument/2006/relationships/image" Target="../media/image37.png"/><Relationship Id="rId3" Type="http://schemas.openxmlformats.org/officeDocument/2006/relationships/image" Target="../media/image6.png"/><Relationship Id="rId21" Type="http://schemas.openxmlformats.org/officeDocument/2006/relationships/image" Target="../media/image23.png"/><Relationship Id="rId34" Type="http://schemas.openxmlformats.org/officeDocument/2006/relationships/image" Target="../media/image33.jpeg"/><Relationship Id="rId42" Type="http://schemas.openxmlformats.org/officeDocument/2006/relationships/hyperlink" Target="https://www.valuerelating.com/about" TargetMode="External"/><Relationship Id="rId47" Type="http://schemas.openxmlformats.org/officeDocument/2006/relationships/image" Target="../media/image43.png"/><Relationship Id="rId50" Type="http://schemas.openxmlformats.org/officeDocument/2006/relationships/hyperlink" Target="https://youtu.be/vBAlAlQd6VY" TargetMode="External"/><Relationship Id="rId7" Type="http://schemas.openxmlformats.org/officeDocument/2006/relationships/image" Target="../media/image10.png"/><Relationship Id="rId12" Type="http://schemas.openxmlformats.org/officeDocument/2006/relationships/image" Target="../media/image15.png"/><Relationship Id="rId17" Type="http://schemas.openxmlformats.org/officeDocument/2006/relationships/hyperlink" Target="#clients!A54:N88"/><Relationship Id="rId25" Type="http://schemas.microsoft.com/office/2007/relationships/hdphoto" Target="../media/hdphoto1.wdp"/><Relationship Id="rId33" Type="http://schemas.openxmlformats.org/officeDocument/2006/relationships/image" Target="../media/image32.jpeg"/><Relationship Id="rId38" Type="http://schemas.openxmlformats.org/officeDocument/2006/relationships/image" Target="../media/image36.png"/><Relationship Id="rId46" Type="http://schemas.openxmlformats.org/officeDocument/2006/relationships/image" Target="../media/image42.png"/><Relationship Id="rId2" Type="http://schemas.openxmlformats.org/officeDocument/2006/relationships/hyperlink" Target="#HP!A1:N1"/><Relationship Id="rId16" Type="http://schemas.openxmlformats.org/officeDocument/2006/relationships/image" Target="../media/image19.png"/><Relationship Id="rId20" Type="http://schemas.openxmlformats.org/officeDocument/2006/relationships/image" Target="../media/image22.png"/><Relationship Id="rId29" Type="http://schemas.openxmlformats.org/officeDocument/2006/relationships/image" Target="../media/image28.png"/><Relationship Id="rId41" Type="http://schemas.openxmlformats.org/officeDocument/2006/relationships/image" Target="../media/image39.png"/><Relationship Id="rId1" Type="http://schemas.openxmlformats.org/officeDocument/2006/relationships/image" Target="../media/image2.png"/><Relationship Id="rId6" Type="http://schemas.openxmlformats.org/officeDocument/2006/relationships/image" Target="../media/image9.png"/><Relationship Id="rId11" Type="http://schemas.openxmlformats.org/officeDocument/2006/relationships/image" Target="../media/image14.png"/><Relationship Id="rId24" Type="http://schemas.openxmlformats.org/officeDocument/2006/relationships/image" Target="../media/image26.png"/><Relationship Id="rId32" Type="http://schemas.openxmlformats.org/officeDocument/2006/relationships/image" Target="../media/image31.jpeg"/><Relationship Id="rId37" Type="http://schemas.openxmlformats.org/officeDocument/2006/relationships/hyperlink" Target="https://www.valuerelating.com" TargetMode="External"/><Relationship Id="rId40" Type="http://schemas.openxmlformats.org/officeDocument/2006/relationships/image" Target="../media/image38.png"/><Relationship Id="rId45" Type="http://schemas.openxmlformats.org/officeDocument/2006/relationships/image" Target="../media/image41.png"/><Relationship Id="rId5" Type="http://schemas.openxmlformats.org/officeDocument/2006/relationships/image" Target="../media/image8.png"/><Relationship Id="rId15" Type="http://schemas.openxmlformats.org/officeDocument/2006/relationships/image" Target="../media/image18.png"/><Relationship Id="rId23" Type="http://schemas.openxmlformats.org/officeDocument/2006/relationships/image" Target="../media/image25.jpeg"/><Relationship Id="rId28" Type="http://schemas.openxmlformats.org/officeDocument/2006/relationships/image" Target="../media/image27.png"/><Relationship Id="rId36" Type="http://schemas.openxmlformats.org/officeDocument/2006/relationships/image" Target="../media/image35.jpeg"/><Relationship Id="rId49" Type="http://schemas.openxmlformats.org/officeDocument/2006/relationships/hyperlink" Target="https://www.valuerelating.com/sttp-hp" TargetMode="External"/><Relationship Id="rId10" Type="http://schemas.openxmlformats.org/officeDocument/2006/relationships/image" Target="../media/image13.png"/><Relationship Id="rId19" Type="http://schemas.openxmlformats.org/officeDocument/2006/relationships/image" Target="../media/image21.png"/><Relationship Id="rId31" Type="http://schemas.openxmlformats.org/officeDocument/2006/relationships/image" Target="../media/image30.jpeg"/><Relationship Id="rId44" Type="http://schemas.openxmlformats.org/officeDocument/2006/relationships/hyperlink" Target="https://www.valuerelating.com/anankelogy" TargetMode="External"/><Relationship Id="rId52" Type="http://schemas.openxmlformats.org/officeDocument/2006/relationships/hyperlink" Target="#clients!A89:N89"/><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 Id="rId22" Type="http://schemas.openxmlformats.org/officeDocument/2006/relationships/image" Target="../media/image24.png"/><Relationship Id="rId27" Type="http://schemas.openxmlformats.org/officeDocument/2006/relationships/hyperlink" Target="#HP!A1:N5"/><Relationship Id="rId30" Type="http://schemas.openxmlformats.org/officeDocument/2006/relationships/image" Target="../media/image29.png"/><Relationship Id="rId35" Type="http://schemas.openxmlformats.org/officeDocument/2006/relationships/image" Target="../media/image34.jpeg"/><Relationship Id="rId43" Type="http://schemas.openxmlformats.org/officeDocument/2006/relationships/image" Target="../media/image40.jpeg"/><Relationship Id="rId48" Type="http://schemas.openxmlformats.org/officeDocument/2006/relationships/hyperlink" Target="https://www.valuerelating.com/sttp-4s" TargetMode="External"/><Relationship Id="rId8" Type="http://schemas.openxmlformats.org/officeDocument/2006/relationships/image" Target="../media/image11.png"/><Relationship Id="rId51" Type="http://schemas.openxmlformats.org/officeDocument/2006/relationships/image" Target="../media/image44.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31.jpeg"/><Relationship Id="rId18" Type="http://schemas.openxmlformats.org/officeDocument/2006/relationships/hyperlink" Target="https://www.valuerelating.com" TargetMode="External"/><Relationship Id="rId26" Type="http://schemas.microsoft.com/office/2007/relationships/hdphoto" Target="../media/hdphoto1.wdp"/><Relationship Id="rId39" Type="http://schemas.openxmlformats.org/officeDocument/2006/relationships/image" Target="../media/image57.png"/><Relationship Id="rId21" Type="http://schemas.openxmlformats.org/officeDocument/2006/relationships/hyperlink" Target="https://www.valuerelating.com/anankelogy" TargetMode="External"/><Relationship Id="rId34" Type="http://schemas.openxmlformats.org/officeDocument/2006/relationships/image" Target="../media/image52.png"/><Relationship Id="rId42" Type="http://schemas.openxmlformats.org/officeDocument/2006/relationships/image" Target="../media/image59.png"/><Relationship Id="rId47" Type="http://schemas.openxmlformats.org/officeDocument/2006/relationships/image" Target="../media/image63.png"/><Relationship Id="rId50" Type="http://schemas.openxmlformats.org/officeDocument/2006/relationships/image" Target="../media/image9.png"/><Relationship Id="rId55" Type="http://schemas.openxmlformats.org/officeDocument/2006/relationships/hyperlink" Target="https://www.valuerelating.com/plans-pricing-1" TargetMode="External"/><Relationship Id="rId7" Type="http://schemas.openxmlformats.org/officeDocument/2006/relationships/image" Target="../media/image12.png"/><Relationship Id="rId12" Type="http://schemas.openxmlformats.org/officeDocument/2006/relationships/image" Target="../media/image30.jpeg"/><Relationship Id="rId17" Type="http://schemas.openxmlformats.org/officeDocument/2006/relationships/image" Target="../media/image35.jpeg"/><Relationship Id="rId25" Type="http://schemas.openxmlformats.org/officeDocument/2006/relationships/image" Target="../media/image26.png"/><Relationship Id="rId33" Type="http://schemas.openxmlformats.org/officeDocument/2006/relationships/image" Target="../media/image51.png"/><Relationship Id="rId38" Type="http://schemas.openxmlformats.org/officeDocument/2006/relationships/image" Target="../media/image56.png"/><Relationship Id="rId46" Type="http://schemas.openxmlformats.org/officeDocument/2006/relationships/image" Target="../media/image62.png"/><Relationship Id="rId2" Type="http://schemas.openxmlformats.org/officeDocument/2006/relationships/hyperlink" Target="#HP!A1:N1"/><Relationship Id="rId16" Type="http://schemas.openxmlformats.org/officeDocument/2006/relationships/image" Target="../media/image34.jpeg"/><Relationship Id="rId20" Type="http://schemas.openxmlformats.org/officeDocument/2006/relationships/image" Target="../media/image40.jpeg"/><Relationship Id="rId29" Type="http://schemas.openxmlformats.org/officeDocument/2006/relationships/hyperlink" Target="https://www.valuerelating.com/ipm" TargetMode="External"/><Relationship Id="rId41" Type="http://schemas.openxmlformats.org/officeDocument/2006/relationships/image" Target="../media/image58.png"/><Relationship Id="rId54" Type="http://schemas.openxmlformats.org/officeDocument/2006/relationships/image" Target="../media/image66.png"/><Relationship Id="rId1" Type="http://schemas.openxmlformats.org/officeDocument/2006/relationships/image" Target="../media/image2.png"/><Relationship Id="rId6" Type="http://schemas.openxmlformats.org/officeDocument/2006/relationships/image" Target="../media/image11.png"/><Relationship Id="rId11" Type="http://schemas.openxmlformats.org/officeDocument/2006/relationships/hyperlink" Target="#HP!A1:N5"/><Relationship Id="rId24" Type="http://schemas.openxmlformats.org/officeDocument/2006/relationships/hyperlink" Target="https://www.valuerelating.com/contact" TargetMode="External"/><Relationship Id="rId32" Type="http://schemas.openxmlformats.org/officeDocument/2006/relationships/image" Target="../media/image50.png"/><Relationship Id="rId37" Type="http://schemas.openxmlformats.org/officeDocument/2006/relationships/image" Target="../media/image55.png"/><Relationship Id="rId40" Type="http://schemas.microsoft.com/office/2007/relationships/hdphoto" Target="../media/hdphoto2.wdp"/><Relationship Id="rId45" Type="http://schemas.openxmlformats.org/officeDocument/2006/relationships/image" Target="../media/image61.png"/><Relationship Id="rId53" Type="http://schemas.openxmlformats.org/officeDocument/2006/relationships/image" Target="../media/image65.png"/><Relationship Id="rId58" Type="http://schemas.microsoft.com/office/2007/relationships/hdphoto" Target="../media/hdphoto4.wdp"/><Relationship Id="rId5" Type="http://schemas.openxmlformats.org/officeDocument/2006/relationships/image" Target="../media/image7.png"/><Relationship Id="rId15" Type="http://schemas.openxmlformats.org/officeDocument/2006/relationships/image" Target="../media/image33.jpeg"/><Relationship Id="rId23" Type="http://schemas.openxmlformats.org/officeDocument/2006/relationships/hyperlink" Target="#advocacy!A90:N90"/><Relationship Id="rId28" Type="http://schemas.openxmlformats.org/officeDocument/2006/relationships/image" Target="../media/image47.png"/><Relationship Id="rId36" Type="http://schemas.openxmlformats.org/officeDocument/2006/relationships/image" Target="../media/image54.png"/><Relationship Id="rId49" Type="http://schemas.openxmlformats.org/officeDocument/2006/relationships/image" Target="../media/image8.png"/><Relationship Id="rId57" Type="http://schemas.openxmlformats.org/officeDocument/2006/relationships/image" Target="../media/image68.png"/><Relationship Id="rId10" Type="http://schemas.openxmlformats.org/officeDocument/2006/relationships/hyperlink" Target="#advocacy!A23:N54"/><Relationship Id="rId19" Type="http://schemas.openxmlformats.org/officeDocument/2006/relationships/hyperlink" Target="https://www.valuerelating.com/about" TargetMode="External"/><Relationship Id="rId31" Type="http://schemas.openxmlformats.org/officeDocument/2006/relationships/image" Target="../media/image49.png"/><Relationship Id="rId44" Type="http://schemas.microsoft.com/office/2007/relationships/hdphoto" Target="../media/hdphoto3.wdp"/><Relationship Id="rId52" Type="http://schemas.openxmlformats.org/officeDocument/2006/relationships/image" Target="../media/image43.png"/><Relationship Id="rId4" Type="http://schemas.openxmlformats.org/officeDocument/2006/relationships/image" Target="../media/image6.png"/><Relationship Id="rId9" Type="http://schemas.openxmlformats.org/officeDocument/2006/relationships/image" Target="../media/image14.png"/><Relationship Id="rId14" Type="http://schemas.openxmlformats.org/officeDocument/2006/relationships/image" Target="../media/image32.jpeg"/><Relationship Id="rId22" Type="http://schemas.openxmlformats.org/officeDocument/2006/relationships/image" Target="../media/image41.png"/><Relationship Id="rId27" Type="http://schemas.openxmlformats.org/officeDocument/2006/relationships/image" Target="../media/image46.png"/><Relationship Id="rId30" Type="http://schemas.openxmlformats.org/officeDocument/2006/relationships/image" Target="../media/image48.jpeg"/><Relationship Id="rId35" Type="http://schemas.openxmlformats.org/officeDocument/2006/relationships/image" Target="../media/image53.png"/><Relationship Id="rId43" Type="http://schemas.openxmlformats.org/officeDocument/2006/relationships/image" Target="../media/image60.png"/><Relationship Id="rId48" Type="http://schemas.openxmlformats.org/officeDocument/2006/relationships/image" Target="../media/image64.jpg"/><Relationship Id="rId56" Type="http://schemas.openxmlformats.org/officeDocument/2006/relationships/image" Target="../media/image67.png"/><Relationship Id="rId8" Type="http://schemas.openxmlformats.org/officeDocument/2006/relationships/image" Target="../media/image45.png"/><Relationship Id="rId51" Type="http://schemas.openxmlformats.org/officeDocument/2006/relationships/image" Target="../media/image42.png"/><Relationship Id="rId3" Type="http://schemas.openxmlformats.org/officeDocument/2006/relationships/hyperlink" Target="#advocacy!A1235"/></Relationships>
</file>

<file path=xl/drawings/_rels/vmlDrawing3.vml.rels><?xml version="1.0" encoding="UTF-8" standalone="yes"?>
<Relationships xmlns="http://schemas.openxmlformats.org/package/2006/relationships"><Relationship Id="rId1" Type="http://schemas.openxmlformats.org/officeDocument/2006/relationships/image" Target="../media/image69.png"/></Relationships>
</file>

<file path=xl/drawings/drawing1.xml><?xml version="1.0" encoding="utf-8"?>
<xdr:wsDr xmlns:xdr="http://schemas.openxmlformats.org/drawingml/2006/spreadsheetDrawing" xmlns:a="http://schemas.openxmlformats.org/drawingml/2006/main">
  <xdr:twoCellAnchor>
    <xdr:from>
      <xdr:col>1</xdr:col>
      <xdr:colOff>15240</xdr:colOff>
      <xdr:row>653</xdr:row>
      <xdr:rowOff>83840</xdr:rowOff>
    </xdr:from>
    <xdr:to>
      <xdr:col>12</xdr:col>
      <xdr:colOff>480060</xdr:colOff>
      <xdr:row>692</xdr:row>
      <xdr:rowOff>60968</xdr:rowOff>
    </xdr:to>
    <xdr:grpSp>
      <xdr:nvGrpSpPr>
        <xdr:cNvPr id="33" name="Group 32">
          <a:extLst>
            <a:ext uri="{FF2B5EF4-FFF2-40B4-BE49-F238E27FC236}">
              <a16:creationId xmlns:a16="http://schemas.microsoft.com/office/drawing/2014/main" id="{00000000-0008-0000-0200-000021000000}"/>
            </a:ext>
          </a:extLst>
        </xdr:cNvPr>
        <xdr:cNvGrpSpPr/>
      </xdr:nvGrpSpPr>
      <xdr:grpSpPr>
        <a:xfrm>
          <a:off x="129540" y="128633240"/>
          <a:ext cx="5996940" cy="6911328"/>
          <a:chOff x="76200" y="102595681"/>
          <a:chExt cx="5913120" cy="6951626"/>
        </a:xfrm>
      </xdr:grpSpPr>
      <xdr:grpSp>
        <xdr:nvGrpSpPr>
          <xdr:cNvPr id="882" name="Group 881">
            <a:extLst>
              <a:ext uri="{FF2B5EF4-FFF2-40B4-BE49-F238E27FC236}">
                <a16:creationId xmlns:a16="http://schemas.microsoft.com/office/drawing/2014/main" id="{00000000-0008-0000-0200-000072030000}"/>
              </a:ext>
            </a:extLst>
          </xdr:cNvPr>
          <xdr:cNvGrpSpPr>
            <a:grpSpLocks noChangeAspect="1"/>
          </xdr:cNvGrpSpPr>
        </xdr:nvGrpSpPr>
        <xdr:grpSpPr>
          <a:xfrm>
            <a:off x="76200" y="102595681"/>
            <a:ext cx="5913120" cy="6951626"/>
            <a:chOff x="-304800" y="30807660"/>
            <a:chExt cx="11826240" cy="13903251"/>
          </a:xfrm>
        </xdr:grpSpPr>
        <xdr:sp macro="" textlink="">
          <xdr:nvSpPr>
            <xdr:cNvPr id="883" name="yellow separator">
              <a:extLst>
                <a:ext uri="{FF2B5EF4-FFF2-40B4-BE49-F238E27FC236}">
                  <a16:creationId xmlns:a16="http://schemas.microsoft.com/office/drawing/2014/main" id="{00000000-0008-0000-0200-000073030000}"/>
                </a:ext>
              </a:extLst>
            </xdr:cNvPr>
            <xdr:cNvSpPr/>
          </xdr:nvSpPr>
          <xdr:spPr>
            <a:xfrm>
              <a:off x="-304800" y="30807660"/>
              <a:ext cx="11826240" cy="13903251"/>
            </a:xfrm>
            <a:prstGeom prst="rect">
              <a:avLst/>
            </a:prstGeom>
            <a:gradFill flip="none" rotWithShape="1">
              <a:gsLst>
                <a:gs pos="56000">
                  <a:srgbClr val="EBDCFF"/>
                </a:gs>
                <a:gs pos="100000">
                  <a:srgbClr val="FFCCCC"/>
                </a:gs>
                <a:gs pos="1000">
                  <a:schemeClr val="accent5">
                    <a:lumMod val="20000"/>
                    <a:lumOff val="80000"/>
                  </a:schemeClr>
                </a:gs>
              </a:gsLst>
              <a:lin ang="0" scaled="1"/>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84331" tIns="42165" rIns="84331" bIns="42165" numCol="1" spcCol="0" rtlCol="0" fromWordArt="0" anchor="ctr" anchorCtr="0" forceAA="0" compatLnSpc="1">
              <a:prstTxWarp prst="textNoShape">
                <a:avLst/>
              </a:prstTxWarp>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1568"/>
            </a:p>
          </xdr:txBody>
        </xdr:sp>
        <xdr:sp macro="" textlink="">
          <xdr:nvSpPr>
            <xdr:cNvPr id="884" name="Wider relationship">
              <a:extLst>
                <a:ext uri="{FF2B5EF4-FFF2-40B4-BE49-F238E27FC236}">
                  <a16:creationId xmlns:a16="http://schemas.microsoft.com/office/drawing/2014/main" id="{00000000-0008-0000-0200-000074030000}"/>
                </a:ext>
              </a:extLst>
            </xdr:cNvPr>
            <xdr:cNvSpPr txBox="1">
              <a:spLocks/>
            </xdr:cNvSpPr>
          </xdr:nvSpPr>
          <xdr:spPr>
            <a:xfrm>
              <a:off x="234782" y="30861440"/>
              <a:ext cx="5211950" cy="4572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nSpc>
                  <a:spcPct val="100000"/>
                </a:lnSpc>
                <a:buNone/>
              </a:pPr>
              <a:r>
                <a:rPr lang="en-US" sz="1400" b="1" spc="50">
                  <a:gradFill flip="none" rotWithShape="1">
                    <a:gsLst>
                      <a:gs pos="0">
                        <a:srgbClr val="0070C0">
                          <a:shade val="30000"/>
                          <a:satMod val="115000"/>
                        </a:srgbClr>
                      </a:gs>
                      <a:gs pos="50000">
                        <a:srgbClr val="0070C0">
                          <a:shade val="67500"/>
                          <a:satMod val="115000"/>
                        </a:srgbClr>
                      </a:gs>
                      <a:gs pos="100000">
                        <a:srgbClr val="0070C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sym typeface="Wingdings" panose="05000000000000000000" pitchFamily="2" charset="2"/>
                </a:rPr>
                <a:t> </a:t>
              </a:r>
              <a:r>
                <a:rPr lang="en-US" sz="1400" b="1" spc="50">
                  <a:gradFill flip="none" rotWithShape="1">
                    <a:gsLst>
                      <a:gs pos="0">
                        <a:srgbClr val="0070C0">
                          <a:shade val="30000"/>
                          <a:satMod val="115000"/>
                        </a:srgbClr>
                      </a:gs>
                      <a:gs pos="50000">
                        <a:srgbClr val="0070C0">
                          <a:shade val="67500"/>
                          <a:satMod val="115000"/>
                        </a:srgbClr>
                      </a:gs>
                      <a:gs pos="100000">
                        <a:srgbClr val="0070C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rPr>
                <a:t>Wider relationships</a:t>
              </a:r>
            </a:p>
          </xdr:txBody>
        </xdr:sp>
        <xdr:sp macro="" textlink="">
          <xdr:nvSpPr>
            <xdr:cNvPr id="885" name="Deeper relationships">
              <a:extLst>
                <a:ext uri="{FF2B5EF4-FFF2-40B4-BE49-F238E27FC236}">
                  <a16:creationId xmlns:a16="http://schemas.microsoft.com/office/drawing/2014/main" id="{00000000-0008-0000-0200-000075030000}"/>
                </a:ext>
              </a:extLst>
            </xdr:cNvPr>
            <xdr:cNvSpPr txBox="1">
              <a:spLocks/>
            </xdr:cNvSpPr>
          </xdr:nvSpPr>
          <xdr:spPr>
            <a:xfrm>
              <a:off x="5758946" y="30861440"/>
              <a:ext cx="5230814" cy="4572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buNone/>
              </a:pPr>
              <a:r>
                <a:rPr lang="en-US" sz="1400" b="1" spc="50">
                  <a:gradFill flip="none" rotWithShape="1">
                    <a:gsLst>
                      <a:gs pos="0">
                        <a:srgbClr val="C00000">
                          <a:shade val="30000"/>
                          <a:satMod val="115000"/>
                        </a:srgbClr>
                      </a:gs>
                      <a:gs pos="50000">
                        <a:srgbClr val="C00000">
                          <a:shade val="67500"/>
                          <a:satMod val="115000"/>
                        </a:srgbClr>
                      </a:gs>
                      <a:gs pos="100000">
                        <a:srgbClr val="C0000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rPr>
                <a:t>Deeper relationships </a:t>
              </a:r>
              <a:r>
                <a:rPr lang="en-US" sz="1400" b="1" spc="50">
                  <a:gradFill flip="none" rotWithShape="1">
                    <a:gsLst>
                      <a:gs pos="0">
                        <a:srgbClr val="C00000">
                          <a:shade val="30000"/>
                          <a:satMod val="115000"/>
                        </a:srgbClr>
                      </a:gs>
                      <a:gs pos="50000">
                        <a:srgbClr val="C00000">
                          <a:shade val="67500"/>
                          <a:satMod val="115000"/>
                        </a:srgbClr>
                      </a:gs>
                      <a:gs pos="100000">
                        <a:srgbClr val="C0000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sym typeface="Wingdings" panose="05000000000000000000" pitchFamily="2" charset="2"/>
                </a:rPr>
                <a:t></a:t>
              </a:r>
              <a:endParaRPr lang="en-US" sz="1400" b="1" spc="50">
                <a:gradFill flip="none" rotWithShape="1">
                  <a:gsLst>
                    <a:gs pos="0">
                      <a:srgbClr val="C00000">
                        <a:shade val="30000"/>
                        <a:satMod val="115000"/>
                      </a:srgbClr>
                    </a:gs>
                    <a:gs pos="50000">
                      <a:srgbClr val="C00000">
                        <a:shade val="67500"/>
                        <a:satMod val="115000"/>
                      </a:srgbClr>
                    </a:gs>
                    <a:gs pos="100000">
                      <a:srgbClr val="C0000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endParaRPr>
            </a:p>
          </xdr:txBody>
        </xdr:sp>
        <xdr:sp macro="" textlink="">
          <xdr:nvSpPr>
            <xdr:cNvPr id="886" name="Rectangle: Rounded Corners 885">
              <a:extLst>
                <a:ext uri="{FF2B5EF4-FFF2-40B4-BE49-F238E27FC236}">
                  <a16:creationId xmlns:a16="http://schemas.microsoft.com/office/drawing/2014/main" id="{00000000-0008-0000-0200-000076030000}"/>
                </a:ext>
              </a:extLst>
            </xdr:cNvPr>
            <xdr:cNvSpPr/>
          </xdr:nvSpPr>
          <xdr:spPr>
            <a:xfrm>
              <a:off x="202398" y="31439680"/>
              <a:ext cx="10800884" cy="1906872"/>
            </a:xfrm>
            <a:prstGeom prst="roundRect">
              <a:avLst>
                <a:gd name="adj" fmla="val 6709"/>
              </a:avLst>
            </a:prstGeom>
            <a:gradFill flip="none" rotWithShape="1">
              <a:gsLst>
                <a:gs pos="0">
                  <a:srgbClr val="00B0F0"/>
                </a:gs>
                <a:gs pos="98701">
                  <a:srgbClr val="FF0000"/>
                </a:gs>
                <a:gs pos="40000">
                  <a:srgbClr val="CC66FF"/>
                </a:gs>
                <a:gs pos="50000">
                  <a:srgbClr val="DE51ED"/>
                </a:gs>
                <a:gs pos="60000">
                  <a:srgbClr val="FF33FF"/>
                </a:gs>
              </a:gsLst>
              <a:lin ang="0" scaled="1"/>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887" name="Arrow: Left-Right 886">
              <a:extLst>
                <a:ext uri="{FF2B5EF4-FFF2-40B4-BE49-F238E27FC236}">
                  <a16:creationId xmlns:a16="http://schemas.microsoft.com/office/drawing/2014/main" id="{00000000-0008-0000-0200-000077030000}"/>
                </a:ext>
              </a:extLst>
            </xdr:cNvPr>
            <xdr:cNvSpPr/>
          </xdr:nvSpPr>
          <xdr:spPr>
            <a:xfrm>
              <a:off x="-121918" y="31634256"/>
              <a:ext cx="11430000" cy="1509277"/>
            </a:xfrm>
            <a:prstGeom prst="leftRightArrow">
              <a:avLst>
                <a:gd name="adj1" fmla="val 86765"/>
                <a:gd name="adj2" fmla="val 16176"/>
              </a:avLst>
            </a:prstGeom>
            <a:gradFill flip="none" rotWithShape="1">
              <a:gsLst>
                <a:gs pos="0">
                  <a:srgbClr val="00B0F0"/>
                </a:gs>
                <a:gs pos="20000">
                  <a:srgbClr val="9BE5FF"/>
                </a:gs>
                <a:gs pos="100000">
                  <a:srgbClr val="FF0000"/>
                </a:gs>
                <a:gs pos="65000">
                  <a:srgbClr val="9BE5FF"/>
                </a:gs>
                <a:gs pos="35000">
                  <a:srgbClr val="FF99CC"/>
                </a:gs>
                <a:gs pos="50000">
                  <a:srgbClr val="F3D5FF"/>
                </a:gs>
                <a:gs pos="80000">
                  <a:srgbClr val="FF99CC"/>
                </a:gs>
              </a:gsLst>
              <a:lin ang="0" scaled="1"/>
              <a:tileRect/>
            </a:gradFill>
            <a:ln w="19050">
              <a:solidFill>
                <a:srgbClr val="FFB3FF"/>
              </a:solidFill>
            </a:ln>
            <a:effectLst>
              <a:outerShdw blurRad="63500" sx="102000" sy="102000" algn="ctr" rotWithShape="0">
                <a:srgbClr val="C204E2">
                  <a:alpha val="4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888" name="Arrow: Deep-focus">
              <a:extLst>
                <a:ext uri="{FF2B5EF4-FFF2-40B4-BE49-F238E27FC236}">
                  <a16:creationId xmlns:a16="http://schemas.microsoft.com/office/drawing/2014/main" id="{00000000-0008-0000-0200-000078030000}"/>
                </a:ext>
              </a:extLst>
            </xdr:cNvPr>
            <xdr:cNvSpPr/>
          </xdr:nvSpPr>
          <xdr:spPr>
            <a:xfrm>
              <a:off x="6987570" y="31380483"/>
              <a:ext cx="3840480" cy="365748"/>
            </a:xfrm>
            <a:prstGeom prst="homePlate">
              <a:avLst/>
            </a:prstGeom>
            <a:gradFill flip="none" rotWithShape="1">
              <a:gsLst>
                <a:gs pos="98701">
                  <a:srgbClr val="CC00CC"/>
                </a:gs>
                <a:gs pos="0">
                  <a:srgbClr val="960000"/>
                </a:gs>
                <a:gs pos="78000">
                  <a:srgbClr val="C00000"/>
                </a:gs>
              </a:gsLst>
              <a:lin ang="10800000" scaled="1"/>
              <a:tileRect/>
            </a:gradFill>
            <a:ln>
              <a:noFill/>
            </a:ln>
            <a:effectLst>
              <a:innerShdw blurRad="50800" dist="25400" dir="16200000">
                <a:schemeClr val="bg1"/>
              </a:inn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lIns="0" rIns="0"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marL="0" lvl="1" algn="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social-needs </a:t>
              </a:r>
              <a:r>
                <a:rPr lang="en-US" sz="800" i="1">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less urgent than </a:t>
              </a: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self-needs</a:t>
              </a:r>
            </a:p>
          </xdr:txBody>
        </xdr:sp>
        <xdr:sp macro="" textlink="">
          <xdr:nvSpPr>
            <xdr:cNvPr id="889" name="Arrow: Wide-focus">
              <a:extLst>
                <a:ext uri="{FF2B5EF4-FFF2-40B4-BE49-F238E27FC236}">
                  <a16:creationId xmlns:a16="http://schemas.microsoft.com/office/drawing/2014/main" id="{00000000-0008-0000-0200-000079030000}"/>
                </a:ext>
              </a:extLst>
            </xdr:cNvPr>
            <xdr:cNvSpPr/>
          </xdr:nvSpPr>
          <xdr:spPr>
            <a:xfrm flipH="1">
              <a:off x="400730" y="31380688"/>
              <a:ext cx="3840480" cy="365748"/>
            </a:xfrm>
            <a:prstGeom prst="homePlate">
              <a:avLst/>
            </a:prstGeom>
            <a:gradFill flip="none" rotWithShape="1">
              <a:gsLst>
                <a:gs pos="98701">
                  <a:srgbClr val="CC00CC"/>
                </a:gs>
                <a:gs pos="0">
                  <a:srgbClr val="0070C0"/>
                </a:gs>
                <a:gs pos="78000">
                  <a:srgbClr val="7030A0"/>
                </a:gs>
              </a:gsLst>
              <a:lin ang="10800000" scaled="1"/>
              <a:tileRect/>
            </a:gradFill>
            <a:ln>
              <a:noFill/>
            </a:ln>
            <a:effectLst>
              <a:innerShdw blurRad="50800" dist="25400" dir="16200000">
                <a:schemeClr val="bg1"/>
              </a:inn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lIns="0" rIns="0"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marL="0" lvl="1"/>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self-needs </a:t>
              </a:r>
              <a:r>
                <a:rPr lang="en-US" sz="800" i="1">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less urgent than </a:t>
              </a: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social-needs</a:t>
              </a:r>
            </a:p>
          </xdr:txBody>
        </xdr:sp>
        <xdr:sp macro="" textlink="">
          <xdr:nvSpPr>
            <xdr:cNvPr id="890" name="wide-yet-shallow">
              <a:extLst>
                <a:ext uri="{FF2B5EF4-FFF2-40B4-BE49-F238E27FC236}">
                  <a16:creationId xmlns:a16="http://schemas.microsoft.com/office/drawing/2014/main" id="{00000000-0008-0000-0200-00007A030000}"/>
                </a:ext>
              </a:extLst>
            </xdr:cNvPr>
            <xdr:cNvSpPr/>
          </xdr:nvSpPr>
          <xdr:spPr>
            <a:xfrm>
              <a:off x="845222" y="31918020"/>
              <a:ext cx="1417384" cy="120612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005AA2"/>
                    </a:solidFill>
                    <a:prstDash val="solid"/>
                  </a:ln>
                  <a:solidFill>
                    <a:srgbClr val="00B0F0"/>
                  </a:solidFill>
                  <a:effectLst>
                    <a:glow rad="25400">
                      <a:schemeClr val="bg1"/>
                    </a:glow>
                    <a:innerShdw blurRad="114300">
                      <a:prstClr val="black"/>
                    </a:innerShdw>
                  </a:effectLst>
                  <a:latin typeface="Arial Narrow" panose="020B0606020202030204" pitchFamily="34" charset="0"/>
                </a:rPr>
                <a:t>wide-yet-shallow</a:t>
              </a:r>
            </a:p>
          </xdr:txBody>
        </xdr:sp>
        <xdr:sp macro="" textlink="">
          <xdr:nvSpPr>
            <xdr:cNvPr id="891" name="deep-yet-narrow">
              <a:extLst>
                <a:ext uri="{FF2B5EF4-FFF2-40B4-BE49-F238E27FC236}">
                  <a16:creationId xmlns:a16="http://schemas.microsoft.com/office/drawing/2014/main" id="{00000000-0008-0000-0200-00007B030000}"/>
                </a:ext>
              </a:extLst>
            </xdr:cNvPr>
            <xdr:cNvSpPr/>
          </xdr:nvSpPr>
          <xdr:spPr>
            <a:xfrm>
              <a:off x="9024653" y="31918021"/>
              <a:ext cx="1262267" cy="1206120"/>
            </a:xfrm>
            <a:prstGeom prst="rect">
              <a:avLst/>
            </a:prstGeom>
            <a:noFill/>
            <a:ln>
              <a:noFill/>
            </a:ln>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640000"/>
                    </a:solidFill>
                    <a:prstDash val="solid"/>
                  </a:ln>
                  <a:solidFill>
                    <a:srgbClr val="FF0000"/>
                  </a:solidFill>
                  <a:effectLst>
                    <a:glow rad="25400">
                      <a:schemeClr val="bg1"/>
                    </a:glow>
                    <a:innerShdw blurRad="114300">
                      <a:prstClr val="black"/>
                    </a:innerShdw>
                  </a:effectLst>
                  <a:latin typeface="Arial Narrow" panose="020B0606020202030204" pitchFamily="34" charset="0"/>
                </a:rPr>
                <a:t>deep-yet-narrow</a:t>
              </a:r>
            </a:p>
          </xdr:txBody>
        </xdr:sp>
        <xdr:sp macro="" textlink="">
          <xdr:nvSpPr>
            <xdr:cNvPr id="892" name="wide-then-deep">
              <a:extLst>
                <a:ext uri="{FF2B5EF4-FFF2-40B4-BE49-F238E27FC236}">
                  <a16:creationId xmlns:a16="http://schemas.microsoft.com/office/drawing/2014/main" id="{00000000-0008-0000-0200-00007C030000}"/>
                </a:ext>
              </a:extLst>
            </xdr:cNvPr>
            <xdr:cNvSpPr/>
          </xdr:nvSpPr>
          <xdr:spPr>
            <a:xfrm>
              <a:off x="2417528" y="31918020"/>
              <a:ext cx="1471048" cy="120612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005AA2"/>
                    </a:solidFill>
                    <a:prstDash val="solid"/>
                  </a:ln>
                  <a:solidFill>
                    <a:srgbClr val="B7E4FF"/>
                  </a:solidFill>
                  <a:effectLst>
                    <a:glow rad="25400">
                      <a:schemeClr val="bg1"/>
                    </a:glow>
                    <a:innerShdw blurRad="114300">
                      <a:prstClr val="black"/>
                    </a:innerShdw>
                  </a:effectLst>
                  <a:latin typeface="Arial Narrow" panose="020B0606020202030204" pitchFamily="34" charset="0"/>
                </a:rPr>
                <a:t>wide-then-deep</a:t>
              </a:r>
            </a:p>
          </xdr:txBody>
        </xdr:sp>
        <xdr:sp macro="" textlink="">
          <xdr:nvSpPr>
            <xdr:cNvPr id="893" name="deep-then-wide">
              <a:extLst>
                <a:ext uri="{FF2B5EF4-FFF2-40B4-BE49-F238E27FC236}">
                  <a16:creationId xmlns:a16="http://schemas.microsoft.com/office/drawing/2014/main" id="{00000000-0008-0000-0200-00007D030000}"/>
                </a:ext>
              </a:extLst>
            </xdr:cNvPr>
            <xdr:cNvSpPr/>
          </xdr:nvSpPr>
          <xdr:spPr>
            <a:xfrm>
              <a:off x="7379910" y="31918020"/>
              <a:ext cx="1471048" cy="120612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640000"/>
                    </a:solidFill>
                    <a:prstDash val="solid"/>
                  </a:ln>
                  <a:solidFill>
                    <a:srgbClr val="FFA3A3"/>
                  </a:solidFill>
                  <a:effectLst>
                    <a:glow rad="25400">
                      <a:schemeClr val="bg1"/>
                    </a:glow>
                    <a:innerShdw blurRad="114300">
                      <a:prstClr val="black"/>
                    </a:innerShdw>
                  </a:effectLst>
                  <a:latin typeface="Arial Narrow" panose="020B0606020202030204" pitchFamily="34" charset="0"/>
                </a:rPr>
                <a:t>deep-then-wide</a:t>
              </a:r>
            </a:p>
          </xdr:txBody>
        </xdr:sp>
        <xdr:sp macro="" textlink="">
          <xdr:nvSpPr>
            <xdr:cNvPr id="894" name="wide-and-deep">
              <a:extLst>
                <a:ext uri="{FF2B5EF4-FFF2-40B4-BE49-F238E27FC236}">
                  <a16:creationId xmlns:a16="http://schemas.microsoft.com/office/drawing/2014/main" id="{00000000-0008-0000-0200-00007E030000}"/>
                </a:ext>
              </a:extLst>
            </xdr:cNvPr>
            <xdr:cNvSpPr/>
          </xdr:nvSpPr>
          <xdr:spPr>
            <a:xfrm>
              <a:off x="4213250" y="31918020"/>
              <a:ext cx="1073774" cy="122136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7030A0"/>
                    </a:solidFill>
                    <a:prstDash val="solid"/>
                  </a:ln>
                  <a:solidFill>
                    <a:srgbClr val="CC66FF"/>
                  </a:solidFill>
                  <a:effectLst>
                    <a:glow rad="25400">
                      <a:schemeClr val="bg1"/>
                    </a:glow>
                    <a:innerShdw blurRad="114300">
                      <a:prstClr val="black"/>
                    </a:innerShdw>
                  </a:effectLst>
                  <a:latin typeface="Arial Narrow" panose="020B0606020202030204" pitchFamily="34" charset="0"/>
                </a:rPr>
                <a:t>wide-and-deep</a:t>
              </a:r>
            </a:p>
          </xdr:txBody>
        </xdr:sp>
        <xdr:sp macro="" textlink="">
          <xdr:nvSpPr>
            <xdr:cNvPr id="895" name="deep-and-wide">
              <a:extLst>
                <a:ext uri="{FF2B5EF4-FFF2-40B4-BE49-F238E27FC236}">
                  <a16:creationId xmlns:a16="http://schemas.microsoft.com/office/drawing/2014/main" id="{00000000-0008-0000-0200-00007F030000}"/>
                </a:ext>
              </a:extLst>
            </xdr:cNvPr>
            <xdr:cNvSpPr/>
          </xdr:nvSpPr>
          <xdr:spPr>
            <a:xfrm>
              <a:off x="6062284" y="31918020"/>
              <a:ext cx="981866" cy="122136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7030A0"/>
                    </a:solidFill>
                    <a:prstDash val="solid"/>
                  </a:ln>
                  <a:solidFill>
                    <a:srgbClr val="FF33FF"/>
                  </a:solidFill>
                  <a:effectLst>
                    <a:glow rad="25400">
                      <a:schemeClr val="bg1"/>
                    </a:glow>
                    <a:innerShdw blurRad="114300">
                      <a:prstClr val="black"/>
                    </a:innerShdw>
                  </a:effectLst>
                  <a:latin typeface="Arial Narrow" panose="020B0606020202030204" pitchFamily="34" charset="0"/>
                </a:rPr>
                <a:t>deep-and-wide</a:t>
              </a:r>
            </a:p>
          </xdr:txBody>
        </xdr:sp>
        <xdr:sp macro="" textlink="">
          <xdr:nvSpPr>
            <xdr:cNvPr id="896" name="DEEP-YET-NARROW">
              <a:extLst>
                <a:ext uri="{FF2B5EF4-FFF2-40B4-BE49-F238E27FC236}">
                  <a16:creationId xmlns:a16="http://schemas.microsoft.com/office/drawing/2014/main" id="{00000000-0008-0000-0200-000080030000}"/>
                </a:ext>
              </a:extLst>
            </xdr:cNvPr>
            <xdr:cNvSpPr txBox="1">
              <a:spLocks/>
            </xdr:cNvSpPr>
          </xdr:nvSpPr>
          <xdr:spPr>
            <a:xfrm>
              <a:off x="9048354" y="33329342"/>
              <a:ext cx="1126428" cy="1210698"/>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Prioritize deep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cohesion</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of familiar few, over inclusion of others</a:t>
              </a:r>
            </a:p>
          </xdr:txBody>
        </xdr:sp>
        <xdr:sp macro="" textlink="">
          <xdr:nvSpPr>
            <xdr:cNvPr id="897" name="DEEP-THEN-WIDE">
              <a:extLst>
                <a:ext uri="{FF2B5EF4-FFF2-40B4-BE49-F238E27FC236}">
                  <a16:creationId xmlns:a16="http://schemas.microsoft.com/office/drawing/2014/main" id="{00000000-0008-0000-0200-000081030000}"/>
                </a:ext>
              </a:extLst>
            </xdr:cNvPr>
            <xdr:cNvSpPr txBox="1">
              <a:spLocks/>
            </xdr:cNvSpPr>
          </xdr:nvSpPr>
          <xdr:spPr>
            <a:xfrm>
              <a:off x="7510468" y="33328926"/>
              <a:ext cx="1161092" cy="11607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Seek individual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freedoms</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then seek equality for others</a:t>
              </a:r>
            </a:p>
          </xdr:txBody>
        </xdr:sp>
        <xdr:sp macro="" textlink="">
          <xdr:nvSpPr>
            <xdr:cNvPr id="898" name="DEEP-AND-WIDE">
              <a:extLst>
                <a:ext uri="{FF2B5EF4-FFF2-40B4-BE49-F238E27FC236}">
                  <a16:creationId xmlns:a16="http://schemas.microsoft.com/office/drawing/2014/main" id="{00000000-0008-0000-0200-000082030000}"/>
                </a:ext>
              </a:extLst>
            </xdr:cNvPr>
            <xdr:cNvSpPr txBox="1">
              <a:spLocks/>
            </xdr:cNvSpPr>
          </xdr:nvSpPr>
          <xdr:spPr>
            <a:xfrm>
              <a:off x="4055266" y="33300988"/>
              <a:ext cx="3111816" cy="117015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10000"/>
                </a:lnSpc>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Experience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both</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social equality </a:t>
              </a:r>
              <a:r>
                <a:rPr lang="en-US" sz="800" i="1">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and</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personal freedom, inclusion </a:t>
              </a:r>
              <a:r>
                <a:rPr lang="en-US" sz="800" i="1">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and</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cohesion,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social </a:t>
              </a:r>
              <a:r>
                <a:rPr lang="en-US" sz="800" i="1">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and</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self needs</a:t>
              </a:r>
            </a:p>
          </xdr:txBody>
        </xdr:sp>
        <xdr:sp macro="" textlink="">
          <xdr:nvSpPr>
            <xdr:cNvPr id="899" name="WIDE-THEN-DEEP">
              <a:extLst>
                <a:ext uri="{FF2B5EF4-FFF2-40B4-BE49-F238E27FC236}">
                  <a16:creationId xmlns:a16="http://schemas.microsoft.com/office/drawing/2014/main" id="{00000000-0008-0000-0200-000083030000}"/>
                </a:ext>
              </a:extLst>
            </xdr:cNvPr>
            <xdr:cNvSpPr txBox="1">
              <a:spLocks/>
            </xdr:cNvSpPr>
          </xdr:nvSpPr>
          <xdr:spPr>
            <a:xfrm>
              <a:off x="2469710" y="33328316"/>
              <a:ext cx="1348100" cy="116080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Seek social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equality</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then seek individual freedoms</a:t>
              </a:r>
            </a:p>
          </xdr:txBody>
        </xdr:sp>
        <xdr:sp macro="" textlink="">
          <xdr:nvSpPr>
            <xdr:cNvPr id="900" name="WIDE-YET-SHALLOW">
              <a:extLst>
                <a:ext uri="{FF2B5EF4-FFF2-40B4-BE49-F238E27FC236}">
                  <a16:creationId xmlns:a16="http://schemas.microsoft.com/office/drawing/2014/main" id="{00000000-0008-0000-0200-000084030000}"/>
                </a:ext>
              </a:extLst>
            </xdr:cNvPr>
            <xdr:cNvSpPr txBox="1">
              <a:spLocks/>
            </xdr:cNvSpPr>
          </xdr:nvSpPr>
          <xdr:spPr>
            <a:xfrm>
              <a:off x="990700" y="33329342"/>
              <a:ext cx="1126428" cy="105489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Prioritize wide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inclusion</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of all, over close-knit cohesion</a:t>
              </a:r>
            </a:p>
          </xdr:txBody>
        </xdr:sp>
        <xdr:sp macro="" textlink="">
          <xdr:nvSpPr>
            <xdr:cNvPr id="901" name="Focus more on social equality">
              <a:extLst>
                <a:ext uri="{FF2B5EF4-FFF2-40B4-BE49-F238E27FC236}">
                  <a16:creationId xmlns:a16="http://schemas.microsoft.com/office/drawing/2014/main" id="{00000000-0008-0000-0200-000085030000}"/>
                </a:ext>
              </a:extLst>
            </xdr:cNvPr>
            <xdr:cNvSpPr txBox="1"/>
          </xdr:nvSpPr>
          <xdr:spPr>
            <a:xfrm>
              <a:off x="326834" y="33125657"/>
              <a:ext cx="5029200" cy="274320"/>
            </a:xfrm>
            <a:prstGeom prst="rect">
              <a:avLst/>
            </a:prstGeom>
            <a:noFill/>
          </xdr:spPr>
          <xdr:txBody>
            <a:bodyPr wrap="square" lIns="0" tIns="0" rIns="0" bIns="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Focus more on broad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social equality </a:t>
              </a:r>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than on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individual freedoms</a:t>
              </a:r>
            </a:p>
          </xdr:txBody>
        </xdr:sp>
        <xdr:sp macro="" textlink="">
          <xdr:nvSpPr>
            <xdr:cNvPr id="902" name="Focus more on personall freedoms">
              <a:extLst>
                <a:ext uri="{FF2B5EF4-FFF2-40B4-BE49-F238E27FC236}">
                  <a16:creationId xmlns:a16="http://schemas.microsoft.com/office/drawing/2014/main" id="{00000000-0008-0000-0200-000086030000}"/>
                </a:ext>
              </a:extLst>
            </xdr:cNvPr>
            <xdr:cNvSpPr txBox="1"/>
          </xdr:nvSpPr>
          <xdr:spPr>
            <a:xfrm>
              <a:off x="5819906" y="33125657"/>
              <a:ext cx="5029200" cy="274320"/>
            </a:xfrm>
            <a:prstGeom prst="rect">
              <a:avLst/>
            </a:prstGeom>
            <a:noFill/>
          </xdr:spPr>
          <xdr:txBody>
            <a:bodyPr wrap="square" lIns="0" tIns="0" rIns="0" bIns="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r"/>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Focus more on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individual freedoms</a:t>
              </a:r>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than on broad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social equality </a:t>
              </a:r>
            </a:p>
          </xdr:txBody>
        </xdr:sp>
        <xdr:sp macro="" textlink="">
          <xdr:nvSpPr>
            <xdr:cNvPr id="903" name="Arrow: Left-Right 902">
              <a:extLst>
                <a:ext uri="{FF2B5EF4-FFF2-40B4-BE49-F238E27FC236}">
                  <a16:creationId xmlns:a16="http://schemas.microsoft.com/office/drawing/2014/main" id="{00000000-0008-0000-0200-000087030000}"/>
                </a:ext>
              </a:extLst>
            </xdr:cNvPr>
            <xdr:cNvSpPr/>
          </xdr:nvSpPr>
          <xdr:spPr>
            <a:xfrm>
              <a:off x="4014303" y="31388990"/>
              <a:ext cx="3154035" cy="365760"/>
            </a:xfrm>
            <a:prstGeom prst="leftRightArrow">
              <a:avLst>
                <a:gd name="adj1" fmla="val 100000"/>
                <a:gd name="adj2" fmla="val 50000"/>
              </a:avLst>
            </a:prstGeom>
            <a:solidFill>
              <a:srgbClr val="C204E2"/>
            </a:solidFill>
            <a:ln>
              <a:noFill/>
            </a:ln>
            <a:effectLst>
              <a:innerShdw blurRad="114300">
                <a:prstClr val="black"/>
              </a:inn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psychosocial equilibrium</a:t>
              </a:r>
            </a:p>
          </xdr:txBody>
        </xdr:sp>
      </xdr:grpSp>
      <xdr:grpSp>
        <xdr:nvGrpSpPr>
          <xdr:cNvPr id="904" name="Group 903">
            <a:extLst>
              <a:ext uri="{FF2B5EF4-FFF2-40B4-BE49-F238E27FC236}">
                <a16:creationId xmlns:a16="http://schemas.microsoft.com/office/drawing/2014/main" id="{00000000-0008-0000-0200-000088030000}"/>
              </a:ext>
            </a:extLst>
          </xdr:cNvPr>
          <xdr:cNvGrpSpPr>
            <a:grpSpLocks noChangeAspect="1"/>
          </xdr:cNvGrpSpPr>
        </xdr:nvGrpSpPr>
        <xdr:grpSpPr>
          <a:xfrm>
            <a:off x="416446" y="104605786"/>
            <a:ext cx="5299126" cy="2555031"/>
            <a:chOff x="24987165" y="32459649"/>
            <a:chExt cx="9598655" cy="5251251"/>
          </a:xfrm>
        </xdr:grpSpPr>
        <xdr:grpSp>
          <xdr:nvGrpSpPr>
            <xdr:cNvPr id="905" name="Group 904">
              <a:extLst>
                <a:ext uri="{FF2B5EF4-FFF2-40B4-BE49-F238E27FC236}">
                  <a16:creationId xmlns:a16="http://schemas.microsoft.com/office/drawing/2014/main" id="{00000000-0008-0000-0200-000089030000}"/>
                </a:ext>
              </a:extLst>
            </xdr:cNvPr>
            <xdr:cNvGrpSpPr/>
          </xdr:nvGrpSpPr>
          <xdr:grpSpPr>
            <a:xfrm>
              <a:off x="28876355" y="32542745"/>
              <a:ext cx="1671262" cy="5168155"/>
              <a:chOff x="7580642" y="2421253"/>
              <a:chExt cx="1671262" cy="5168155"/>
            </a:xfrm>
          </xdr:grpSpPr>
          <xdr:sp macro="" textlink="">
            <xdr:nvSpPr>
              <xdr:cNvPr id="926" name="Oval 925">
                <a:extLst>
                  <a:ext uri="{FF2B5EF4-FFF2-40B4-BE49-F238E27FC236}">
                    <a16:creationId xmlns:a16="http://schemas.microsoft.com/office/drawing/2014/main" id="{00000000-0008-0000-0200-00009E030000}"/>
                  </a:ext>
                </a:extLst>
              </xdr:cNvPr>
              <xdr:cNvSpPr/>
            </xdr:nvSpPr>
            <xdr:spPr>
              <a:xfrm>
                <a:off x="7686750" y="2421253"/>
                <a:ext cx="1463040" cy="5168155"/>
              </a:xfrm>
              <a:prstGeom prst="ellipse">
                <a:avLst/>
              </a:prstGeom>
              <a:solidFill>
                <a:srgbClr val="D7B9FF">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27" name="I know everyone.">
                <a:extLst>
                  <a:ext uri="{FF2B5EF4-FFF2-40B4-BE49-F238E27FC236}">
                    <a16:creationId xmlns:a16="http://schemas.microsoft.com/office/drawing/2014/main" id="{00000000-0008-0000-0200-00009F030000}"/>
                  </a:ext>
                </a:extLst>
              </xdr:cNvPr>
              <xdr:cNvSpPr txBox="1">
                <a:spLocks/>
              </xdr:cNvSpPr>
            </xdr:nvSpPr>
            <xdr:spPr>
              <a:xfrm>
                <a:off x="7785776" y="2682085"/>
                <a:ext cx="1238289" cy="1481665"/>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know others here. Others here know me enough to keep me accountable.</a:t>
                </a:r>
              </a:p>
            </xdr:txBody>
          </xdr:sp>
          <xdr:sp macro="" textlink="">
            <xdr:nvSpPr>
              <xdr:cNvPr id="928" name="I know everyone.">
                <a:extLst>
                  <a:ext uri="{FF2B5EF4-FFF2-40B4-BE49-F238E27FC236}">
                    <a16:creationId xmlns:a16="http://schemas.microsoft.com/office/drawing/2014/main" id="{00000000-0008-0000-0200-0000A0030000}"/>
                  </a:ext>
                </a:extLst>
              </xdr:cNvPr>
              <xdr:cNvSpPr txBox="1">
                <a:spLocks/>
              </xdr:cNvSpPr>
            </xdr:nvSpPr>
            <xdr:spPr>
              <a:xfrm>
                <a:off x="7848029" y="5759621"/>
                <a:ext cx="1161714" cy="129574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tend to fully resolve. </a:t>
                </a:r>
                <a:r>
                  <a:rPr lang="en-US" sz="800" b="1" spc="-70">
                    <a:solidFill>
                      <a:srgbClr val="007332"/>
                    </a:solidFill>
                    <a:latin typeface="Tahoma" panose="020B0604030504040204" pitchFamily="34" charset="0"/>
                    <a:ea typeface="Tahoma" panose="020B0604030504040204" pitchFamily="34" charset="0"/>
                    <a:cs typeface="Tahoma" panose="020B0604030504040204" pitchFamily="34" charset="0"/>
                  </a:rPr>
                  <a:t>I’m meaningfully </a:t>
                </a: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content.</a:t>
                </a:r>
              </a:p>
            </xdr:txBody>
          </xdr:sp>
          <xdr:sp macro="" textlink="">
            <xdr:nvSpPr>
              <xdr:cNvPr id="929" name="I know everyone.">
                <a:extLst>
                  <a:ext uri="{FF2B5EF4-FFF2-40B4-BE49-F238E27FC236}">
                    <a16:creationId xmlns:a16="http://schemas.microsoft.com/office/drawing/2014/main" id="{00000000-0008-0000-0200-0000A1030000}"/>
                  </a:ext>
                </a:extLst>
              </xdr:cNvPr>
              <xdr:cNvSpPr txBox="1">
                <a:spLocks/>
              </xdr:cNvSpPr>
            </xdr:nvSpPr>
            <xdr:spPr>
              <a:xfrm>
                <a:off x="7580642" y="4183902"/>
                <a:ext cx="1671262" cy="152203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can regularly access the resources I need on my own and thru others. I am amply supplied.</a:t>
                </a:r>
              </a:p>
            </xdr:txBody>
          </xdr:sp>
        </xdr:grpSp>
        <xdr:grpSp>
          <xdr:nvGrpSpPr>
            <xdr:cNvPr id="906" name="Group 905">
              <a:extLst>
                <a:ext uri="{FF2B5EF4-FFF2-40B4-BE49-F238E27FC236}">
                  <a16:creationId xmlns:a16="http://schemas.microsoft.com/office/drawing/2014/main" id="{00000000-0008-0000-0200-00008A030000}"/>
                </a:ext>
              </a:extLst>
            </xdr:cNvPr>
            <xdr:cNvGrpSpPr/>
          </xdr:nvGrpSpPr>
          <xdr:grpSpPr>
            <a:xfrm>
              <a:off x="26978701" y="32524013"/>
              <a:ext cx="1588147" cy="5168155"/>
              <a:chOff x="7634811" y="2402521"/>
              <a:chExt cx="1588147" cy="5168155"/>
            </a:xfrm>
          </xdr:grpSpPr>
          <xdr:sp macro="" textlink="">
            <xdr:nvSpPr>
              <xdr:cNvPr id="922" name="Oval 921">
                <a:extLst>
                  <a:ext uri="{FF2B5EF4-FFF2-40B4-BE49-F238E27FC236}">
                    <a16:creationId xmlns:a16="http://schemas.microsoft.com/office/drawing/2014/main" id="{00000000-0008-0000-0200-00009A030000}"/>
                  </a:ext>
                </a:extLst>
              </xdr:cNvPr>
              <xdr:cNvSpPr/>
            </xdr:nvSpPr>
            <xdr:spPr>
              <a:xfrm>
                <a:off x="7686750" y="2402521"/>
                <a:ext cx="1463040" cy="5168155"/>
              </a:xfrm>
              <a:prstGeom prst="ellipse">
                <a:avLst/>
              </a:prstGeom>
              <a:solidFill>
                <a:schemeClr val="accent1">
                  <a:lumMod val="40000"/>
                  <a:lumOff val="60000"/>
                  <a:alpha val="47000"/>
                </a:scheme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23" name="I know everyone.">
                <a:extLst>
                  <a:ext uri="{FF2B5EF4-FFF2-40B4-BE49-F238E27FC236}">
                    <a16:creationId xmlns:a16="http://schemas.microsoft.com/office/drawing/2014/main" id="{00000000-0008-0000-0200-00009B030000}"/>
                  </a:ext>
                </a:extLst>
              </xdr:cNvPr>
              <xdr:cNvSpPr txBox="1">
                <a:spLocks/>
              </xdr:cNvSpPr>
            </xdr:nvSpPr>
            <xdr:spPr>
              <a:xfrm>
                <a:off x="7771893" y="2647810"/>
                <a:ext cx="1340642" cy="166687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kinda know others here. They kinda know me by the categories I fit.</a:t>
                </a:r>
              </a:p>
            </xdr:txBody>
          </xdr:sp>
          <xdr:sp macro="" textlink="">
            <xdr:nvSpPr>
              <xdr:cNvPr id="924" name="I know everyone.">
                <a:extLst>
                  <a:ext uri="{FF2B5EF4-FFF2-40B4-BE49-F238E27FC236}">
                    <a16:creationId xmlns:a16="http://schemas.microsoft.com/office/drawing/2014/main" id="{00000000-0008-0000-0200-00009C030000}"/>
                  </a:ext>
                </a:extLst>
              </xdr:cNvPr>
              <xdr:cNvSpPr txBox="1">
                <a:spLocks/>
              </xdr:cNvSpPr>
            </xdr:nvSpPr>
            <xdr:spPr>
              <a:xfrm>
                <a:off x="7634811" y="5759633"/>
                <a:ext cx="1588147" cy="1013841"/>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only partially resolve. I continually feel discontent.</a:t>
                </a:r>
              </a:p>
            </xdr:txBody>
          </xdr:sp>
          <xdr:sp macro="" textlink="">
            <xdr:nvSpPr>
              <xdr:cNvPr id="925" name="I know everyone.">
                <a:extLst>
                  <a:ext uri="{FF2B5EF4-FFF2-40B4-BE49-F238E27FC236}">
                    <a16:creationId xmlns:a16="http://schemas.microsoft.com/office/drawing/2014/main" id="{00000000-0008-0000-0200-00009D030000}"/>
                  </a:ext>
                </a:extLst>
              </xdr:cNvPr>
              <xdr:cNvSpPr txBox="1">
                <a:spLocks/>
              </xdr:cNvSpPr>
            </xdr:nvSpPr>
            <xdr:spPr>
              <a:xfrm>
                <a:off x="7745235" y="4224791"/>
                <a:ext cx="1367302" cy="1522026"/>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must access most resources thru others. I can only get a few on my own. </a:t>
                </a:r>
              </a:p>
            </xdr:txBody>
          </xdr:sp>
        </xdr:grpSp>
        <xdr:grpSp>
          <xdr:nvGrpSpPr>
            <xdr:cNvPr id="907" name="Group 906">
              <a:extLst>
                <a:ext uri="{FF2B5EF4-FFF2-40B4-BE49-F238E27FC236}">
                  <a16:creationId xmlns:a16="http://schemas.microsoft.com/office/drawing/2014/main" id="{00000000-0008-0000-0200-00008B030000}"/>
                </a:ext>
              </a:extLst>
            </xdr:cNvPr>
            <xdr:cNvGrpSpPr/>
          </xdr:nvGrpSpPr>
          <xdr:grpSpPr>
            <a:xfrm>
              <a:off x="24987165" y="32459649"/>
              <a:ext cx="1771541" cy="5168154"/>
              <a:chOff x="7543115" y="2338157"/>
              <a:chExt cx="1771541" cy="5168154"/>
            </a:xfrm>
          </xdr:grpSpPr>
          <xdr:sp macro="" textlink="">
            <xdr:nvSpPr>
              <xdr:cNvPr id="918" name="Oval 917">
                <a:extLst>
                  <a:ext uri="{FF2B5EF4-FFF2-40B4-BE49-F238E27FC236}">
                    <a16:creationId xmlns:a16="http://schemas.microsoft.com/office/drawing/2014/main" id="{00000000-0008-0000-0200-000096030000}"/>
                  </a:ext>
                </a:extLst>
              </xdr:cNvPr>
              <xdr:cNvSpPr/>
            </xdr:nvSpPr>
            <xdr:spPr>
              <a:xfrm>
                <a:off x="7686751" y="2338157"/>
                <a:ext cx="1463040" cy="5168154"/>
              </a:xfrm>
              <a:prstGeom prst="ellipse">
                <a:avLst/>
              </a:prstGeom>
              <a:solidFill>
                <a:srgbClr val="00B0F0">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19" name="I know everyone.">
                <a:extLst>
                  <a:ext uri="{FF2B5EF4-FFF2-40B4-BE49-F238E27FC236}">
                    <a16:creationId xmlns:a16="http://schemas.microsoft.com/office/drawing/2014/main" id="{00000000-0008-0000-0200-000097030000}"/>
                  </a:ext>
                </a:extLst>
              </xdr:cNvPr>
              <xdr:cNvSpPr txBox="1">
                <a:spLocks/>
              </xdr:cNvSpPr>
            </xdr:nvSpPr>
            <xdr:spPr>
              <a:xfrm>
                <a:off x="7664451" y="2647237"/>
                <a:ext cx="1553587" cy="166687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No one here really knows me. I don’t really know any of them beyond social categories.</a:t>
                </a:r>
              </a:p>
            </xdr:txBody>
          </xdr:sp>
          <xdr:sp macro="" textlink="">
            <xdr:nvSpPr>
              <xdr:cNvPr id="920" name="I know everyone.">
                <a:extLst>
                  <a:ext uri="{FF2B5EF4-FFF2-40B4-BE49-F238E27FC236}">
                    <a16:creationId xmlns:a16="http://schemas.microsoft.com/office/drawing/2014/main" id="{00000000-0008-0000-0200-000098030000}"/>
                  </a:ext>
                </a:extLst>
              </xdr:cNvPr>
              <xdr:cNvSpPr txBox="1">
                <a:spLocks/>
              </xdr:cNvSpPr>
            </xdr:nvSpPr>
            <xdr:spPr>
              <a:xfrm>
                <a:off x="7592272" y="5759627"/>
                <a:ext cx="1673226" cy="129574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rarely resolve fully. I’m in continual pain, and vulnerable to trauma.</a:t>
                </a:r>
              </a:p>
            </xdr:txBody>
          </xdr:sp>
          <xdr:sp macro="" textlink="">
            <xdr:nvSpPr>
              <xdr:cNvPr id="921" name="I know everyone.">
                <a:extLst>
                  <a:ext uri="{FF2B5EF4-FFF2-40B4-BE49-F238E27FC236}">
                    <a16:creationId xmlns:a16="http://schemas.microsoft.com/office/drawing/2014/main" id="{00000000-0008-0000-0200-000099030000}"/>
                  </a:ext>
                </a:extLst>
              </xdr:cNvPr>
              <xdr:cNvSpPr txBox="1">
                <a:spLocks/>
              </xdr:cNvSpPr>
            </xdr:nvSpPr>
            <xdr:spPr>
              <a:xfrm>
                <a:off x="7543115" y="4224792"/>
                <a:ext cx="1771541" cy="152203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must access almost all resources thru others. I can’t count on being able </a:t>
                </a:r>
                <a:r>
                  <a:rPr lang="en-US" sz="800" b="1" spc="-80">
                    <a:solidFill>
                      <a:srgbClr val="007332"/>
                    </a:solidFill>
                    <a:latin typeface="Tahoma" panose="020B0604030504040204" pitchFamily="34" charset="0"/>
                    <a:ea typeface="Tahoma" panose="020B0604030504040204" pitchFamily="34" charset="0"/>
                    <a:cs typeface="Tahoma" panose="020B0604030504040204" pitchFamily="34" charset="0"/>
                  </a:rPr>
                  <a:t>to get </a:t>
                </a:r>
                <a:r>
                  <a:rPr lang="en-US" sz="800" b="1" kern="1200" spc="-30">
                    <a:solidFill>
                      <a:srgbClr val="007332"/>
                    </a:solidFill>
                    <a:latin typeface="Tahoma" panose="020B0604030504040204" pitchFamily="34" charset="0"/>
                    <a:ea typeface="Tahoma" panose="020B0604030504040204" pitchFamily="34" charset="0"/>
                    <a:cs typeface="Tahoma" panose="020B0604030504040204" pitchFamily="34" charset="0"/>
                  </a:rPr>
                  <a:t>what I need on my own. </a:t>
                </a:r>
              </a:p>
            </xdr:txBody>
          </xdr:sp>
        </xdr:grpSp>
        <xdr:grpSp>
          <xdr:nvGrpSpPr>
            <xdr:cNvPr id="908" name="Group 907">
              <a:extLst>
                <a:ext uri="{FF2B5EF4-FFF2-40B4-BE49-F238E27FC236}">
                  <a16:creationId xmlns:a16="http://schemas.microsoft.com/office/drawing/2014/main" id="{00000000-0008-0000-0200-00008C030000}"/>
                </a:ext>
              </a:extLst>
            </xdr:cNvPr>
            <xdr:cNvGrpSpPr/>
          </xdr:nvGrpSpPr>
          <xdr:grpSpPr>
            <a:xfrm>
              <a:off x="30875364" y="32492689"/>
              <a:ext cx="1639029" cy="5168156"/>
              <a:chOff x="7644436" y="2371197"/>
              <a:chExt cx="1639029" cy="5168156"/>
            </a:xfrm>
          </xdr:grpSpPr>
          <xdr:sp macro="" textlink="">
            <xdr:nvSpPr>
              <xdr:cNvPr id="914" name="Oval 913">
                <a:extLst>
                  <a:ext uri="{FF2B5EF4-FFF2-40B4-BE49-F238E27FC236}">
                    <a16:creationId xmlns:a16="http://schemas.microsoft.com/office/drawing/2014/main" id="{00000000-0008-0000-0200-000092030000}"/>
                  </a:ext>
                </a:extLst>
              </xdr:cNvPr>
              <xdr:cNvSpPr/>
            </xdr:nvSpPr>
            <xdr:spPr>
              <a:xfrm>
                <a:off x="7686750" y="2371197"/>
                <a:ext cx="1463040" cy="5168156"/>
              </a:xfrm>
              <a:prstGeom prst="ellipse">
                <a:avLst/>
              </a:prstGeom>
              <a:solidFill>
                <a:srgbClr val="FF9999">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15" name="I know everyone.">
                <a:extLst>
                  <a:ext uri="{FF2B5EF4-FFF2-40B4-BE49-F238E27FC236}">
                    <a16:creationId xmlns:a16="http://schemas.microsoft.com/office/drawing/2014/main" id="{00000000-0008-0000-0200-000093030000}"/>
                  </a:ext>
                </a:extLst>
              </xdr:cNvPr>
              <xdr:cNvSpPr txBox="1">
                <a:spLocks/>
              </xdr:cNvSpPr>
            </xdr:nvSpPr>
            <xdr:spPr>
              <a:xfrm>
                <a:off x="7832092" y="2676733"/>
                <a:ext cx="1193589" cy="1481665"/>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mostly know everyone here. They think they know me.</a:t>
                </a:r>
              </a:p>
            </xdr:txBody>
          </xdr:sp>
          <xdr:sp macro="" textlink="">
            <xdr:nvSpPr>
              <xdr:cNvPr id="916" name="I know everyone.">
                <a:extLst>
                  <a:ext uri="{FF2B5EF4-FFF2-40B4-BE49-F238E27FC236}">
                    <a16:creationId xmlns:a16="http://schemas.microsoft.com/office/drawing/2014/main" id="{00000000-0008-0000-0200-000094030000}"/>
                  </a:ext>
                </a:extLst>
              </xdr:cNvPr>
              <xdr:cNvSpPr txBox="1">
                <a:spLocks/>
              </xdr:cNvSpPr>
            </xdr:nvSpPr>
            <xdr:spPr>
              <a:xfrm>
                <a:off x="7707979" y="5759630"/>
                <a:ext cx="1441811" cy="129574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only partially resolve. I frequently feel dissatisfied.</a:t>
                </a:r>
              </a:p>
            </xdr:txBody>
          </xdr:sp>
          <xdr:sp macro="" textlink="">
            <xdr:nvSpPr>
              <xdr:cNvPr id="917" name="I know everyone.">
                <a:extLst>
                  <a:ext uri="{FF2B5EF4-FFF2-40B4-BE49-F238E27FC236}">
                    <a16:creationId xmlns:a16="http://schemas.microsoft.com/office/drawing/2014/main" id="{00000000-0008-0000-0200-000095030000}"/>
                  </a:ext>
                </a:extLst>
              </xdr:cNvPr>
              <xdr:cNvSpPr txBox="1">
                <a:spLocks/>
              </xdr:cNvSpPr>
            </xdr:nvSpPr>
            <xdr:spPr>
              <a:xfrm>
                <a:off x="7644436" y="4114502"/>
                <a:ext cx="1639029" cy="1860256"/>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access resources mostly on my own or locally. I don’t like relying on those I can’t personally know.</a:t>
                </a:r>
              </a:p>
            </xdr:txBody>
          </xdr:sp>
        </xdr:grpSp>
        <xdr:grpSp>
          <xdr:nvGrpSpPr>
            <xdr:cNvPr id="909" name="Group 908">
              <a:extLst>
                <a:ext uri="{FF2B5EF4-FFF2-40B4-BE49-F238E27FC236}">
                  <a16:creationId xmlns:a16="http://schemas.microsoft.com/office/drawing/2014/main" id="{00000000-0008-0000-0200-00008D030000}"/>
                </a:ext>
              </a:extLst>
            </xdr:cNvPr>
            <xdr:cNvGrpSpPr/>
          </xdr:nvGrpSpPr>
          <xdr:grpSpPr>
            <a:xfrm>
              <a:off x="32624815" y="32459654"/>
              <a:ext cx="1961005" cy="5168155"/>
              <a:chOff x="7448382" y="2338162"/>
              <a:chExt cx="1961005" cy="5168155"/>
            </a:xfrm>
          </xdr:grpSpPr>
          <xdr:sp macro="" textlink="">
            <xdr:nvSpPr>
              <xdr:cNvPr id="910" name="Oval 909">
                <a:extLst>
                  <a:ext uri="{FF2B5EF4-FFF2-40B4-BE49-F238E27FC236}">
                    <a16:creationId xmlns:a16="http://schemas.microsoft.com/office/drawing/2014/main" id="{00000000-0008-0000-0200-00008E030000}"/>
                  </a:ext>
                </a:extLst>
              </xdr:cNvPr>
              <xdr:cNvSpPr/>
            </xdr:nvSpPr>
            <xdr:spPr>
              <a:xfrm>
                <a:off x="7686751" y="2338162"/>
                <a:ext cx="1463040" cy="5168155"/>
              </a:xfrm>
              <a:prstGeom prst="ellipse">
                <a:avLst/>
              </a:prstGeom>
              <a:solidFill>
                <a:srgbClr val="FF3C3C">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11" name="I know everyone.">
                <a:extLst>
                  <a:ext uri="{FF2B5EF4-FFF2-40B4-BE49-F238E27FC236}">
                    <a16:creationId xmlns:a16="http://schemas.microsoft.com/office/drawing/2014/main" id="{00000000-0008-0000-0200-00008F030000}"/>
                  </a:ext>
                </a:extLst>
              </xdr:cNvPr>
              <xdr:cNvSpPr txBox="1">
                <a:spLocks/>
              </xdr:cNvSpPr>
            </xdr:nvSpPr>
            <xdr:spPr>
              <a:xfrm>
                <a:off x="7821476" y="2648638"/>
                <a:ext cx="1193589" cy="1481665"/>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think I know everyone here. Few here really know me.</a:t>
                </a:r>
              </a:p>
            </xdr:txBody>
          </xdr:sp>
          <xdr:sp macro="" textlink="">
            <xdr:nvSpPr>
              <xdr:cNvPr id="912" name="I know everyone.">
                <a:extLst>
                  <a:ext uri="{FF2B5EF4-FFF2-40B4-BE49-F238E27FC236}">
                    <a16:creationId xmlns:a16="http://schemas.microsoft.com/office/drawing/2014/main" id="{00000000-0008-0000-0200-000090030000}"/>
                  </a:ext>
                </a:extLst>
              </xdr:cNvPr>
              <xdr:cNvSpPr txBox="1">
                <a:spLocks/>
              </xdr:cNvSpPr>
            </xdr:nvSpPr>
            <xdr:spPr>
              <a:xfrm>
                <a:off x="7448382" y="5759626"/>
                <a:ext cx="1961005" cy="101384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rarely resolve fully. I’m easily irritated by those I don’t know.</a:t>
                </a:r>
              </a:p>
            </xdr:txBody>
          </xdr:sp>
          <xdr:sp macro="" textlink="">
            <xdr:nvSpPr>
              <xdr:cNvPr id="913" name="I know everyone.">
                <a:extLst>
                  <a:ext uri="{FF2B5EF4-FFF2-40B4-BE49-F238E27FC236}">
                    <a16:creationId xmlns:a16="http://schemas.microsoft.com/office/drawing/2014/main" id="{00000000-0008-0000-0200-000091030000}"/>
                  </a:ext>
                </a:extLst>
              </xdr:cNvPr>
              <xdr:cNvSpPr txBox="1">
                <a:spLocks/>
              </xdr:cNvSpPr>
            </xdr:nvSpPr>
            <xdr:spPr>
              <a:xfrm>
                <a:off x="7831022" y="4126685"/>
                <a:ext cx="1200238" cy="152202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must access resources mostly on my own. I can’t count on others.</a:t>
                </a:r>
              </a:p>
            </xdr:txBody>
          </xdr:sp>
        </xdr:grpSp>
      </xdr:grpSp>
    </xdr:grpSp>
    <xdr:clientData/>
  </xdr:twoCellAnchor>
  <xdr:twoCellAnchor>
    <xdr:from>
      <xdr:col>0</xdr:col>
      <xdr:colOff>114300</xdr:colOff>
      <xdr:row>680</xdr:row>
      <xdr:rowOff>13639</xdr:rowOff>
    </xdr:from>
    <xdr:to>
      <xdr:col>13</xdr:col>
      <xdr:colOff>15240</xdr:colOff>
      <xdr:row>691</xdr:row>
      <xdr:rowOff>77339</xdr:rowOff>
    </xdr:to>
    <xdr:grpSp>
      <xdr:nvGrpSpPr>
        <xdr:cNvPr id="49" name="Group 48">
          <a:extLst>
            <a:ext uri="{FF2B5EF4-FFF2-40B4-BE49-F238E27FC236}">
              <a16:creationId xmlns:a16="http://schemas.microsoft.com/office/drawing/2014/main" id="{00000000-0008-0000-0200-000031000000}"/>
            </a:ext>
          </a:extLst>
        </xdr:cNvPr>
        <xdr:cNvGrpSpPr/>
      </xdr:nvGrpSpPr>
      <xdr:grpSpPr>
        <a:xfrm>
          <a:off x="114300" y="133394119"/>
          <a:ext cx="6050280" cy="1991560"/>
          <a:chOff x="114300" y="124745419"/>
          <a:chExt cx="5966460" cy="1991560"/>
        </a:xfrm>
      </xdr:grpSpPr>
      <xdr:grpSp>
        <xdr:nvGrpSpPr>
          <xdr:cNvPr id="2226" name="Group 2225">
            <a:extLst>
              <a:ext uri="{FF2B5EF4-FFF2-40B4-BE49-F238E27FC236}">
                <a16:creationId xmlns:a16="http://schemas.microsoft.com/office/drawing/2014/main" id="{00000000-0008-0000-0200-0000B2080000}"/>
              </a:ext>
            </a:extLst>
          </xdr:cNvPr>
          <xdr:cNvGrpSpPr>
            <a:grpSpLocks noChangeAspect="1"/>
          </xdr:cNvGrpSpPr>
        </xdr:nvGrpSpPr>
        <xdr:grpSpPr>
          <a:xfrm>
            <a:off x="3291085" y="124753058"/>
            <a:ext cx="850221" cy="1982459"/>
            <a:chOff x="14944724" y="104774999"/>
            <a:chExt cx="1371601" cy="3409948"/>
          </a:xfrm>
        </xdr:grpSpPr>
        <xdr:grpSp>
          <xdr:nvGrpSpPr>
            <xdr:cNvPr id="2407" name="Group 2406">
              <a:extLst>
                <a:ext uri="{FF2B5EF4-FFF2-40B4-BE49-F238E27FC236}">
                  <a16:creationId xmlns:a16="http://schemas.microsoft.com/office/drawing/2014/main" id="{00000000-0008-0000-0200-000067090000}"/>
                </a:ext>
              </a:extLst>
            </xdr:cNvPr>
            <xdr:cNvGrpSpPr/>
          </xdr:nvGrpSpPr>
          <xdr:grpSpPr>
            <a:xfrm>
              <a:off x="14944724" y="105441747"/>
              <a:ext cx="1053296" cy="2743200"/>
              <a:chOff x="14944724" y="105441747"/>
              <a:chExt cx="1053296" cy="2743200"/>
            </a:xfrm>
          </xdr:grpSpPr>
          <xdr:grpSp>
            <xdr:nvGrpSpPr>
              <xdr:cNvPr id="2409" name="Group 2408">
                <a:extLst>
                  <a:ext uri="{FF2B5EF4-FFF2-40B4-BE49-F238E27FC236}">
                    <a16:creationId xmlns:a16="http://schemas.microsoft.com/office/drawing/2014/main" id="{00000000-0008-0000-0200-00006909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2414" name="Rectangle: Rounded Corners 2413">
                  <a:extLst>
                    <a:ext uri="{FF2B5EF4-FFF2-40B4-BE49-F238E27FC236}">
                      <a16:creationId xmlns:a16="http://schemas.microsoft.com/office/drawing/2014/main" id="{00000000-0008-0000-0200-00006E090000}"/>
                    </a:ext>
                  </a:extLst>
                </xdr:cNvPr>
                <xdr:cNvSpPr/>
              </xdr:nvSpPr>
              <xdr:spPr>
                <a:xfrm>
                  <a:off x="4819649"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5" name="Rectangle: Rounded Corners 2414">
                  <a:extLst>
                    <a:ext uri="{FF2B5EF4-FFF2-40B4-BE49-F238E27FC236}">
                      <a16:creationId xmlns:a16="http://schemas.microsoft.com/office/drawing/2014/main" id="{00000000-0008-0000-0200-00006F090000}"/>
                    </a:ext>
                  </a:extLst>
                </xdr:cNvPr>
                <xdr:cNvSpPr/>
              </xdr:nvSpPr>
              <xdr:spPr>
                <a:xfrm>
                  <a:off x="6962774"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6" name="Rectangle: Rounded Corners 2415">
                  <a:extLst>
                    <a:ext uri="{FF2B5EF4-FFF2-40B4-BE49-F238E27FC236}">
                      <a16:creationId xmlns:a16="http://schemas.microsoft.com/office/drawing/2014/main" id="{00000000-0008-0000-0200-000070090000}"/>
                    </a:ext>
                  </a:extLst>
                </xdr:cNvPr>
                <xdr:cNvSpPr/>
              </xdr:nvSpPr>
              <xdr:spPr>
                <a:xfrm rot="16200000">
                  <a:off x="5553075" y="105336972"/>
                  <a:ext cx="1133477" cy="2581278"/>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7" name="Rectangle: Rounded Corners 2416">
                  <a:extLst>
                    <a:ext uri="{FF2B5EF4-FFF2-40B4-BE49-F238E27FC236}">
                      <a16:creationId xmlns:a16="http://schemas.microsoft.com/office/drawing/2014/main" id="{00000000-0008-0000-0200-000071090000}"/>
                    </a:ext>
                  </a:extLst>
                </xdr:cNvPr>
                <xdr:cNvSpPr/>
              </xdr:nvSpPr>
              <xdr:spPr>
                <a:xfrm rot="16200000">
                  <a:off x="5557838" y="104751184"/>
                  <a:ext cx="1133477" cy="1143003"/>
                </a:xfrm>
                <a:prstGeom prst="roundRect">
                  <a:avLst>
                    <a:gd name="adj" fmla="val 47917"/>
                  </a:avLst>
                </a:prstGeom>
                <a:solidFill>
                  <a:srgbClr val="FF99CC"/>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8" name="Rectangle: Rounded Corners 2417">
                  <a:extLst>
                    <a:ext uri="{FF2B5EF4-FFF2-40B4-BE49-F238E27FC236}">
                      <a16:creationId xmlns:a16="http://schemas.microsoft.com/office/drawing/2014/main" id="{00000000-0008-0000-0200-000072090000}"/>
                    </a:ext>
                  </a:extLst>
                </xdr:cNvPr>
                <xdr:cNvSpPr/>
              </xdr:nvSpPr>
              <xdr:spPr>
                <a:xfrm rot="16200000">
                  <a:off x="5210177" y="107203872"/>
                  <a:ext cx="1828799" cy="1143003"/>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9" name="Rectangle: Rounded Corners 2418">
                  <a:extLst>
                    <a:ext uri="{FF2B5EF4-FFF2-40B4-BE49-F238E27FC236}">
                      <a16:creationId xmlns:a16="http://schemas.microsoft.com/office/drawing/2014/main" id="{00000000-0008-0000-0200-000073090000}"/>
                    </a:ext>
                  </a:extLst>
                </xdr:cNvPr>
                <xdr:cNvSpPr/>
              </xdr:nvSpPr>
              <xdr:spPr>
                <a:xfrm>
                  <a:off x="541972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20" name="Rectangle: Rounded Corners 2419">
                  <a:extLst>
                    <a:ext uri="{FF2B5EF4-FFF2-40B4-BE49-F238E27FC236}">
                      <a16:creationId xmlns:a16="http://schemas.microsoft.com/office/drawing/2014/main" id="{00000000-0008-0000-0200-000074090000}"/>
                    </a:ext>
                  </a:extLst>
                </xdr:cNvPr>
                <xdr:cNvSpPr/>
              </xdr:nvSpPr>
              <xdr:spPr>
                <a:xfrm>
                  <a:off x="620077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410" name="Group 2409">
                <a:extLst>
                  <a:ext uri="{FF2B5EF4-FFF2-40B4-BE49-F238E27FC236}">
                    <a16:creationId xmlns:a16="http://schemas.microsoft.com/office/drawing/2014/main" id="{00000000-0008-0000-0200-00006A090000}"/>
                  </a:ext>
                </a:extLst>
              </xdr:cNvPr>
              <xdr:cNvGrpSpPr/>
            </xdr:nvGrpSpPr>
            <xdr:grpSpPr>
              <a:xfrm>
                <a:off x="15001875" y="106064797"/>
                <a:ext cx="953589" cy="1109382"/>
                <a:chOff x="-11112" y="0"/>
                <a:chExt cx="1112519" cy="1371600"/>
              </a:xfrm>
            </xdr:grpSpPr>
            <xdr:sp macro="" textlink="">
              <xdr:nvSpPr>
                <xdr:cNvPr id="2411" name="Rectangle 2410">
                  <a:extLst>
                    <a:ext uri="{FF2B5EF4-FFF2-40B4-BE49-F238E27FC236}">
                      <a16:creationId xmlns:a16="http://schemas.microsoft.com/office/drawing/2014/main" id="{00000000-0008-0000-0200-00006B090000}"/>
                    </a:ext>
                  </a:extLst>
                </xdr:cNvPr>
                <xdr:cNvSpPr/>
              </xdr:nvSpPr>
              <xdr:spPr>
                <a:xfrm>
                  <a:off x="-11112" y="0"/>
                  <a:ext cx="457200" cy="1371600"/>
                </a:xfrm>
                <a:prstGeom prst="rect">
                  <a:avLst/>
                </a:prstGeom>
                <a:gradFill>
                  <a:gsLst>
                    <a:gs pos="0">
                      <a:schemeClr val="bg1">
                        <a:lumMod val="95000"/>
                      </a:schemeClr>
                    </a:gs>
                    <a:gs pos="44000">
                      <a:schemeClr val="bg1">
                        <a:lumMod val="95000"/>
                      </a:schemeClr>
                    </a:gs>
                    <a:gs pos="45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412" name="Rectangle 2411">
                  <a:extLst>
                    <a:ext uri="{FF2B5EF4-FFF2-40B4-BE49-F238E27FC236}">
                      <a16:creationId xmlns:a16="http://schemas.microsoft.com/office/drawing/2014/main" id="{00000000-0008-0000-0200-00006C090000}"/>
                    </a:ext>
                  </a:extLst>
                </xdr:cNvPr>
                <xdr:cNvSpPr/>
              </xdr:nvSpPr>
              <xdr:spPr>
                <a:xfrm>
                  <a:off x="644207" y="0"/>
                  <a:ext cx="457200" cy="1371600"/>
                </a:xfrm>
                <a:prstGeom prst="rect">
                  <a:avLst/>
                </a:prstGeom>
                <a:gradFill>
                  <a:gsLst>
                    <a:gs pos="0">
                      <a:schemeClr val="bg1">
                        <a:lumMod val="95000"/>
                      </a:schemeClr>
                    </a:gs>
                    <a:gs pos="35000">
                      <a:schemeClr val="bg1">
                        <a:lumMod val="95000"/>
                      </a:schemeClr>
                    </a:gs>
                    <a:gs pos="36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413" name="Straight Connector 2412">
                  <a:extLst>
                    <a:ext uri="{FF2B5EF4-FFF2-40B4-BE49-F238E27FC236}">
                      <a16:creationId xmlns:a16="http://schemas.microsoft.com/office/drawing/2014/main" id="{00000000-0008-0000-0200-00006D090000}"/>
                    </a:ext>
                  </a:extLst>
                </xdr:cNvPr>
                <xdr:cNvCxnSpPr/>
              </xdr:nvCxnSpPr>
              <xdr:spPr>
                <a:xfrm rot="600000" flipV="1">
                  <a:off x="446043" y="515148"/>
                  <a:ext cx="203729" cy="129739"/>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408" name="Thought Bubble: Cloud 2407">
              <a:extLst>
                <a:ext uri="{FF2B5EF4-FFF2-40B4-BE49-F238E27FC236}">
                  <a16:creationId xmlns:a16="http://schemas.microsoft.com/office/drawing/2014/main" id="{00000000-0008-0000-0200-000068090000}"/>
                </a:ext>
              </a:extLst>
            </xdr:cNvPr>
            <xdr:cNvSpPr/>
          </xdr:nvSpPr>
          <xdr:spPr>
            <a:xfrm>
              <a:off x="15144750"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50" name="Group 2249">
            <a:extLst>
              <a:ext uri="{FF2B5EF4-FFF2-40B4-BE49-F238E27FC236}">
                <a16:creationId xmlns:a16="http://schemas.microsoft.com/office/drawing/2014/main" id="{00000000-0008-0000-0200-0000CA080000}"/>
              </a:ext>
            </a:extLst>
          </xdr:cNvPr>
          <xdr:cNvGrpSpPr>
            <a:grpSpLocks noChangeAspect="1"/>
          </xdr:cNvGrpSpPr>
        </xdr:nvGrpSpPr>
        <xdr:grpSpPr>
          <a:xfrm>
            <a:off x="5354531" y="124752993"/>
            <a:ext cx="726229" cy="1982459"/>
            <a:chOff x="14933712" y="104774999"/>
            <a:chExt cx="1171575" cy="3409948"/>
          </a:xfrm>
        </xdr:grpSpPr>
        <xdr:grpSp>
          <xdr:nvGrpSpPr>
            <xdr:cNvPr id="2393" name="Group 2392">
              <a:extLst>
                <a:ext uri="{FF2B5EF4-FFF2-40B4-BE49-F238E27FC236}">
                  <a16:creationId xmlns:a16="http://schemas.microsoft.com/office/drawing/2014/main" id="{00000000-0008-0000-0200-000059090000}"/>
                </a:ext>
              </a:extLst>
            </xdr:cNvPr>
            <xdr:cNvGrpSpPr/>
          </xdr:nvGrpSpPr>
          <xdr:grpSpPr>
            <a:xfrm>
              <a:off x="14944724" y="105441747"/>
              <a:ext cx="1053296" cy="2743200"/>
              <a:chOff x="14944724" y="105441747"/>
              <a:chExt cx="1053296" cy="2743200"/>
            </a:xfrm>
          </xdr:grpSpPr>
          <xdr:grpSp>
            <xdr:nvGrpSpPr>
              <xdr:cNvPr id="2395" name="Group 2394">
                <a:extLst>
                  <a:ext uri="{FF2B5EF4-FFF2-40B4-BE49-F238E27FC236}">
                    <a16:creationId xmlns:a16="http://schemas.microsoft.com/office/drawing/2014/main" id="{00000000-0008-0000-0200-00005B09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2400" name="Rectangle: Rounded Corners 2399">
                  <a:extLst>
                    <a:ext uri="{FF2B5EF4-FFF2-40B4-BE49-F238E27FC236}">
                      <a16:creationId xmlns:a16="http://schemas.microsoft.com/office/drawing/2014/main" id="{00000000-0008-0000-0200-000060090000}"/>
                    </a:ext>
                  </a:extLst>
                </xdr:cNvPr>
                <xdr:cNvSpPr/>
              </xdr:nvSpPr>
              <xdr:spPr>
                <a:xfrm>
                  <a:off x="4819649"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1" name="Rectangle: Rounded Corners 2400">
                  <a:extLst>
                    <a:ext uri="{FF2B5EF4-FFF2-40B4-BE49-F238E27FC236}">
                      <a16:creationId xmlns:a16="http://schemas.microsoft.com/office/drawing/2014/main" id="{00000000-0008-0000-0200-000061090000}"/>
                    </a:ext>
                  </a:extLst>
                </xdr:cNvPr>
                <xdr:cNvSpPr/>
              </xdr:nvSpPr>
              <xdr:spPr>
                <a:xfrm>
                  <a:off x="6962774"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2" name="Rectangle: Rounded Corners 2401">
                  <a:extLst>
                    <a:ext uri="{FF2B5EF4-FFF2-40B4-BE49-F238E27FC236}">
                      <a16:creationId xmlns:a16="http://schemas.microsoft.com/office/drawing/2014/main" id="{00000000-0008-0000-0200-000062090000}"/>
                    </a:ext>
                  </a:extLst>
                </xdr:cNvPr>
                <xdr:cNvSpPr/>
              </xdr:nvSpPr>
              <xdr:spPr>
                <a:xfrm rot="16200000">
                  <a:off x="5553075" y="105336972"/>
                  <a:ext cx="1133477" cy="2581278"/>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3" name="Rectangle: Rounded Corners 2402">
                  <a:extLst>
                    <a:ext uri="{FF2B5EF4-FFF2-40B4-BE49-F238E27FC236}">
                      <a16:creationId xmlns:a16="http://schemas.microsoft.com/office/drawing/2014/main" id="{00000000-0008-0000-0200-000063090000}"/>
                    </a:ext>
                  </a:extLst>
                </xdr:cNvPr>
                <xdr:cNvSpPr/>
              </xdr:nvSpPr>
              <xdr:spPr>
                <a:xfrm rot="16200000">
                  <a:off x="5557838" y="104751184"/>
                  <a:ext cx="1133477" cy="1143003"/>
                </a:xfrm>
                <a:prstGeom prst="roundRect">
                  <a:avLst>
                    <a:gd name="adj" fmla="val 47917"/>
                  </a:avLst>
                </a:prstGeom>
                <a:solidFill>
                  <a:srgbClr val="FF000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4" name="Rectangle: Rounded Corners 2403">
                  <a:extLst>
                    <a:ext uri="{FF2B5EF4-FFF2-40B4-BE49-F238E27FC236}">
                      <a16:creationId xmlns:a16="http://schemas.microsoft.com/office/drawing/2014/main" id="{00000000-0008-0000-0200-000064090000}"/>
                    </a:ext>
                  </a:extLst>
                </xdr:cNvPr>
                <xdr:cNvSpPr/>
              </xdr:nvSpPr>
              <xdr:spPr>
                <a:xfrm rot="16200000">
                  <a:off x="5210177" y="107203872"/>
                  <a:ext cx="1828799" cy="1143003"/>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5" name="Rectangle: Rounded Corners 2404">
                  <a:extLst>
                    <a:ext uri="{FF2B5EF4-FFF2-40B4-BE49-F238E27FC236}">
                      <a16:creationId xmlns:a16="http://schemas.microsoft.com/office/drawing/2014/main" id="{00000000-0008-0000-0200-000065090000}"/>
                    </a:ext>
                  </a:extLst>
                </xdr:cNvPr>
                <xdr:cNvSpPr/>
              </xdr:nvSpPr>
              <xdr:spPr>
                <a:xfrm>
                  <a:off x="541972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6" name="Rectangle: Rounded Corners 2405">
                  <a:extLst>
                    <a:ext uri="{FF2B5EF4-FFF2-40B4-BE49-F238E27FC236}">
                      <a16:creationId xmlns:a16="http://schemas.microsoft.com/office/drawing/2014/main" id="{00000000-0008-0000-0200-000066090000}"/>
                    </a:ext>
                  </a:extLst>
                </xdr:cNvPr>
                <xdr:cNvSpPr/>
              </xdr:nvSpPr>
              <xdr:spPr>
                <a:xfrm>
                  <a:off x="620077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96" name="Group 2395">
                <a:extLst>
                  <a:ext uri="{FF2B5EF4-FFF2-40B4-BE49-F238E27FC236}">
                    <a16:creationId xmlns:a16="http://schemas.microsoft.com/office/drawing/2014/main" id="{00000000-0008-0000-0200-00005C090000}"/>
                  </a:ext>
                </a:extLst>
              </xdr:cNvPr>
              <xdr:cNvGrpSpPr/>
            </xdr:nvGrpSpPr>
            <xdr:grpSpPr>
              <a:xfrm>
                <a:off x="15001875" y="106064797"/>
                <a:ext cx="953589" cy="1109382"/>
                <a:chOff x="-11112" y="0"/>
                <a:chExt cx="1112519" cy="1371600"/>
              </a:xfrm>
            </xdr:grpSpPr>
            <xdr:sp macro="" textlink="">
              <xdr:nvSpPr>
                <xdr:cNvPr id="2397" name="Rectangle 2396">
                  <a:extLst>
                    <a:ext uri="{FF2B5EF4-FFF2-40B4-BE49-F238E27FC236}">
                      <a16:creationId xmlns:a16="http://schemas.microsoft.com/office/drawing/2014/main" id="{00000000-0008-0000-0200-00005D090000}"/>
                    </a:ext>
                  </a:extLst>
                </xdr:cNvPr>
                <xdr:cNvSpPr/>
              </xdr:nvSpPr>
              <xdr:spPr>
                <a:xfrm>
                  <a:off x="-11112" y="0"/>
                  <a:ext cx="457200" cy="1371600"/>
                </a:xfrm>
                <a:prstGeom prst="rect">
                  <a:avLst/>
                </a:prstGeom>
                <a:gradFill>
                  <a:gsLst>
                    <a:gs pos="0">
                      <a:schemeClr val="bg1">
                        <a:lumMod val="95000"/>
                      </a:schemeClr>
                    </a:gs>
                    <a:gs pos="89000">
                      <a:schemeClr val="bg1">
                        <a:lumMod val="95000"/>
                      </a:schemeClr>
                    </a:gs>
                    <a:gs pos="9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98" name="Rectangle 2397">
                  <a:extLst>
                    <a:ext uri="{FF2B5EF4-FFF2-40B4-BE49-F238E27FC236}">
                      <a16:creationId xmlns:a16="http://schemas.microsoft.com/office/drawing/2014/main" id="{00000000-0008-0000-0200-00005E09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99" name="Straight Connector 2398">
                  <a:extLst>
                    <a:ext uri="{FF2B5EF4-FFF2-40B4-BE49-F238E27FC236}">
                      <a16:creationId xmlns:a16="http://schemas.microsoft.com/office/drawing/2014/main" id="{00000000-0008-0000-0200-00005F090000}"/>
                    </a:ext>
                  </a:extLst>
                </xdr:cNvPr>
                <xdr:cNvCxnSpPr/>
              </xdr:nvCxnSpPr>
              <xdr:spPr>
                <a:xfrm rot="20700000" flipV="1">
                  <a:off x="422466" y="1008713"/>
                  <a:ext cx="240771" cy="194458"/>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94" name="Thought Bubble: Cloud 2393">
              <a:extLst>
                <a:ext uri="{FF2B5EF4-FFF2-40B4-BE49-F238E27FC236}">
                  <a16:creationId xmlns:a16="http://schemas.microsoft.com/office/drawing/2014/main" id="{00000000-0008-0000-0200-00005A090000}"/>
                </a:ext>
              </a:extLst>
            </xdr:cNvPr>
            <xdr:cNvSpPr/>
          </xdr:nvSpPr>
          <xdr:spPr>
            <a:xfrm>
              <a:off x="14933712" y="104774999"/>
              <a:ext cx="1171575" cy="514351"/>
            </a:xfrm>
            <a:prstGeom prst="cloudCallout">
              <a:avLst>
                <a:gd name="adj1" fmla="val 4530"/>
                <a:gd name="adj2" fmla="val 103965"/>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51" name="Group 2250">
            <a:extLst>
              <a:ext uri="{FF2B5EF4-FFF2-40B4-BE49-F238E27FC236}">
                <a16:creationId xmlns:a16="http://schemas.microsoft.com/office/drawing/2014/main" id="{00000000-0008-0000-0200-0000CB080000}"/>
              </a:ext>
            </a:extLst>
          </xdr:cNvPr>
          <xdr:cNvGrpSpPr>
            <a:grpSpLocks noChangeAspect="1"/>
          </xdr:cNvGrpSpPr>
        </xdr:nvGrpSpPr>
        <xdr:grpSpPr>
          <a:xfrm>
            <a:off x="2049478" y="124745527"/>
            <a:ext cx="811344" cy="1991452"/>
            <a:chOff x="13365162" y="104788106"/>
            <a:chExt cx="1308883" cy="3425416"/>
          </a:xfrm>
        </xdr:grpSpPr>
        <xdr:grpSp>
          <xdr:nvGrpSpPr>
            <xdr:cNvPr id="2379" name="Group 2378">
              <a:extLst>
                <a:ext uri="{FF2B5EF4-FFF2-40B4-BE49-F238E27FC236}">
                  <a16:creationId xmlns:a16="http://schemas.microsoft.com/office/drawing/2014/main" id="{00000000-0008-0000-0200-00004B090000}"/>
                </a:ext>
              </a:extLst>
            </xdr:cNvPr>
            <xdr:cNvGrpSpPr/>
          </xdr:nvGrpSpPr>
          <xdr:grpSpPr>
            <a:xfrm>
              <a:off x="13620749" y="105470322"/>
              <a:ext cx="1053296" cy="2743200"/>
              <a:chOff x="13620749" y="105470322"/>
              <a:chExt cx="1053296" cy="2743200"/>
            </a:xfrm>
          </xdr:grpSpPr>
          <xdr:grpSp>
            <xdr:nvGrpSpPr>
              <xdr:cNvPr id="2381" name="Group 2380">
                <a:extLst>
                  <a:ext uri="{FF2B5EF4-FFF2-40B4-BE49-F238E27FC236}">
                    <a16:creationId xmlns:a16="http://schemas.microsoft.com/office/drawing/2014/main" id="{00000000-0008-0000-0200-00004D09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2386" name="Rectangle: Rounded Corners 2385">
                  <a:extLst>
                    <a:ext uri="{FF2B5EF4-FFF2-40B4-BE49-F238E27FC236}">
                      <a16:creationId xmlns:a16="http://schemas.microsoft.com/office/drawing/2014/main" id="{00000000-0008-0000-0200-000052090000}"/>
                    </a:ext>
                  </a:extLst>
                </xdr:cNvPr>
                <xdr:cNvSpPr/>
              </xdr:nvSpPr>
              <xdr:spPr>
                <a:xfrm>
                  <a:off x="4819649"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87" name="Rectangle: Rounded Corners 2386">
                  <a:extLst>
                    <a:ext uri="{FF2B5EF4-FFF2-40B4-BE49-F238E27FC236}">
                      <a16:creationId xmlns:a16="http://schemas.microsoft.com/office/drawing/2014/main" id="{00000000-0008-0000-0200-000053090000}"/>
                    </a:ext>
                  </a:extLst>
                </xdr:cNvPr>
                <xdr:cNvSpPr/>
              </xdr:nvSpPr>
              <xdr:spPr>
                <a:xfrm>
                  <a:off x="6962774"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88" name="Rectangle: Rounded Corners 2387">
                  <a:extLst>
                    <a:ext uri="{FF2B5EF4-FFF2-40B4-BE49-F238E27FC236}">
                      <a16:creationId xmlns:a16="http://schemas.microsoft.com/office/drawing/2014/main" id="{00000000-0008-0000-0200-000054090000}"/>
                    </a:ext>
                  </a:extLst>
                </xdr:cNvPr>
                <xdr:cNvSpPr/>
              </xdr:nvSpPr>
              <xdr:spPr>
                <a:xfrm rot="16200000">
                  <a:off x="5553075" y="105336972"/>
                  <a:ext cx="1133477" cy="2581278"/>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89" name="Rectangle: Rounded Corners 2388">
                  <a:extLst>
                    <a:ext uri="{FF2B5EF4-FFF2-40B4-BE49-F238E27FC236}">
                      <a16:creationId xmlns:a16="http://schemas.microsoft.com/office/drawing/2014/main" id="{00000000-0008-0000-0200-000055090000}"/>
                    </a:ext>
                  </a:extLst>
                </xdr:cNvPr>
                <xdr:cNvSpPr/>
              </xdr:nvSpPr>
              <xdr:spPr>
                <a:xfrm rot="16200000">
                  <a:off x="5557838" y="104751184"/>
                  <a:ext cx="1133477" cy="1143003"/>
                </a:xfrm>
                <a:prstGeom prst="roundRect">
                  <a:avLst>
                    <a:gd name="adj" fmla="val 47917"/>
                  </a:avLst>
                </a:prstGeom>
                <a:solidFill>
                  <a:srgbClr val="CCCCFF"/>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90" name="Rectangle: Rounded Corners 2389">
                  <a:extLst>
                    <a:ext uri="{FF2B5EF4-FFF2-40B4-BE49-F238E27FC236}">
                      <a16:creationId xmlns:a16="http://schemas.microsoft.com/office/drawing/2014/main" id="{00000000-0008-0000-0200-000056090000}"/>
                    </a:ext>
                  </a:extLst>
                </xdr:cNvPr>
                <xdr:cNvSpPr/>
              </xdr:nvSpPr>
              <xdr:spPr>
                <a:xfrm rot="16200000">
                  <a:off x="5210177" y="107203872"/>
                  <a:ext cx="1828799" cy="1143003"/>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91" name="Rectangle: Rounded Corners 2390">
                  <a:extLst>
                    <a:ext uri="{FF2B5EF4-FFF2-40B4-BE49-F238E27FC236}">
                      <a16:creationId xmlns:a16="http://schemas.microsoft.com/office/drawing/2014/main" id="{00000000-0008-0000-0200-000057090000}"/>
                    </a:ext>
                  </a:extLst>
                </xdr:cNvPr>
                <xdr:cNvSpPr/>
              </xdr:nvSpPr>
              <xdr:spPr>
                <a:xfrm>
                  <a:off x="541972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92" name="Rectangle: Rounded Corners 2391">
                  <a:extLst>
                    <a:ext uri="{FF2B5EF4-FFF2-40B4-BE49-F238E27FC236}">
                      <a16:creationId xmlns:a16="http://schemas.microsoft.com/office/drawing/2014/main" id="{00000000-0008-0000-0200-000058090000}"/>
                    </a:ext>
                  </a:extLst>
                </xdr:cNvPr>
                <xdr:cNvSpPr/>
              </xdr:nvSpPr>
              <xdr:spPr>
                <a:xfrm>
                  <a:off x="620077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82" name="Group 2381">
                <a:extLst>
                  <a:ext uri="{FF2B5EF4-FFF2-40B4-BE49-F238E27FC236}">
                    <a16:creationId xmlns:a16="http://schemas.microsoft.com/office/drawing/2014/main" id="{00000000-0008-0000-0200-00004E090000}"/>
                  </a:ext>
                </a:extLst>
              </xdr:cNvPr>
              <xdr:cNvGrpSpPr/>
            </xdr:nvGrpSpPr>
            <xdr:grpSpPr>
              <a:xfrm>
                <a:off x="13679805" y="106093372"/>
                <a:ext cx="953589" cy="1109382"/>
                <a:chOff x="0" y="0"/>
                <a:chExt cx="1112520" cy="1371600"/>
              </a:xfrm>
            </xdr:grpSpPr>
            <xdr:sp macro="" textlink="">
              <xdr:nvSpPr>
                <xdr:cNvPr id="2383" name="Rectangle 2382">
                  <a:extLst>
                    <a:ext uri="{FF2B5EF4-FFF2-40B4-BE49-F238E27FC236}">
                      <a16:creationId xmlns:a16="http://schemas.microsoft.com/office/drawing/2014/main" id="{00000000-0008-0000-0200-00004F090000}"/>
                    </a:ext>
                  </a:extLst>
                </xdr:cNvPr>
                <xdr:cNvSpPr/>
              </xdr:nvSpPr>
              <xdr:spPr>
                <a:xfrm>
                  <a:off x="0" y="0"/>
                  <a:ext cx="457200" cy="1371600"/>
                </a:xfrm>
                <a:prstGeom prst="rect">
                  <a:avLst/>
                </a:prstGeom>
                <a:gradFill>
                  <a:gsLst>
                    <a:gs pos="0">
                      <a:schemeClr val="bg1">
                        <a:lumMod val="95000"/>
                      </a:schemeClr>
                    </a:gs>
                    <a:gs pos="35000">
                      <a:schemeClr val="bg1">
                        <a:lumMod val="95000"/>
                      </a:schemeClr>
                    </a:gs>
                    <a:gs pos="37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84" name="Rectangle 2383">
                  <a:extLst>
                    <a:ext uri="{FF2B5EF4-FFF2-40B4-BE49-F238E27FC236}">
                      <a16:creationId xmlns:a16="http://schemas.microsoft.com/office/drawing/2014/main" id="{00000000-0008-0000-0200-000050090000}"/>
                    </a:ext>
                  </a:extLst>
                </xdr:cNvPr>
                <xdr:cNvSpPr/>
              </xdr:nvSpPr>
              <xdr:spPr>
                <a:xfrm>
                  <a:off x="655320" y="0"/>
                  <a:ext cx="457200" cy="1371600"/>
                </a:xfrm>
                <a:prstGeom prst="rect">
                  <a:avLst/>
                </a:prstGeom>
                <a:gradFill>
                  <a:gsLst>
                    <a:gs pos="0">
                      <a:schemeClr val="bg1">
                        <a:lumMod val="95000"/>
                      </a:schemeClr>
                    </a:gs>
                    <a:gs pos="44000">
                      <a:schemeClr val="bg1">
                        <a:lumMod val="95000"/>
                      </a:schemeClr>
                    </a:gs>
                    <a:gs pos="45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85" name="Straight Connector 2384">
                  <a:extLst>
                    <a:ext uri="{FF2B5EF4-FFF2-40B4-BE49-F238E27FC236}">
                      <a16:creationId xmlns:a16="http://schemas.microsoft.com/office/drawing/2014/main" id="{00000000-0008-0000-0200-000051090000}"/>
                    </a:ext>
                  </a:extLst>
                </xdr:cNvPr>
                <xdr:cNvCxnSpPr/>
              </xdr:nvCxnSpPr>
              <xdr:spPr>
                <a:xfrm rot="21000000" flipH="1" flipV="1">
                  <a:off x="457297" y="501127"/>
                  <a:ext cx="185208" cy="129741"/>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80" name="Thought Bubble: Cloud 2379">
              <a:extLst>
                <a:ext uri="{FF2B5EF4-FFF2-40B4-BE49-F238E27FC236}">
                  <a16:creationId xmlns:a16="http://schemas.microsoft.com/office/drawing/2014/main" id="{00000000-0008-0000-0200-00004C090000}"/>
                </a:ext>
              </a:extLst>
            </xdr:cNvPr>
            <xdr:cNvSpPr/>
          </xdr:nvSpPr>
          <xdr:spPr>
            <a:xfrm flipH="1">
              <a:off x="13365162" y="104788106"/>
              <a:ext cx="1171576"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69" name="Group 2268">
            <a:extLst>
              <a:ext uri="{FF2B5EF4-FFF2-40B4-BE49-F238E27FC236}">
                <a16:creationId xmlns:a16="http://schemas.microsoft.com/office/drawing/2014/main" id="{00000000-0008-0000-0200-0000DD080000}"/>
              </a:ext>
            </a:extLst>
          </xdr:cNvPr>
          <xdr:cNvGrpSpPr>
            <a:grpSpLocks noChangeAspect="1"/>
          </xdr:cNvGrpSpPr>
        </xdr:nvGrpSpPr>
        <xdr:grpSpPr>
          <a:xfrm>
            <a:off x="114300" y="124752992"/>
            <a:ext cx="726228" cy="1983839"/>
            <a:chOff x="13527313" y="104801201"/>
            <a:chExt cx="1171575" cy="3412321"/>
          </a:xfrm>
        </xdr:grpSpPr>
        <xdr:grpSp>
          <xdr:nvGrpSpPr>
            <xdr:cNvPr id="2329" name="Group 2328">
              <a:extLst>
                <a:ext uri="{FF2B5EF4-FFF2-40B4-BE49-F238E27FC236}">
                  <a16:creationId xmlns:a16="http://schemas.microsoft.com/office/drawing/2014/main" id="{00000000-0008-0000-0200-000019090000}"/>
                </a:ext>
              </a:extLst>
            </xdr:cNvPr>
            <xdr:cNvGrpSpPr/>
          </xdr:nvGrpSpPr>
          <xdr:grpSpPr>
            <a:xfrm>
              <a:off x="13620749" y="105470322"/>
              <a:ext cx="1053296" cy="2743200"/>
              <a:chOff x="13620749" y="105470322"/>
              <a:chExt cx="1053296" cy="2743200"/>
            </a:xfrm>
          </xdr:grpSpPr>
          <xdr:grpSp>
            <xdr:nvGrpSpPr>
              <xdr:cNvPr id="2331" name="Group 2330">
                <a:extLst>
                  <a:ext uri="{FF2B5EF4-FFF2-40B4-BE49-F238E27FC236}">
                    <a16:creationId xmlns:a16="http://schemas.microsoft.com/office/drawing/2014/main" id="{00000000-0008-0000-0200-00001B09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2336" name="Rectangle: Rounded Corners 2335">
                  <a:extLst>
                    <a:ext uri="{FF2B5EF4-FFF2-40B4-BE49-F238E27FC236}">
                      <a16:creationId xmlns:a16="http://schemas.microsoft.com/office/drawing/2014/main" id="{00000000-0008-0000-0200-000020090000}"/>
                    </a:ext>
                  </a:extLst>
                </xdr:cNvPr>
                <xdr:cNvSpPr/>
              </xdr:nvSpPr>
              <xdr:spPr>
                <a:xfrm>
                  <a:off x="4819649"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37" name="Rectangle: Rounded Corners 2336">
                  <a:extLst>
                    <a:ext uri="{FF2B5EF4-FFF2-40B4-BE49-F238E27FC236}">
                      <a16:creationId xmlns:a16="http://schemas.microsoft.com/office/drawing/2014/main" id="{00000000-0008-0000-0200-000021090000}"/>
                    </a:ext>
                  </a:extLst>
                </xdr:cNvPr>
                <xdr:cNvSpPr/>
              </xdr:nvSpPr>
              <xdr:spPr>
                <a:xfrm>
                  <a:off x="6962774"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8" name="Rectangle: Rounded Corners 2367">
                  <a:extLst>
                    <a:ext uri="{FF2B5EF4-FFF2-40B4-BE49-F238E27FC236}">
                      <a16:creationId xmlns:a16="http://schemas.microsoft.com/office/drawing/2014/main" id="{00000000-0008-0000-0200-000040090000}"/>
                    </a:ext>
                  </a:extLst>
                </xdr:cNvPr>
                <xdr:cNvSpPr/>
              </xdr:nvSpPr>
              <xdr:spPr>
                <a:xfrm rot="16200000">
                  <a:off x="5553075" y="105336972"/>
                  <a:ext cx="1133477" cy="2581278"/>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0" name="Rectangle: Rounded Corners 2369">
                  <a:extLst>
                    <a:ext uri="{FF2B5EF4-FFF2-40B4-BE49-F238E27FC236}">
                      <a16:creationId xmlns:a16="http://schemas.microsoft.com/office/drawing/2014/main" id="{00000000-0008-0000-0200-000042090000}"/>
                    </a:ext>
                  </a:extLst>
                </xdr:cNvPr>
                <xdr:cNvSpPr/>
              </xdr:nvSpPr>
              <xdr:spPr>
                <a:xfrm rot="16200000">
                  <a:off x="5557838" y="104751184"/>
                  <a:ext cx="1133477" cy="1143003"/>
                </a:xfrm>
                <a:prstGeom prst="roundRect">
                  <a:avLst>
                    <a:gd name="adj" fmla="val 47917"/>
                  </a:avLst>
                </a:prstGeom>
                <a:solidFill>
                  <a:srgbClr val="0070C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1" name="Rectangle: Rounded Corners 2370">
                  <a:extLst>
                    <a:ext uri="{FF2B5EF4-FFF2-40B4-BE49-F238E27FC236}">
                      <a16:creationId xmlns:a16="http://schemas.microsoft.com/office/drawing/2014/main" id="{00000000-0008-0000-0200-000043090000}"/>
                    </a:ext>
                  </a:extLst>
                </xdr:cNvPr>
                <xdr:cNvSpPr/>
              </xdr:nvSpPr>
              <xdr:spPr>
                <a:xfrm rot="16200000">
                  <a:off x="5210177" y="107203872"/>
                  <a:ext cx="1828799" cy="1143003"/>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7" name="Rectangle: Rounded Corners 2376">
                  <a:extLst>
                    <a:ext uri="{FF2B5EF4-FFF2-40B4-BE49-F238E27FC236}">
                      <a16:creationId xmlns:a16="http://schemas.microsoft.com/office/drawing/2014/main" id="{00000000-0008-0000-0200-000049090000}"/>
                    </a:ext>
                  </a:extLst>
                </xdr:cNvPr>
                <xdr:cNvSpPr/>
              </xdr:nvSpPr>
              <xdr:spPr>
                <a:xfrm>
                  <a:off x="541972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8" name="Rectangle: Rounded Corners 2377">
                  <a:extLst>
                    <a:ext uri="{FF2B5EF4-FFF2-40B4-BE49-F238E27FC236}">
                      <a16:creationId xmlns:a16="http://schemas.microsoft.com/office/drawing/2014/main" id="{00000000-0008-0000-0200-00004A090000}"/>
                    </a:ext>
                  </a:extLst>
                </xdr:cNvPr>
                <xdr:cNvSpPr/>
              </xdr:nvSpPr>
              <xdr:spPr>
                <a:xfrm>
                  <a:off x="620077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32" name="Group 2331">
                <a:extLst>
                  <a:ext uri="{FF2B5EF4-FFF2-40B4-BE49-F238E27FC236}">
                    <a16:creationId xmlns:a16="http://schemas.microsoft.com/office/drawing/2014/main" id="{00000000-0008-0000-0200-00001C090000}"/>
                  </a:ext>
                </a:extLst>
              </xdr:cNvPr>
              <xdr:cNvGrpSpPr/>
            </xdr:nvGrpSpPr>
            <xdr:grpSpPr>
              <a:xfrm>
                <a:off x="13679805" y="106093372"/>
                <a:ext cx="953589" cy="1109382"/>
                <a:chOff x="0" y="0"/>
                <a:chExt cx="1112520" cy="1371600"/>
              </a:xfrm>
            </xdr:grpSpPr>
            <xdr:sp macro="" textlink="">
              <xdr:nvSpPr>
                <xdr:cNvPr id="2333" name="Rectangle 2332">
                  <a:extLst>
                    <a:ext uri="{FF2B5EF4-FFF2-40B4-BE49-F238E27FC236}">
                      <a16:creationId xmlns:a16="http://schemas.microsoft.com/office/drawing/2014/main" id="{00000000-0008-0000-0200-00001D09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34" name="Rectangle 2333">
                  <a:extLst>
                    <a:ext uri="{FF2B5EF4-FFF2-40B4-BE49-F238E27FC236}">
                      <a16:creationId xmlns:a16="http://schemas.microsoft.com/office/drawing/2014/main" id="{00000000-0008-0000-0200-00001E090000}"/>
                    </a:ext>
                  </a:extLst>
                </xdr:cNvPr>
                <xdr:cNvSpPr/>
              </xdr:nvSpPr>
              <xdr:spPr>
                <a:xfrm>
                  <a:off x="655320" y="0"/>
                  <a:ext cx="457200" cy="1371600"/>
                </a:xfrm>
                <a:prstGeom prst="rect">
                  <a:avLst/>
                </a:prstGeom>
                <a:gradFill>
                  <a:gsLst>
                    <a:gs pos="0">
                      <a:schemeClr val="bg1">
                        <a:lumMod val="95000"/>
                      </a:schemeClr>
                    </a:gs>
                    <a:gs pos="89000">
                      <a:schemeClr val="bg1">
                        <a:lumMod val="95000"/>
                      </a:schemeClr>
                    </a:gs>
                    <a:gs pos="9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35" name="Straight Connector 2334">
                  <a:extLst>
                    <a:ext uri="{FF2B5EF4-FFF2-40B4-BE49-F238E27FC236}">
                      <a16:creationId xmlns:a16="http://schemas.microsoft.com/office/drawing/2014/main" id="{00000000-0008-0000-0200-00001F090000}"/>
                    </a:ext>
                  </a:extLst>
                </xdr:cNvPr>
                <xdr:cNvCxnSpPr/>
              </xdr:nvCxnSpPr>
              <xdr:spPr>
                <a:xfrm rot="900000" flipH="1" flipV="1">
                  <a:off x="433060" y="1005572"/>
                  <a:ext cx="240771" cy="194458"/>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30" name="Thought Bubble: Cloud 2329">
              <a:extLst>
                <a:ext uri="{FF2B5EF4-FFF2-40B4-BE49-F238E27FC236}">
                  <a16:creationId xmlns:a16="http://schemas.microsoft.com/office/drawing/2014/main" id="{00000000-0008-0000-0200-00001A090000}"/>
                </a:ext>
              </a:extLst>
            </xdr:cNvPr>
            <xdr:cNvSpPr/>
          </xdr:nvSpPr>
          <xdr:spPr>
            <a:xfrm flipH="1">
              <a:off x="13527313" y="104801201"/>
              <a:ext cx="1171575" cy="514351"/>
            </a:xfrm>
            <a:prstGeom prst="cloudCallout">
              <a:avLst>
                <a:gd name="adj1" fmla="val 6288"/>
                <a:gd name="adj2" fmla="val 117402"/>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70" name="Group 2269">
            <a:extLst>
              <a:ext uri="{FF2B5EF4-FFF2-40B4-BE49-F238E27FC236}">
                <a16:creationId xmlns:a16="http://schemas.microsoft.com/office/drawing/2014/main" id="{00000000-0008-0000-0200-0000DE080000}"/>
              </a:ext>
            </a:extLst>
          </xdr:cNvPr>
          <xdr:cNvGrpSpPr>
            <a:grpSpLocks noChangeAspect="1"/>
          </xdr:cNvGrpSpPr>
        </xdr:nvGrpSpPr>
        <xdr:grpSpPr>
          <a:xfrm>
            <a:off x="1056792" y="124745419"/>
            <a:ext cx="774162" cy="1991452"/>
            <a:chOff x="13425142" y="104788106"/>
            <a:chExt cx="1248903" cy="3425416"/>
          </a:xfrm>
        </xdr:grpSpPr>
        <xdr:grpSp>
          <xdr:nvGrpSpPr>
            <xdr:cNvPr id="2315" name="Group 2314">
              <a:extLst>
                <a:ext uri="{FF2B5EF4-FFF2-40B4-BE49-F238E27FC236}">
                  <a16:creationId xmlns:a16="http://schemas.microsoft.com/office/drawing/2014/main" id="{00000000-0008-0000-0200-00000B090000}"/>
                </a:ext>
              </a:extLst>
            </xdr:cNvPr>
            <xdr:cNvGrpSpPr/>
          </xdr:nvGrpSpPr>
          <xdr:grpSpPr>
            <a:xfrm>
              <a:off x="13620749" y="105470322"/>
              <a:ext cx="1053296" cy="2743200"/>
              <a:chOff x="13620749" y="105470322"/>
              <a:chExt cx="1053296" cy="2743200"/>
            </a:xfrm>
          </xdr:grpSpPr>
          <xdr:grpSp>
            <xdr:nvGrpSpPr>
              <xdr:cNvPr id="2317" name="Group 2316">
                <a:extLst>
                  <a:ext uri="{FF2B5EF4-FFF2-40B4-BE49-F238E27FC236}">
                    <a16:creationId xmlns:a16="http://schemas.microsoft.com/office/drawing/2014/main" id="{00000000-0008-0000-0200-00000D09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2322" name="Rectangle: Rounded Corners 2321">
                  <a:extLst>
                    <a:ext uri="{FF2B5EF4-FFF2-40B4-BE49-F238E27FC236}">
                      <a16:creationId xmlns:a16="http://schemas.microsoft.com/office/drawing/2014/main" id="{00000000-0008-0000-0200-00001209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3" name="Rectangle: Rounded Corners 2322">
                  <a:extLst>
                    <a:ext uri="{FF2B5EF4-FFF2-40B4-BE49-F238E27FC236}">
                      <a16:creationId xmlns:a16="http://schemas.microsoft.com/office/drawing/2014/main" id="{00000000-0008-0000-0200-00001309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4" name="Rectangle: Rounded Corners 2323">
                  <a:extLst>
                    <a:ext uri="{FF2B5EF4-FFF2-40B4-BE49-F238E27FC236}">
                      <a16:creationId xmlns:a16="http://schemas.microsoft.com/office/drawing/2014/main" id="{00000000-0008-0000-0200-00001409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5" name="Rectangle: Rounded Corners 2324">
                  <a:extLst>
                    <a:ext uri="{FF2B5EF4-FFF2-40B4-BE49-F238E27FC236}">
                      <a16:creationId xmlns:a16="http://schemas.microsoft.com/office/drawing/2014/main" id="{00000000-0008-0000-0200-00001509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6" name="Rectangle: Rounded Corners 2325">
                  <a:extLst>
                    <a:ext uri="{FF2B5EF4-FFF2-40B4-BE49-F238E27FC236}">
                      <a16:creationId xmlns:a16="http://schemas.microsoft.com/office/drawing/2014/main" id="{00000000-0008-0000-0200-00001609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7" name="Rectangle: Rounded Corners 2326">
                  <a:extLst>
                    <a:ext uri="{FF2B5EF4-FFF2-40B4-BE49-F238E27FC236}">
                      <a16:creationId xmlns:a16="http://schemas.microsoft.com/office/drawing/2014/main" id="{00000000-0008-0000-0200-00001709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8" name="Rectangle: Rounded Corners 2327">
                  <a:extLst>
                    <a:ext uri="{FF2B5EF4-FFF2-40B4-BE49-F238E27FC236}">
                      <a16:creationId xmlns:a16="http://schemas.microsoft.com/office/drawing/2014/main" id="{00000000-0008-0000-0200-00001809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18" name="Group 2317">
                <a:extLst>
                  <a:ext uri="{FF2B5EF4-FFF2-40B4-BE49-F238E27FC236}">
                    <a16:creationId xmlns:a16="http://schemas.microsoft.com/office/drawing/2014/main" id="{00000000-0008-0000-0200-00000E090000}"/>
                  </a:ext>
                </a:extLst>
              </xdr:cNvPr>
              <xdr:cNvGrpSpPr/>
            </xdr:nvGrpSpPr>
            <xdr:grpSpPr>
              <a:xfrm>
                <a:off x="13679805" y="106093372"/>
                <a:ext cx="953589" cy="1109382"/>
                <a:chOff x="0" y="0"/>
                <a:chExt cx="1112520" cy="1371600"/>
              </a:xfrm>
            </xdr:grpSpPr>
            <xdr:sp macro="" textlink="">
              <xdr:nvSpPr>
                <xdr:cNvPr id="2319" name="Rectangle 2318">
                  <a:extLst>
                    <a:ext uri="{FF2B5EF4-FFF2-40B4-BE49-F238E27FC236}">
                      <a16:creationId xmlns:a16="http://schemas.microsoft.com/office/drawing/2014/main" id="{00000000-0008-0000-0200-00000F090000}"/>
                    </a:ext>
                  </a:extLst>
                </xdr:cNvPr>
                <xdr:cNvSpPr/>
              </xdr:nvSpPr>
              <xdr:spPr>
                <a:xfrm>
                  <a:off x="0" y="0"/>
                  <a:ext cx="457200" cy="1371600"/>
                </a:xfrm>
                <a:prstGeom prst="rect">
                  <a:avLst/>
                </a:prstGeom>
                <a:gradFill>
                  <a:gsLst>
                    <a:gs pos="0">
                      <a:schemeClr val="bg1">
                        <a:lumMod val="95000"/>
                      </a:schemeClr>
                    </a:gs>
                    <a:gs pos="59000">
                      <a:schemeClr val="bg1">
                        <a:lumMod val="95000"/>
                      </a:schemeClr>
                    </a:gs>
                    <a:gs pos="6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20" name="Rectangle 2319">
                  <a:extLst>
                    <a:ext uri="{FF2B5EF4-FFF2-40B4-BE49-F238E27FC236}">
                      <a16:creationId xmlns:a16="http://schemas.microsoft.com/office/drawing/2014/main" id="{00000000-0008-0000-0200-000010090000}"/>
                    </a:ext>
                  </a:extLst>
                </xdr:cNvPr>
                <xdr:cNvSpPr/>
              </xdr:nvSpPr>
              <xdr:spPr>
                <a:xfrm>
                  <a:off x="655320"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21" name="Straight Connector 2320">
                  <a:extLst>
                    <a:ext uri="{FF2B5EF4-FFF2-40B4-BE49-F238E27FC236}">
                      <a16:creationId xmlns:a16="http://schemas.microsoft.com/office/drawing/2014/main" id="{00000000-0008-0000-0200-000011090000}"/>
                    </a:ext>
                  </a:extLst>
                </xdr:cNvPr>
                <xdr:cNvCxnSpPr/>
              </xdr:nvCxnSpPr>
              <xdr:spPr>
                <a:xfrm flipH="1" flipV="1">
                  <a:off x="457200" y="838924"/>
                  <a:ext cx="198121" cy="129741"/>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16" name="Thought Bubble: Cloud 2315">
              <a:extLst>
                <a:ext uri="{FF2B5EF4-FFF2-40B4-BE49-F238E27FC236}">
                  <a16:creationId xmlns:a16="http://schemas.microsoft.com/office/drawing/2014/main" id="{00000000-0008-0000-0200-00000C090000}"/>
                </a:ext>
              </a:extLst>
            </xdr:cNvPr>
            <xdr:cNvSpPr/>
          </xdr:nvSpPr>
          <xdr:spPr>
            <a:xfrm flipH="1">
              <a:off x="13425142" y="104788106"/>
              <a:ext cx="1171578" cy="514351"/>
            </a:xfrm>
            <a:prstGeom prst="cloudCallout">
              <a:avLst>
                <a:gd name="adj1" fmla="val -3155"/>
                <a:gd name="adj2" fmla="val 112306"/>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71" name="Group 2270">
            <a:extLst>
              <a:ext uri="{FF2B5EF4-FFF2-40B4-BE49-F238E27FC236}">
                <a16:creationId xmlns:a16="http://schemas.microsoft.com/office/drawing/2014/main" id="{00000000-0008-0000-0200-0000DF080000}"/>
              </a:ext>
            </a:extLst>
          </xdr:cNvPr>
          <xdr:cNvGrpSpPr>
            <a:grpSpLocks noChangeAspect="1"/>
          </xdr:cNvGrpSpPr>
        </xdr:nvGrpSpPr>
        <xdr:grpSpPr>
          <a:xfrm>
            <a:off x="4356118" y="124752993"/>
            <a:ext cx="789202" cy="1982459"/>
            <a:chOff x="14944724" y="104774999"/>
            <a:chExt cx="1273165" cy="3409948"/>
          </a:xfrm>
        </xdr:grpSpPr>
        <xdr:grpSp>
          <xdr:nvGrpSpPr>
            <xdr:cNvPr id="2272" name="Group 2271">
              <a:extLst>
                <a:ext uri="{FF2B5EF4-FFF2-40B4-BE49-F238E27FC236}">
                  <a16:creationId xmlns:a16="http://schemas.microsoft.com/office/drawing/2014/main" id="{00000000-0008-0000-0200-0000E0080000}"/>
                </a:ext>
              </a:extLst>
            </xdr:cNvPr>
            <xdr:cNvGrpSpPr/>
          </xdr:nvGrpSpPr>
          <xdr:grpSpPr>
            <a:xfrm>
              <a:off x="14944724" y="105441747"/>
              <a:ext cx="1053296" cy="2743200"/>
              <a:chOff x="14944724" y="105441747"/>
              <a:chExt cx="1053296" cy="2743200"/>
            </a:xfrm>
          </xdr:grpSpPr>
          <xdr:grpSp>
            <xdr:nvGrpSpPr>
              <xdr:cNvPr id="2303" name="Group 2302">
                <a:extLst>
                  <a:ext uri="{FF2B5EF4-FFF2-40B4-BE49-F238E27FC236}">
                    <a16:creationId xmlns:a16="http://schemas.microsoft.com/office/drawing/2014/main" id="{00000000-0008-0000-0200-0000FF08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2308" name="Rectangle: Rounded Corners 2307">
                  <a:extLst>
                    <a:ext uri="{FF2B5EF4-FFF2-40B4-BE49-F238E27FC236}">
                      <a16:creationId xmlns:a16="http://schemas.microsoft.com/office/drawing/2014/main" id="{00000000-0008-0000-0200-00000409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09" name="Rectangle: Rounded Corners 2308">
                  <a:extLst>
                    <a:ext uri="{FF2B5EF4-FFF2-40B4-BE49-F238E27FC236}">
                      <a16:creationId xmlns:a16="http://schemas.microsoft.com/office/drawing/2014/main" id="{00000000-0008-0000-0200-00000509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0" name="Rectangle: Rounded Corners 2309">
                  <a:extLst>
                    <a:ext uri="{FF2B5EF4-FFF2-40B4-BE49-F238E27FC236}">
                      <a16:creationId xmlns:a16="http://schemas.microsoft.com/office/drawing/2014/main" id="{00000000-0008-0000-0200-00000609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1" name="Rectangle: Rounded Corners 2310">
                  <a:extLst>
                    <a:ext uri="{FF2B5EF4-FFF2-40B4-BE49-F238E27FC236}">
                      <a16:creationId xmlns:a16="http://schemas.microsoft.com/office/drawing/2014/main" id="{00000000-0008-0000-0200-00000709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2" name="Rectangle: Rounded Corners 2311">
                  <a:extLst>
                    <a:ext uri="{FF2B5EF4-FFF2-40B4-BE49-F238E27FC236}">
                      <a16:creationId xmlns:a16="http://schemas.microsoft.com/office/drawing/2014/main" id="{00000000-0008-0000-0200-00000809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3" name="Rectangle: Rounded Corners 2312">
                  <a:extLst>
                    <a:ext uri="{FF2B5EF4-FFF2-40B4-BE49-F238E27FC236}">
                      <a16:creationId xmlns:a16="http://schemas.microsoft.com/office/drawing/2014/main" id="{00000000-0008-0000-0200-00000909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4" name="Rectangle: Rounded Corners 2313">
                  <a:extLst>
                    <a:ext uri="{FF2B5EF4-FFF2-40B4-BE49-F238E27FC236}">
                      <a16:creationId xmlns:a16="http://schemas.microsoft.com/office/drawing/2014/main" id="{00000000-0008-0000-0200-00000A09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04" name="Group 2303">
                <a:extLst>
                  <a:ext uri="{FF2B5EF4-FFF2-40B4-BE49-F238E27FC236}">
                    <a16:creationId xmlns:a16="http://schemas.microsoft.com/office/drawing/2014/main" id="{00000000-0008-0000-0200-000000090000}"/>
                  </a:ext>
                </a:extLst>
              </xdr:cNvPr>
              <xdr:cNvGrpSpPr/>
            </xdr:nvGrpSpPr>
            <xdr:grpSpPr>
              <a:xfrm>
                <a:off x="15001875" y="106064797"/>
                <a:ext cx="953589" cy="1109382"/>
                <a:chOff x="-11112" y="0"/>
                <a:chExt cx="1112519" cy="1371600"/>
              </a:xfrm>
            </xdr:grpSpPr>
            <xdr:sp macro="" textlink="">
              <xdr:nvSpPr>
                <xdr:cNvPr id="2305" name="Rectangle 2304">
                  <a:extLst>
                    <a:ext uri="{FF2B5EF4-FFF2-40B4-BE49-F238E27FC236}">
                      <a16:creationId xmlns:a16="http://schemas.microsoft.com/office/drawing/2014/main" id="{00000000-0008-0000-0200-000001090000}"/>
                    </a:ext>
                  </a:extLst>
                </xdr:cNvPr>
                <xdr:cNvSpPr/>
              </xdr:nvSpPr>
              <xdr:spPr>
                <a:xfrm>
                  <a:off x="-11112"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06" name="Rectangle 2305">
                  <a:extLst>
                    <a:ext uri="{FF2B5EF4-FFF2-40B4-BE49-F238E27FC236}">
                      <a16:creationId xmlns:a16="http://schemas.microsoft.com/office/drawing/2014/main" id="{00000000-0008-0000-0200-000002090000}"/>
                    </a:ext>
                  </a:extLst>
                </xdr:cNvPr>
                <xdr:cNvSpPr/>
              </xdr:nvSpPr>
              <xdr:spPr>
                <a:xfrm>
                  <a:off x="644207" y="0"/>
                  <a:ext cx="457200" cy="1371600"/>
                </a:xfrm>
                <a:prstGeom prst="rect">
                  <a:avLst/>
                </a:prstGeom>
                <a:gradFill>
                  <a:gsLst>
                    <a:gs pos="0">
                      <a:schemeClr val="bg1">
                        <a:lumMod val="95000"/>
                      </a:schemeClr>
                    </a:gs>
                    <a:gs pos="59000">
                      <a:schemeClr val="bg1">
                        <a:lumMod val="95000"/>
                      </a:schemeClr>
                    </a:gs>
                    <a:gs pos="6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07" name="Straight Connector 2306">
                  <a:extLst>
                    <a:ext uri="{FF2B5EF4-FFF2-40B4-BE49-F238E27FC236}">
                      <a16:creationId xmlns:a16="http://schemas.microsoft.com/office/drawing/2014/main" id="{00000000-0008-0000-0200-000003090000}"/>
                    </a:ext>
                  </a:extLst>
                </xdr:cNvPr>
                <xdr:cNvCxnSpPr/>
              </xdr:nvCxnSpPr>
              <xdr:spPr>
                <a:xfrm flipV="1">
                  <a:off x="446087" y="83749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02" name="Thought Bubble: Cloud 2301">
              <a:extLst>
                <a:ext uri="{FF2B5EF4-FFF2-40B4-BE49-F238E27FC236}">
                  <a16:creationId xmlns:a16="http://schemas.microsoft.com/office/drawing/2014/main" id="{00000000-0008-0000-0200-0000FE080000}"/>
                </a:ext>
              </a:extLst>
            </xdr:cNvPr>
            <xdr:cNvSpPr/>
          </xdr:nvSpPr>
          <xdr:spPr>
            <a:xfrm>
              <a:off x="15046314"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clientData/>
  </xdr:twoCellAnchor>
  <xdr:twoCellAnchor>
    <xdr:from>
      <xdr:col>0</xdr:col>
      <xdr:colOff>0</xdr:colOff>
      <xdr:row>507</xdr:row>
      <xdr:rowOff>22860</xdr:rowOff>
    </xdr:from>
    <xdr:to>
      <xdr:col>13</xdr:col>
      <xdr:colOff>99060</xdr:colOff>
      <xdr:row>553</xdr:row>
      <xdr:rowOff>0</xdr:rowOff>
    </xdr:to>
    <xdr:grpSp>
      <xdr:nvGrpSpPr>
        <xdr:cNvPr id="2279" name="Group 2278">
          <a:extLst>
            <a:ext uri="{FF2B5EF4-FFF2-40B4-BE49-F238E27FC236}">
              <a16:creationId xmlns:a16="http://schemas.microsoft.com/office/drawing/2014/main" id="{00000000-0008-0000-0200-0000E7080000}"/>
            </a:ext>
          </a:extLst>
        </xdr:cNvPr>
        <xdr:cNvGrpSpPr/>
      </xdr:nvGrpSpPr>
      <xdr:grpSpPr>
        <a:xfrm>
          <a:off x="0" y="102085140"/>
          <a:ext cx="6248400" cy="8054340"/>
          <a:chOff x="15455900" y="60706000"/>
          <a:chExt cx="6375400" cy="7823200"/>
        </a:xfrm>
      </xdr:grpSpPr>
      <xdr:sp macro="" textlink="">
        <xdr:nvSpPr>
          <xdr:cNvPr id="2280" name="Rectangle 2279">
            <a:extLst>
              <a:ext uri="{FF2B5EF4-FFF2-40B4-BE49-F238E27FC236}">
                <a16:creationId xmlns:a16="http://schemas.microsoft.com/office/drawing/2014/main" id="{00000000-0008-0000-0200-0000E808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1" name="Rectangle 2280">
            <a:extLst>
              <a:ext uri="{FF2B5EF4-FFF2-40B4-BE49-F238E27FC236}">
                <a16:creationId xmlns:a16="http://schemas.microsoft.com/office/drawing/2014/main" id="{00000000-0008-0000-0200-0000E908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2282" name="Group 2281">
            <a:extLst>
              <a:ext uri="{FF2B5EF4-FFF2-40B4-BE49-F238E27FC236}">
                <a16:creationId xmlns:a16="http://schemas.microsoft.com/office/drawing/2014/main" id="{00000000-0008-0000-0200-0000EA080000}"/>
              </a:ext>
            </a:extLst>
          </xdr:cNvPr>
          <xdr:cNvGrpSpPr/>
        </xdr:nvGrpSpPr>
        <xdr:grpSpPr>
          <a:xfrm>
            <a:off x="16306800" y="60706000"/>
            <a:ext cx="2296879" cy="7823200"/>
            <a:chOff x="3796580" y="60718700"/>
            <a:chExt cx="2296879" cy="7823200"/>
          </a:xfrm>
        </xdr:grpSpPr>
        <xdr:sp macro="" textlink="">
          <xdr:nvSpPr>
            <xdr:cNvPr id="2289" name="Freeform: Shape 2288">
              <a:extLst>
                <a:ext uri="{FF2B5EF4-FFF2-40B4-BE49-F238E27FC236}">
                  <a16:creationId xmlns:a16="http://schemas.microsoft.com/office/drawing/2014/main" id="{00000000-0008-0000-0200-0000F108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0" name="Freeform: Shape 2289">
              <a:extLst>
                <a:ext uri="{FF2B5EF4-FFF2-40B4-BE49-F238E27FC236}">
                  <a16:creationId xmlns:a16="http://schemas.microsoft.com/office/drawing/2014/main" id="{00000000-0008-0000-0200-0000F208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1" name="Freeform: Shape 2290">
              <a:extLst>
                <a:ext uri="{FF2B5EF4-FFF2-40B4-BE49-F238E27FC236}">
                  <a16:creationId xmlns:a16="http://schemas.microsoft.com/office/drawing/2014/main" id="{00000000-0008-0000-0200-0000F308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2" name="Freeform: Shape 2291">
              <a:extLst>
                <a:ext uri="{FF2B5EF4-FFF2-40B4-BE49-F238E27FC236}">
                  <a16:creationId xmlns:a16="http://schemas.microsoft.com/office/drawing/2014/main" id="{00000000-0008-0000-0200-0000F408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3" name="Freeform: Shape 2292">
              <a:extLst>
                <a:ext uri="{FF2B5EF4-FFF2-40B4-BE49-F238E27FC236}">
                  <a16:creationId xmlns:a16="http://schemas.microsoft.com/office/drawing/2014/main" id="{00000000-0008-0000-0200-0000F508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2283" name="Group 2282">
            <a:extLst>
              <a:ext uri="{FF2B5EF4-FFF2-40B4-BE49-F238E27FC236}">
                <a16:creationId xmlns:a16="http://schemas.microsoft.com/office/drawing/2014/main" id="{00000000-0008-0000-0200-0000EB080000}"/>
              </a:ext>
            </a:extLst>
          </xdr:cNvPr>
          <xdr:cNvGrpSpPr/>
        </xdr:nvGrpSpPr>
        <xdr:grpSpPr>
          <a:xfrm>
            <a:off x="18742660" y="60706000"/>
            <a:ext cx="2256239" cy="7823200"/>
            <a:chOff x="7845340" y="60718700"/>
            <a:chExt cx="2256239" cy="7823200"/>
          </a:xfrm>
        </xdr:grpSpPr>
        <xdr:sp macro="" textlink="">
          <xdr:nvSpPr>
            <xdr:cNvPr id="2284" name="Freeform: Shape 2283">
              <a:extLst>
                <a:ext uri="{FF2B5EF4-FFF2-40B4-BE49-F238E27FC236}">
                  <a16:creationId xmlns:a16="http://schemas.microsoft.com/office/drawing/2014/main" id="{00000000-0008-0000-0200-0000EC08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5" name="Freeform: Shape 2284">
              <a:extLst>
                <a:ext uri="{FF2B5EF4-FFF2-40B4-BE49-F238E27FC236}">
                  <a16:creationId xmlns:a16="http://schemas.microsoft.com/office/drawing/2014/main" id="{00000000-0008-0000-0200-0000ED08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6" name="Freeform: Shape 2285">
              <a:extLst>
                <a:ext uri="{FF2B5EF4-FFF2-40B4-BE49-F238E27FC236}">
                  <a16:creationId xmlns:a16="http://schemas.microsoft.com/office/drawing/2014/main" id="{00000000-0008-0000-0200-0000EE08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7" name="Freeform: Shape 2286">
              <a:extLst>
                <a:ext uri="{FF2B5EF4-FFF2-40B4-BE49-F238E27FC236}">
                  <a16:creationId xmlns:a16="http://schemas.microsoft.com/office/drawing/2014/main" id="{00000000-0008-0000-0200-0000EF08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8" name="Freeform: Shape 2287">
              <a:extLst>
                <a:ext uri="{FF2B5EF4-FFF2-40B4-BE49-F238E27FC236}">
                  <a16:creationId xmlns:a16="http://schemas.microsoft.com/office/drawing/2014/main" id="{00000000-0008-0000-0200-0000F008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11</xdr:col>
      <xdr:colOff>176116</xdr:colOff>
      <xdr:row>201</xdr:row>
      <xdr:rowOff>0</xdr:rowOff>
    </xdr:from>
    <xdr:to>
      <xdr:col>13</xdr:col>
      <xdr:colOff>106680</xdr:colOff>
      <xdr:row>235</xdr:row>
      <xdr:rowOff>0</xdr:rowOff>
    </xdr:to>
    <xdr:sp macro="" textlink="">
      <xdr:nvSpPr>
        <xdr:cNvPr id="978" name="Freeform: Shape 977">
          <a:extLst>
            <a:ext uri="{FF2B5EF4-FFF2-40B4-BE49-F238E27FC236}">
              <a16:creationId xmlns:a16="http://schemas.microsoft.com/office/drawing/2014/main" id="{00000000-0008-0000-0200-0000D2030000}"/>
            </a:ext>
          </a:extLst>
        </xdr:cNvPr>
        <xdr:cNvSpPr/>
      </xdr:nvSpPr>
      <xdr:spPr>
        <a:xfrm flipH="1">
          <a:off x="5251036" y="43281600"/>
          <a:ext cx="921164" cy="749046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25113 w 1830513"/>
            <a:gd name="connsiteY40" fmla="*/ 5967797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70733 w 1830513"/>
            <a:gd name="connsiteY39" fmla="*/ 5934910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8562896"/>
            <a:gd name="connsiteX1" fmla="*/ 1161 w 1830513"/>
            <a:gd name="connsiteY1" fmla="*/ 0 h 8562896"/>
            <a:gd name="connsiteX2" fmla="*/ 230313 w 1830513"/>
            <a:gd name="connsiteY2" fmla="*/ 0 h 8562896"/>
            <a:gd name="connsiteX3" fmla="*/ 484313 w 1830513"/>
            <a:gd name="connsiteY3" fmla="*/ 25400 h 8562896"/>
            <a:gd name="connsiteX4" fmla="*/ 687513 w 1830513"/>
            <a:gd name="connsiteY4" fmla="*/ 114300 h 8562896"/>
            <a:gd name="connsiteX5" fmla="*/ 878565 w 1830513"/>
            <a:gd name="connsiteY5" fmla="*/ 231602 h 8562896"/>
            <a:gd name="connsiteX6" fmla="*/ 1043113 w 1830513"/>
            <a:gd name="connsiteY6" fmla="*/ 393700 h 8562896"/>
            <a:gd name="connsiteX7" fmla="*/ 1208213 w 1830513"/>
            <a:gd name="connsiteY7" fmla="*/ 673100 h 8562896"/>
            <a:gd name="connsiteX8" fmla="*/ 1297113 w 1830513"/>
            <a:gd name="connsiteY8" fmla="*/ 889000 h 8562896"/>
            <a:gd name="connsiteX9" fmla="*/ 1462213 w 1830513"/>
            <a:gd name="connsiteY9" fmla="*/ 1473200 h 8562896"/>
            <a:gd name="connsiteX10" fmla="*/ 1525713 w 1830513"/>
            <a:gd name="connsiteY10" fmla="*/ 1905000 h 8562896"/>
            <a:gd name="connsiteX11" fmla="*/ 1563813 w 1830513"/>
            <a:gd name="connsiteY11" fmla="*/ 2273300 h 8562896"/>
            <a:gd name="connsiteX12" fmla="*/ 1589213 w 1830513"/>
            <a:gd name="connsiteY12" fmla="*/ 2654300 h 8562896"/>
            <a:gd name="connsiteX13" fmla="*/ 1551113 w 1830513"/>
            <a:gd name="connsiteY13" fmla="*/ 2768600 h 8562896"/>
            <a:gd name="connsiteX14" fmla="*/ 1500313 w 1830513"/>
            <a:gd name="connsiteY14" fmla="*/ 2882900 h 8562896"/>
            <a:gd name="connsiteX15" fmla="*/ 1466079 w 1830513"/>
            <a:gd name="connsiteY15" fmla="*/ 2990811 h 8562896"/>
            <a:gd name="connsiteX16" fmla="*/ 1513013 w 1830513"/>
            <a:gd name="connsiteY16" fmla="*/ 3175000 h 8562896"/>
            <a:gd name="connsiteX17" fmla="*/ 1779713 w 1830513"/>
            <a:gd name="connsiteY17" fmla="*/ 3886200 h 8562896"/>
            <a:gd name="connsiteX18" fmla="*/ 1817813 w 1830513"/>
            <a:gd name="connsiteY18" fmla="*/ 4000500 h 8562896"/>
            <a:gd name="connsiteX19" fmla="*/ 1830513 w 1830513"/>
            <a:gd name="connsiteY19" fmla="*/ 4102100 h 8562896"/>
            <a:gd name="connsiteX20" fmla="*/ 1823888 w 1830513"/>
            <a:gd name="connsiteY20" fmla="*/ 4180455 h 8562896"/>
            <a:gd name="connsiteX21" fmla="*/ 1767013 w 1830513"/>
            <a:gd name="connsiteY21" fmla="*/ 4241800 h 8562896"/>
            <a:gd name="connsiteX22" fmla="*/ 1652713 w 1830513"/>
            <a:gd name="connsiteY22" fmla="*/ 4356100 h 8562896"/>
            <a:gd name="connsiteX23" fmla="*/ 1601913 w 1830513"/>
            <a:gd name="connsiteY23" fmla="*/ 4521200 h 8562896"/>
            <a:gd name="connsiteX24" fmla="*/ 1614613 w 1830513"/>
            <a:gd name="connsiteY24" fmla="*/ 4724400 h 8562896"/>
            <a:gd name="connsiteX25" fmla="*/ 1614613 w 1830513"/>
            <a:gd name="connsiteY25" fmla="*/ 4876800 h 8562896"/>
            <a:gd name="connsiteX26" fmla="*/ 1589213 w 1830513"/>
            <a:gd name="connsiteY26" fmla="*/ 4889500 h 8562896"/>
            <a:gd name="connsiteX27" fmla="*/ 1525713 w 1830513"/>
            <a:gd name="connsiteY27" fmla="*/ 4914900 h 8562896"/>
            <a:gd name="connsiteX28" fmla="*/ 1436813 w 1830513"/>
            <a:gd name="connsiteY28" fmla="*/ 4927600 h 8562896"/>
            <a:gd name="connsiteX29" fmla="*/ 1538413 w 1830513"/>
            <a:gd name="connsiteY29" fmla="*/ 4965700 h 8562896"/>
            <a:gd name="connsiteX30" fmla="*/ 1601913 w 1830513"/>
            <a:gd name="connsiteY30" fmla="*/ 5041900 h 8562896"/>
            <a:gd name="connsiteX31" fmla="*/ 1627313 w 1830513"/>
            <a:gd name="connsiteY31" fmla="*/ 5118100 h 8562896"/>
            <a:gd name="connsiteX32" fmla="*/ 1589213 w 1830513"/>
            <a:gd name="connsiteY32" fmla="*/ 5194300 h 8562896"/>
            <a:gd name="connsiteX33" fmla="*/ 1513013 w 1830513"/>
            <a:gd name="connsiteY33" fmla="*/ 5283200 h 8562896"/>
            <a:gd name="connsiteX34" fmla="*/ 1487613 w 1830513"/>
            <a:gd name="connsiteY34" fmla="*/ 5384800 h 8562896"/>
            <a:gd name="connsiteX35" fmla="*/ 1487613 w 1830513"/>
            <a:gd name="connsiteY35" fmla="*/ 5473700 h 8562896"/>
            <a:gd name="connsiteX36" fmla="*/ 1500313 w 1830513"/>
            <a:gd name="connsiteY36" fmla="*/ 5638800 h 8562896"/>
            <a:gd name="connsiteX37" fmla="*/ 1345217 w 1830513"/>
            <a:gd name="connsiteY37" fmla="*/ 5792537 h 8562896"/>
            <a:gd name="connsiteX38" fmla="*/ 968967 w 1830513"/>
            <a:gd name="connsiteY38" fmla="*/ 5837856 h 8562896"/>
            <a:gd name="connsiteX39" fmla="*/ 788653 w 1830513"/>
            <a:gd name="connsiteY39" fmla="*/ 5877575 h 8562896"/>
            <a:gd name="connsiteX40" fmla="*/ 655454 w 1830513"/>
            <a:gd name="connsiteY40" fmla="*/ 6036937 h 8562896"/>
            <a:gd name="connsiteX41" fmla="*/ 631533 w 1830513"/>
            <a:gd name="connsiteY41" fmla="*/ 6239577 h 8562896"/>
            <a:gd name="connsiteX42" fmla="*/ 585913 w 1830513"/>
            <a:gd name="connsiteY42" fmla="*/ 6591300 h 8562896"/>
            <a:gd name="connsiteX43" fmla="*/ 334395 w 1830513"/>
            <a:gd name="connsiteY43" fmla="*/ 8562896 h 8562896"/>
            <a:gd name="connsiteX44" fmla="*/ 1713 w 1830513"/>
            <a:gd name="connsiteY44" fmla="*/ 7823200 h 8562896"/>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668995 w 1844054"/>
            <a:gd name="connsiteY40" fmla="*/ 60369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470689 w 1844054"/>
            <a:gd name="connsiteY40" fmla="*/ 59685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531706 w 1844054"/>
            <a:gd name="connsiteY40" fmla="*/ 59514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Lst>
          <a:rect l="l" t="t" r="r" b="b"/>
          <a:pathLst>
            <a:path w="1844054" h="8575595">
              <a:moveTo>
                <a:pt x="0" y="8575595"/>
              </a:moveTo>
              <a:cubicBezTo>
                <a:pt x="4233" y="5967862"/>
                <a:pt x="10469" y="2607733"/>
                <a:pt x="14702" y="0"/>
              </a:cubicBezTo>
              <a:lnTo>
                <a:pt x="243854" y="0"/>
              </a:lnTo>
              <a:cubicBezTo>
                <a:pt x="324379" y="4233"/>
                <a:pt x="421654" y="6350"/>
                <a:pt x="497854" y="25400"/>
              </a:cubicBezTo>
              <a:cubicBezTo>
                <a:pt x="574054" y="44450"/>
                <a:pt x="635345" y="79933"/>
                <a:pt x="701054" y="114300"/>
              </a:cubicBezTo>
              <a:cubicBezTo>
                <a:pt x="766763" y="148667"/>
                <a:pt x="832839" y="185035"/>
                <a:pt x="892106" y="231602"/>
              </a:cubicBezTo>
              <a:cubicBezTo>
                <a:pt x="951373" y="278169"/>
                <a:pt x="1001713" y="320117"/>
                <a:pt x="1056654" y="393700"/>
              </a:cubicBezTo>
              <a:cubicBezTo>
                <a:pt x="1111595" y="467283"/>
                <a:pt x="1179421" y="590550"/>
                <a:pt x="1221754" y="673100"/>
              </a:cubicBezTo>
              <a:lnTo>
                <a:pt x="1310654" y="889000"/>
              </a:lnTo>
              <a:cubicBezTo>
                <a:pt x="1340287" y="960967"/>
                <a:pt x="1437654" y="1303867"/>
                <a:pt x="1475754" y="1473200"/>
              </a:cubicBezTo>
              <a:lnTo>
                <a:pt x="1539254" y="1905000"/>
              </a:lnTo>
              <a:lnTo>
                <a:pt x="1577354" y="2273300"/>
              </a:lnTo>
              <a:lnTo>
                <a:pt x="1602754" y="2654300"/>
              </a:lnTo>
              <a:lnTo>
                <a:pt x="1564654" y="2768600"/>
              </a:lnTo>
              <a:lnTo>
                <a:pt x="1513854" y="2882900"/>
              </a:lnTo>
              <a:lnTo>
                <a:pt x="1479620" y="2990811"/>
              </a:lnTo>
              <a:lnTo>
                <a:pt x="1526554" y="3175000"/>
              </a:lnTo>
              <a:lnTo>
                <a:pt x="1793254" y="3886200"/>
              </a:lnTo>
              <a:lnTo>
                <a:pt x="1831354" y="4000500"/>
              </a:lnTo>
              <a:lnTo>
                <a:pt x="1844054" y="4102100"/>
              </a:lnTo>
              <a:lnTo>
                <a:pt x="1837429" y="4180455"/>
              </a:lnTo>
              <a:lnTo>
                <a:pt x="1780554" y="4241800"/>
              </a:lnTo>
              <a:lnTo>
                <a:pt x="1666254" y="4356100"/>
              </a:lnTo>
              <a:lnTo>
                <a:pt x="1615454" y="4521200"/>
              </a:lnTo>
              <a:lnTo>
                <a:pt x="1628154" y="4724400"/>
              </a:lnTo>
              <a:cubicBezTo>
                <a:pt x="1630271" y="4783667"/>
                <a:pt x="1632387" y="4849283"/>
                <a:pt x="1628154" y="4876800"/>
              </a:cubicBezTo>
              <a:cubicBezTo>
                <a:pt x="1623921" y="4904317"/>
                <a:pt x="1617571" y="4883150"/>
                <a:pt x="1602754" y="4889500"/>
              </a:cubicBezTo>
              <a:lnTo>
                <a:pt x="1539254" y="4914900"/>
              </a:lnTo>
              <a:lnTo>
                <a:pt x="1450354" y="4927600"/>
              </a:lnTo>
              <a:lnTo>
                <a:pt x="1551954" y="4965700"/>
              </a:lnTo>
              <a:lnTo>
                <a:pt x="1615454" y="5041900"/>
              </a:lnTo>
              <a:lnTo>
                <a:pt x="1640854" y="5118100"/>
              </a:lnTo>
              <a:lnTo>
                <a:pt x="1602754" y="5194300"/>
              </a:lnTo>
              <a:lnTo>
                <a:pt x="1526554" y="5283200"/>
              </a:lnTo>
              <a:lnTo>
                <a:pt x="1501154" y="5384800"/>
              </a:lnTo>
              <a:lnTo>
                <a:pt x="1501154" y="5473700"/>
              </a:lnTo>
              <a:lnTo>
                <a:pt x="1513854" y="5638800"/>
              </a:lnTo>
              <a:cubicBezTo>
                <a:pt x="1490121" y="5691939"/>
                <a:pt x="1447316" y="5759361"/>
                <a:pt x="1358758" y="5792537"/>
              </a:cubicBezTo>
              <a:lnTo>
                <a:pt x="982508" y="5837856"/>
              </a:lnTo>
              <a:cubicBezTo>
                <a:pt x="922403" y="5851096"/>
                <a:pt x="877328" y="5858645"/>
                <a:pt x="802194" y="5877575"/>
              </a:cubicBezTo>
              <a:cubicBezTo>
                <a:pt x="727060" y="5896505"/>
                <a:pt x="567618" y="5904402"/>
                <a:pt x="531706" y="5951437"/>
              </a:cubicBezTo>
              <a:lnTo>
                <a:pt x="309480" y="6265227"/>
              </a:lnTo>
              <a:lnTo>
                <a:pt x="233350" y="6693900"/>
              </a:lnTo>
              <a:lnTo>
                <a:pt x="164884" y="8571446"/>
              </a:lnTo>
              <a:lnTo>
                <a:pt x="0" y="8575595"/>
              </a:lnTo>
              <a:close/>
            </a:path>
          </a:pathLst>
        </a:custGeom>
        <a:solidFill>
          <a:srgbClr val="FFCCCC"/>
        </a:solidFill>
        <a:ln>
          <a:noFill/>
        </a:ln>
        <a:effectLst>
          <a:outerShdw blurRad="50800" dist="38100" dir="10800000" algn="r" rotWithShape="0">
            <a:srgbClr val="C00000">
              <a:alpha val="4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clientData/>
  </xdr:twoCellAnchor>
  <xdr:twoCellAnchor>
    <xdr:from>
      <xdr:col>0</xdr:col>
      <xdr:colOff>856</xdr:colOff>
      <xdr:row>201</xdr:row>
      <xdr:rowOff>0</xdr:rowOff>
    </xdr:from>
    <xdr:to>
      <xdr:col>2</xdr:col>
      <xdr:colOff>304800</xdr:colOff>
      <xdr:row>235</xdr:row>
      <xdr:rowOff>0</xdr:rowOff>
    </xdr:to>
    <xdr:sp macro="" textlink="">
      <xdr:nvSpPr>
        <xdr:cNvPr id="1170" name="Freeform: Shape 1169">
          <a:extLst>
            <a:ext uri="{FF2B5EF4-FFF2-40B4-BE49-F238E27FC236}">
              <a16:creationId xmlns:a16="http://schemas.microsoft.com/office/drawing/2014/main" id="{00000000-0008-0000-0200-000092040000}"/>
            </a:ext>
          </a:extLst>
        </xdr:cNvPr>
        <xdr:cNvSpPr/>
      </xdr:nvSpPr>
      <xdr:spPr>
        <a:xfrm>
          <a:off x="856" y="43281600"/>
          <a:ext cx="921164" cy="749046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25113 w 1830513"/>
            <a:gd name="connsiteY40" fmla="*/ 5967797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70733 w 1830513"/>
            <a:gd name="connsiteY39" fmla="*/ 5934910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8562896"/>
            <a:gd name="connsiteX1" fmla="*/ 1161 w 1830513"/>
            <a:gd name="connsiteY1" fmla="*/ 0 h 8562896"/>
            <a:gd name="connsiteX2" fmla="*/ 230313 w 1830513"/>
            <a:gd name="connsiteY2" fmla="*/ 0 h 8562896"/>
            <a:gd name="connsiteX3" fmla="*/ 484313 w 1830513"/>
            <a:gd name="connsiteY3" fmla="*/ 25400 h 8562896"/>
            <a:gd name="connsiteX4" fmla="*/ 687513 w 1830513"/>
            <a:gd name="connsiteY4" fmla="*/ 114300 h 8562896"/>
            <a:gd name="connsiteX5" fmla="*/ 878565 w 1830513"/>
            <a:gd name="connsiteY5" fmla="*/ 231602 h 8562896"/>
            <a:gd name="connsiteX6" fmla="*/ 1043113 w 1830513"/>
            <a:gd name="connsiteY6" fmla="*/ 393700 h 8562896"/>
            <a:gd name="connsiteX7" fmla="*/ 1208213 w 1830513"/>
            <a:gd name="connsiteY7" fmla="*/ 673100 h 8562896"/>
            <a:gd name="connsiteX8" fmla="*/ 1297113 w 1830513"/>
            <a:gd name="connsiteY8" fmla="*/ 889000 h 8562896"/>
            <a:gd name="connsiteX9" fmla="*/ 1462213 w 1830513"/>
            <a:gd name="connsiteY9" fmla="*/ 1473200 h 8562896"/>
            <a:gd name="connsiteX10" fmla="*/ 1525713 w 1830513"/>
            <a:gd name="connsiteY10" fmla="*/ 1905000 h 8562896"/>
            <a:gd name="connsiteX11" fmla="*/ 1563813 w 1830513"/>
            <a:gd name="connsiteY11" fmla="*/ 2273300 h 8562896"/>
            <a:gd name="connsiteX12" fmla="*/ 1589213 w 1830513"/>
            <a:gd name="connsiteY12" fmla="*/ 2654300 h 8562896"/>
            <a:gd name="connsiteX13" fmla="*/ 1551113 w 1830513"/>
            <a:gd name="connsiteY13" fmla="*/ 2768600 h 8562896"/>
            <a:gd name="connsiteX14" fmla="*/ 1500313 w 1830513"/>
            <a:gd name="connsiteY14" fmla="*/ 2882900 h 8562896"/>
            <a:gd name="connsiteX15" fmla="*/ 1466079 w 1830513"/>
            <a:gd name="connsiteY15" fmla="*/ 2990811 h 8562896"/>
            <a:gd name="connsiteX16" fmla="*/ 1513013 w 1830513"/>
            <a:gd name="connsiteY16" fmla="*/ 3175000 h 8562896"/>
            <a:gd name="connsiteX17" fmla="*/ 1779713 w 1830513"/>
            <a:gd name="connsiteY17" fmla="*/ 3886200 h 8562896"/>
            <a:gd name="connsiteX18" fmla="*/ 1817813 w 1830513"/>
            <a:gd name="connsiteY18" fmla="*/ 4000500 h 8562896"/>
            <a:gd name="connsiteX19" fmla="*/ 1830513 w 1830513"/>
            <a:gd name="connsiteY19" fmla="*/ 4102100 h 8562896"/>
            <a:gd name="connsiteX20" fmla="*/ 1823888 w 1830513"/>
            <a:gd name="connsiteY20" fmla="*/ 4180455 h 8562896"/>
            <a:gd name="connsiteX21" fmla="*/ 1767013 w 1830513"/>
            <a:gd name="connsiteY21" fmla="*/ 4241800 h 8562896"/>
            <a:gd name="connsiteX22" fmla="*/ 1652713 w 1830513"/>
            <a:gd name="connsiteY22" fmla="*/ 4356100 h 8562896"/>
            <a:gd name="connsiteX23" fmla="*/ 1601913 w 1830513"/>
            <a:gd name="connsiteY23" fmla="*/ 4521200 h 8562896"/>
            <a:gd name="connsiteX24" fmla="*/ 1614613 w 1830513"/>
            <a:gd name="connsiteY24" fmla="*/ 4724400 h 8562896"/>
            <a:gd name="connsiteX25" fmla="*/ 1614613 w 1830513"/>
            <a:gd name="connsiteY25" fmla="*/ 4876800 h 8562896"/>
            <a:gd name="connsiteX26" fmla="*/ 1589213 w 1830513"/>
            <a:gd name="connsiteY26" fmla="*/ 4889500 h 8562896"/>
            <a:gd name="connsiteX27" fmla="*/ 1525713 w 1830513"/>
            <a:gd name="connsiteY27" fmla="*/ 4914900 h 8562896"/>
            <a:gd name="connsiteX28" fmla="*/ 1436813 w 1830513"/>
            <a:gd name="connsiteY28" fmla="*/ 4927600 h 8562896"/>
            <a:gd name="connsiteX29" fmla="*/ 1538413 w 1830513"/>
            <a:gd name="connsiteY29" fmla="*/ 4965700 h 8562896"/>
            <a:gd name="connsiteX30" fmla="*/ 1601913 w 1830513"/>
            <a:gd name="connsiteY30" fmla="*/ 5041900 h 8562896"/>
            <a:gd name="connsiteX31" fmla="*/ 1627313 w 1830513"/>
            <a:gd name="connsiteY31" fmla="*/ 5118100 h 8562896"/>
            <a:gd name="connsiteX32" fmla="*/ 1589213 w 1830513"/>
            <a:gd name="connsiteY32" fmla="*/ 5194300 h 8562896"/>
            <a:gd name="connsiteX33" fmla="*/ 1513013 w 1830513"/>
            <a:gd name="connsiteY33" fmla="*/ 5283200 h 8562896"/>
            <a:gd name="connsiteX34" fmla="*/ 1487613 w 1830513"/>
            <a:gd name="connsiteY34" fmla="*/ 5384800 h 8562896"/>
            <a:gd name="connsiteX35" fmla="*/ 1487613 w 1830513"/>
            <a:gd name="connsiteY35" fmla="*/ 5473700 h 8562896"/>
            <a:gd name="connsiteX36" fmla="*/ 1500313 w 1830513"/>
            <a:gd name="connsiteY36" fmla="*/ 5638800 h 8562896"/>
            <a:gd name="connsiteX37" fmla="*/ 1345217 w 1830513"/>
            <a:gd name="connsiteY37" fmla="*/ 5792537 h 8562896"/>
            <a:gd name="connsiteX38" fmla="*/ 968967 w 1830513"/>
            <a:gd name="connsiteY38" fmla="*/ 5837856 h 8562896"/>
            <a:gd name="connsiteX39" fmla="*/ 788653 w 1830513"/>
            <a:gd name="connsiteY39" fmla="*/ 5877575 h 8562896"/>
            <a:gd name="connsiteX40" fmla="*/ 655454 w 1830513"/>
            <a:gd name="connsiteY40" fmla="*/ 6036937 h 8562896"/>
            <a:gd name="connsiteX41" fmla="*/ 631533 w 1830513"/>
            <a:gd name="connsiteY41" fmla="*/ 6239577 h 8562896"/>
            <a:gd name="connsiteX42" fmla="*/ 585913 w 1830513"/>
            <a:gd name="connsiteY42" fmla="*/ 6591300 h 8562896"/>
            <a:gd name="connsiteX43" fmla="*/ 334395 w 1830513"/>
            <a:gd name="connsiteY43" fmla="*/ 8562896 h 8562896"/>
            <a:gd name="connsiteX44" fmla="*/ 1713 w 1830513"/>
            <a:gd name="connsiteY44" fmla="*/ 7823200 h 8562896"/>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668995 w 1844054"/>
            <a:gd name="connsiteY40" fmla="*/ 60369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470689 w 1844054"/>
            <a:gd name="connsiteY40" fmla="*/ 59685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531706 w 1844054"/>
            <a:gd name="connsiteY40" fmla="*/ 59514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Lst>
          <a:rect l="l" t="t" r="r" b="b"/>
          <a:pathLst>
            <a:path w="1844054" h="8575595">
              <a:moveTo>
                <a:pt x="0" y="8575595"/>
              </a:moveTo>
              <a:cubicBezTo>
                <a:pt x="4233" y="5967862"/>
                <a:pt x="10469" y="2607733"/>
                <a:pt x="14702" y="0"/>
              </a:cubicBezTo>
              <a:lnTo>
                <a:pt x="243854" y="0"/>
              </a:lnTo>
              <a:cubicBezTo>
                <a:pt x="324379" y="4233"/>
                <a:pt x="421654" y="6350"/>
                <a:pt x="497854" y="25400"/>
              </a:cubicBezTo>
              <a:cubicBezTo>
                <a:pt x="574054" y="44450"/>
                <a:pt x="635345" y="79933"/>
                <a:pt x="701054" y="114300"/>
              </a:cubicBezTo>
              <a:cubicBezTo>
                <a:pt x="766763" y="148667"/>
                <a:pt x="832839" y="185035"/>
                <a:pt x="892106" y="231602"/>
              </a:cubicBezTo>
              <a:cubicBezTo>
                <a:pt x="951373" y="278169"/>
                <a:pt x="1001713" y="320117"/>
                <a:pt x="1056654" y="393700"/>
              </a:cubicBezTo>
              <a:cubicBezTo>
                <a:pt x="1111595" y="467283"/>
                <a:pt x="1179421" y="590550"/>
                <a:pt x="1221754" y="673100"/>
              </a:cubicBezTo>
              <a:lnTo>
                <a:pt x="1310654" y="889000"/>
              </a:lnTo>
              <a:cubicBezTo>
                <a:pt x="1340287" y="960967"/>
                <a:pt x="1437654" y="1303867"/>
                <a:pt x="1475754" y="1473200"/>
              </a:cubicBezTo>
              <a:lnTo>
                <a:pt x="1539254" y="1905000"/>
              </a:lnTo>
              <a:lnTo>
                <a:pt x="1577354" y="2273300"/>
              </a:lnTo>
              <a:lnTo>
                <a:pt x="1602754" y="2654300"/>
              </a:lnTo>
              <a:lnTo>
                <a:pt x="1564654" y="2768600"/>
              </a:lnTo>
              <a:lnTo>
                <a:pt x="1513854" y="2882900"/>
              </a:lnTo>
              <a:lnTo>
                <a:pt x="1479620" y="2990811"/>
              </a:lnTo>
              <a:lnTo>
                <a:pt x="1526554" y="3175000"/>
              </a:lnTo>
              <a:lnTo>
                <a:pt x="1793254" y="3886200"/>
              </a:lnTo>
              <a:lnTo>
                <a:pt x="1831354" y="4000500"/>
              </a:lnTo>
              <a:lnTo>
                <a:pt x="1844054" y="4102100"/>
              </a:lnTo>
              <a:lnTo>
                <a:pt x="1837429" y="4180455"/>
              </a:lnTo>
              <a:lnTo>
                <a:pt x="1780554" y="4241800"/>
              </a:lnTo>
              <a:lnTo>
                <a:pt x="1666254" y="4356100"/>
              </a:lnTo>
              <a:lnTo>
                <a:pt x="1615454" y="4521200"/>
              </a:lnTo>
              <a:lnTo>
                <a:pt x="1628154" y="4724400"/>
              </a:lnTo>
              <a:cubicBezTo>
                <a:pt x="1630271" y="4783667"/>
                <a:pt x="1632387" y="4849283"/>
                <a:pt x="1628154" y="4876800"/>
              </a:cubicBezTo>
              <a:cubicBezTo>
                <a:pt x="1623921" y="4904317"/>
                <a:pt x="1617571" y="4883150"/>
                <a:pt x="1602754" y="4889500"/>
              </a:cubicBezTo>
              <a:lnTo>
                <a:pt x="1539254" y="4914900"/>
              </a:lnTo>
              <a:lnTo>
                <a:pt x="1450354" y="4927600"/>
              </a:lnTo>
              <a:lnTo>
                <a:pt x="1551954" y="4965700"/>
              </a:lnTo>
              <a:lnTo>
                <a:pt x="1615454" y="5041900"/>
              </a:lnTo>
              <a:lnTo>
                <a:pt x="1640854" y="5118100"/>
              </a:lnTo>
              <a:lnTo>
                <a:pt x="1602754" y="5194300"/>
              </a:lnTo>
              <a:lnTo>
                <a:pt x="1526554" y="5283200"/>
              </a:lnTo>
              <a:lnTo>
                <a:pt x="1501154" y="5384800"/>
              </a:lnTo>
              <a:lnTo>
                <a:pt x="1501154" y="5473700"/>
              </a:lnTo>
              <a:lnTo>
                <a:pt x="1513854" y="5638800"/>
              </a:lnTo>
              <a:cubicBezTo>
                <a:pt x="1490121" y="5691939"/>
                <a:pt x="1447316" y="5759361"/>
                <a:pt x="1358758" y="5792537"/>
              </a:cubicBezTo>
              <a:lnTo>
                <a:pt x="982508" y="5837856"/>
              </a:lnTo>
              <a:cubicBezTo>
                <a:pt x="922403" y="5851096"/>
                <a:pt x="877328" y="5858645"/>
                <a:pt x="802194" y="5877575"/>
              </a:cubicBezTo>
              <a:cubicBezTo>
                <a:pt x="727060" y="5896505"/>
                <a:pt x="567618" y="5904402"/>
                <a:pt x="531706" y="5951437"/>
              </a:cubicBezTo>
              <a:lnTo>
                <a:pt x="309480" y="6265227"/>
              </a:lnTo>
              <a:lnTo>
                <a:pt x="233350" y="6693900"/>
              </a:lnTo>
              <a:lnTo>
                <a:pt x="164884" y="8571446"/>
              </a:lnTo>
              <a:lnTo>
                <a:pt x="0" y="8575595"/>
              </a:lnTo>
              <a:close/>
            </a:path>
          </a:pathLst>
        </a:custGeom>
        <a:solidFill>
          <a:schemeClr val="accent5">
            <a:lumMod val="20000"/>
            <a:lumOff val="80000"/>
          </a:schemeClr>
        </a:solidFill>
        <a:ln>
          <a:noFill/>
        </a:ln>
        <a:effectLst>
          <a:outerShdw blurRad="50800" dist="38100" algn="l" rotWithShape="0">
            <a:srgbClr val="0070C0">
              <a:alpha val="4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0</xdr:colOff>
      <xdr:row>460</xdr:row>
      <xdr:rowOff>38100</xdr:rowOff>
    </xdr:from>
    <xdr:to>
      <xdr:col>13</xdr:col>
      <xdr:colOff>99060</xdr:colOff>
      <xdr:row>505</xdr:row>
      <xdr:rowOff>210820</xdr:rowOff>
    </xdr:to>
    <xdr:grpSp>
      <xdr:nvGrpSpPr>
        <xdr:cNvPr id="1140" name="Group 1139">
          <a:extLst>
            <a:ext uri="{FF2B5EF4-FFF2-40B4-BE49-F238E27FC236}">
              <a16:creationId xmlns:a16="http://schemas.microsoft.com/office/drawing/2014/main" id="{00000000-0008-0000-0200-000074040000}"/>
            </a:ext>
          </a:extLst>
        </xdr:cNvPr>
        <xdr:cNvGrpSpPr/>
      </xdr:nvGrpSpPr>
      <xdr:grpSpPr>
        <a:xfrm>
          <a:off x="0" y="93604080"/>
          <a:ext cx="6248400" cy="8059420"/>
          <a:chOff x="15455900" y="60706000"/>
          <a:chExt cx="6375400" cy="7823200"/>
        </a:xfrm>
      </xdr:grpSpPr>
      <xdr:sp macro="" textlink="">
        <xdr:nvSpPr>
          <xdr:cNvPr id="1141" name="Rectangle 1140">
            <a:extLst>
              <a:ext uri="{FF2B5EF4-FFF2-40B4-BE49-F238E27FC236}">
                <a16:creationId xmlns:a16="http://schemas.microsoft.com/office/drawing/2014/main" id="{00000000-0008-0000-0200-000075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2" name="Rectangle 1141">
            <a:extLst>
              <a:ext uri="{FF2B5EF4-FFF2-40B4-BE49-F238E27FC236}">
                <a16:creationId xmlns:a16="http://schemas.microsoft.com/office/drawing/2014/main" id="{00000000-0008-0000-0200-000076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143" name="Group 1142">
            <a:extLst>
              <a:ext uri="{FF2B5EF4-FFF2-40B4-BE49-F238E27FC236}">
                <a16:creationId xmlns:a16="http://schemas.microsoft.com/office/drawing/2014/main" id="{00000000-0008-0000-0200-000077040000}"/>
              </a:ext>
            </a:extLst>
          </xdr:cNvPr>
          <xdr:cNvGrpSpPr/>
        </xdr:nvGrpSpPr>
        <xdr:grpSpPr>
          <a:xfrm>
            <a:off x="16306800" y="60706000"/>
            <a:ext cx="2296879" cy="7823200"/>
            <a:chOff x="3796580" y="60718700"/>
            <a:chExt cx="2296879" cy="7823200"/>
          </a:xfrm>
        </xdr:grpSpPr>
        <xdr:sp macro="" textlink="">
          <xdr:nvSpPr>
            <xdr:cNvPr id="1150" name="Freeform: Shape 1149">
              <a:extLst>
                <a:ext uri="{FF2B5EF4-FFF2-40B4-BE49-F238E27FC236}">
                  <a16:creationId xmlns:a16="http://schemas.microsoft.com/office/drawing/2014/main" id="{00000000-0008-0000-0200-00007E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1" name="Freeform: Shape 1150">
              <a:extLst>
                <a:ext uri="{FF2B5EF4-FFF2-40B4-BE49-F238E27FC236}">
                  <a16:creationId xmlns:a16="http://schemas.microsoft.com/office/drawing/2014/main" id="{00000000-0008-0000-0200-00007F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2" name="Freeform: Shape 1151">
              <a:extLst>
                <a:ext uri="{FF2B5EF4-FFF2-40B4-BE49-F238E27FC236}">
                  <a16:creationId xmlns:a16="http://schemas.microsoft.com/office/drawing/2014/main" id="{00000000-0008-0000-0200-000080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3" name="Freeform: Shape 1152">
              <a:extLst>
                <a:ext uri="{FF2B5EF4-FFF2-40B4-BE49-F238E27FC236}">
                  <a16:creationId xmlns:a16="http://schemas.microsoft.com/office/drawing/2014/main" id="{00000000-0008-0000-0200-000081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4" name="Freeform: Shape 1153">
              <a:extLst>
                <a:ext uri="{FF2B5EF4-FFF2-40B4-BE49-F238E27FC236}">
                  <a16:creationId xmlns:a16="http://schemas.microsoft.com/office/drawing/2014/main" id="{00000000-0008-0000-0200-000082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144" name="Group 1143">
            <a:extLst>
              <a:ext uri="{FF2B5EF4-FFF2-40B4-BE49-F238E27FC236}">
                <a16:creationId xmlns:a16="http://schemas.microsoft.com/office/drawing/2014/main" id="{00000000-0008-0000-0200-000078040000}"/>
              </a:ext>
            </a:extLst>
          </xdr:cNvPr>
          <xdr:cNvGrpSpPr/>
        </xdr:nvGrpSpPr>
        <xdr:grpSpPr>
          <a:xfrm>
            <a:off x="18742660" y="60706000"/>
            <a:ext cx="2256239" cy="7823200"/>
            <a:chOff x="7845340" y="60718700"/>
            <a:chExt cx="2256239" cy="7823200"/>
          </a:xfrm>
        </xdr:grpSpPr>
        <xdr:sp macro="" textlink="">
          <xdr:nvSpPr>
            <xdr:cNvPr id="1145" name="Freeform: Shape 1144">
              <a:extLst>
                <a:ext uri="{FF2B5EF4-FFF2-40B4-BE49-F238E27FC236}">
                  <a16:creationId xmlns:a16="http://schemas.microsoft.com/office/drawing/2014/main" id="{00000000-0008-0000-0200-000079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6" name="Freeform: Shape 1145">
              <a:extLst>
                <a:ext uri="{FF2B5EF4-FFF2-40B4-BE49-F238E27FC236}">
                  <a16:creationId xmlns:a16="http://schemas.microsoft.com/office/drawing/2014/main" id="{00000000-0008-0000-0200-00007A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7" name="Freeform: Shape 1146">
              <a:extLst>
                <a:ext uri="{FF2B5EF4-FFF2-40B4-BE49-F238E27FC236}">
                  <a16:creationId xmlns:a16="http://schemas.microsoft.com/office/drawing/2014/main" id="{00000000-0008-0000-0200-00007B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8" name="Freeform: Shape 1147">
              <a:extLst>
                <a:ext uri="{FF2B5EF4-FFF2-40B4-BE49-F238E27FC236}">
                  <a16:creationId xmlns:a16="http://schemas.microsoft.com/office/drawing/2014/main" id="{00000000-0008-0000-0200-00007C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9" name="Freeform: Shape 1148">
              <a:extLst>
                <a:ext uri="{FF2B5EF4-FFF2-40B4-BE49-F238E27FC236}">
                  <a16:creationId xmlns:a16="http://schemas.microsoft.com/office/drawing/2014/main" id="{00000000-0008-0000-0200-00007D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0</xdr:col>
      <xdr:colOff>7471</xdr:colOff>
      <xdr:row>413</xdr:row>
      <xdr:rowOff>0</xdr:rowOff>
    </xdr:from>
    <xdr:to>
      <xdr:col>13</xdr:col>
      <xdr:colOff>106531</xdr:colOff>
      <xdr:row>458</xdr:row>
      <xdr:rowOff>150876</xdr:rowOff>
    </xdr:to>
    <xdr:grpSp>
      <xdr:nvGrpSpPr>
        <xdr:cNvPr id="1110" name="Group 1109">
          <a:extLst>
            <a:ext uri="{FF2B5EF4-FFF2-40B4-BE49-F238E27FC236}">
              <a16:creationId xmlns:a16="http://schemas.microsoft.com/office/drawing/2014/main" id="{00000000-0008-0000-0200-000056040000}"/>
            </a:ext>
          </a:extLst>
        </xdr:cNvPr>
        <xdr:cNvGrpSpPr/>
      </xdr:nvGrpSpPr>
      <xdr:grpSpPr>
        <a:xfrm>
          <a:off x="7471" y="85123020"/>
          <a:ext cx="6248400" cy="8037576"/>
          <a:chOff x="15455900" y="60706000"/>
          <a:chExt cx="6375400" cy="7823200"/>
        </a:xfrm>
      </xdr:grpSpPr>
      <xdr:sp macro="" textlink="">
        <xdr:nvSpPr>
          <xdr:cNvPr id="1111" name="Rectangle 1110">
            <a:extLst>
              <a:ext uri="{FF2B5EF4-FFF2-40B4-BE49-F238E27FC236}">
                <a16:creationId xmlns:a16="http://schemas.microsoft.com/office/drawing/2014/main" id="{00000000-0008-0000-0200-000057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2" name="Rectangle 1111">
            <a:extLst>
              <a:ext uri="{FF2B5EF4-FFF2-40B4-BE49-F238E27FC236}">
                <a16:creationId xmlns:a16="http://schemas.microsoft.com/office/drawing/2014/main" id="{00000000-0008-0000-0200-000058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113" name="Group 1112">
            <a:extLst>
              <a:ext uri="{FF2B5EF4-FFF2-40B4-BE49-F238E27FC236}">
                <a16:creationId xmlns:a16="http://schemas.microsoft.com/office/drawing/2014/main" id="{00000000-0008-0000-0200-000059040000}"/>
              </a:ext>
            </a:extLst>
          </xdr:cNvPr>
          <xdr:cNvGrpSpPr/>
        </xdr:nvGrpSpPr>
        <xdr:grpSpPr>
          <a:xfrm>
            <a:off x="16306800" y="60706000"/>
            <a:ext cx="2296879" cy="7823200"/>
            <a:chOff x="3796580" y="60718700"/>
            <a:chExt cx="2296879" cy="7823200"/>
          </a:xfrm>
        </xdr:grpSpPr>
        <xdr:sp macro="" textlink="">
          <xdr:nvSpPr>
            <xdr:cNvPr id="1120" name="Freeform: Shape 1119">
              <a:extLst>
                <a:ext uri="{FF2B5EF4-FFF2-40B4-BE49-F238E27FC236}">
                  <a16:creationId xmlns:a16="http://schemas.microsoft.com/office/drawing/2014/main" id="{00000000-0008-0000-0200-000060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1" name="Freeform: Shape 1120">
              <a:extLst>
                <a:ext uri="{FF2B5EF4-FFF2-40B4-BE49-F238E27FC236}">
                  <a16:creationId xmlns:a16="http://schemas.microsoft.com/office/drawing/2014/main" id="{00000000-0008-0000-0200-000061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2" name="Freeform: Shape 1121">
              <a:extLst>
                <a:ext uri="{FF2B5EF4-FFF2-40B4-BE49-F238E27FC236}">
                  <a16:creationId xmlns:a16="http://schemas.microsoft.com/office/drawing/2014/main" id="{00000000-0008-0000-0200-000062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3" name="Freeform: Shape 1122">
              <a:extLst>
                <a:ext uri="{FF2B5EF4-FFF2-40B4-BE49-F238E27FC236}">
                  <a16:creationId xmlns:a16="http://schemas.microsoft.com/office/drawing/2014/main" id="{00000000-0008-0000-0200-000063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4" name="Freeform: Shape 1123">
              <a:extLst>
                <a:ext uri="{FF2B5EF4-FFF2-40B4-BE49-F238E27FC236}">
                  <a16:creationId xmlns:a16="http://schemas.microsoft.com/office/drawing/2014/main" id="{00000000-0008-0000-0200-000064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114" name="Group 1113">
            <a:extLst>
              <a:ext uri="{FF2B5EF4-FFF2-40B4-BE49-F238E27FC236}">
                <a16:creationId xmlns:a16="http://schemas.microsoft.com/office/drawing/2014/main" id="{00000000-0008-0000-0200-00005A040000}"/>
              </a:ext>
            </a:extLst>
          </xdr:cNvPr>
          <xdr:cNvGrpSpPr/>
        </xdr:nvGrpSpPr>
        <xdr:grpSpPr>
          <a:xfrm>
            <a:off x="18742660" y="60706000"/>
            <a:ext cx="2256239" cy="7823200"/>
            <a:chOff x="7845340" y="60718700"/>
            <a:chExt cx="2256239" cy="7823200"/>
          </a:xfrm>
        </xdr:grpSpPr>
        <xdr:sp macro="" textlink="">
          <xdr:nvSpPr>
            <xdr:cNvPr id="1115" name="Freeform: Shape 1114">
              <a:extLst>
                <a:ext uri="{FF2B5EF4-FFF2-40B4-BE49-F238E27FC236}">
                  <a16:creationId xmlns:a16="http://schemas.microsoft.com/office/drawing/2014/main" id="{00000000-0008-0000-0200-00005B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6" name="Freeform: Shape 1115">
              <a:extLst>
                <a:ext uri="{FF2B5EF4-FFF2-40B4-BE49-F238E27FC236}">
                  <a16:creationId xmlns:a16="http://schemas.microsoft.com/office/drawing/2014/main" id="{00000000-0008-0000-0200-00005C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7" name="Freeform: Shape 1116">
              <a:extLst>
                <a:ext uri="{FF2B5EF4-FFF2-40B4-BE49-F238E27FC236}">
                  <a16:creationId xmlns:a16="http://schemas.microsoft.com/office/drawing/2014/main" id="{00000000-0008-0000-0200-00005D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8" name="Freeform: Shape 1117">
              <a:extLst>
                <a:ext uri="{FF2B5EF4-FFF2-40B4-BE49-F238E27FC236}">
                  <a16:creationId xmlns:a16="http://schemas.microsoft.com/office/drawing/2014/main" id="{00000000-0008-0000-0200-00005E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9" name="Freeform: Shape 1118">
              <a:extLst>
                <a:ext uri="{FF2B5EF4-FFF2-40B4-BE49-F238E27FC236}">
                  <a16:creationId xmlns:a16="http://schemas.microsoft.com/office/drawing/2014/main" id="{00000000-0008-0000-0200-00005F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0</xdr:col>
      <xdr:colOff>15240</xdr:colOff>
      <xdr:row>366</xdr:row>
      <xdr:rowOff>30488</xdr:rowOff>
    </xdr:from>
    <xdr:to>
      <xdr:col>13</xdr:col>
      <xdr:colOff>114300</xdr:colOff>
      <xdr:row>411</xdr:row>
      <xdr:rowOff>142249</xdr:rowOff>
    </xdr:to>
    <xdr:grpSp>
      <xdr:nvGrpSpPr>
        <xdr:cNvPr id="1095" name="Group 1094">
          <a:extLst>
            <a:ext uri="{FF2B5EF4-FFF2-40B4-BE49-F238E27FC236}">
              <a16:creationId xmlns:a16="http://schemas.microsoft.com/office/drawing/2014/main" id="{00000000-0008-0000-0200-000047040000}"/>
            </a:ext>
          </a:extLst>
        </xdr:cNvPr>
        <xdr:cNvGrpSpPr/>
      </xdr:nvGrpSpPr>
      <xdr:grpSpPr>
        <a:xfrm>
          <a:off x="15240" y="76672448"/>
          <a:ext cx="6248400" cy="8036561"/>
          <a:chOff x="15455900" y="60706000"/>
          <a:chExt cx="6375400" cy="7823200"/>
        </a:xfrm>
      </xdr:grpSpPr>
      <xdr:sp macro="" textlink="">
        <xdr:nvSpPr>
          <xdr:cNvPr id="1096" name="Rectangle 1095">
            <a:extLst>
              <a:ext uri="{FF2B5EF4-FFF2-40B4-BE49-F238E27FC236}">
                <a16:creationId xmlns:a16="http://schemas.microsoft.com/office/drawing/2014/main" id="{00000000-0008-0000-0200-000048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7" name="Rectangle 1096">
            <a:extLst>
              <a:ext uri="{FF2B5EF4-FFF2-40B4-BE49-F238E27FC236}">
                <a16:creationId xmlns:a16="http://schemas.microsoft.com/office/drawing/2014/main" id="{00000000-0008-0000-0200-000049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098" name="Group 1097">
            <a:extLst>
              <a:ext uri="{FF2B5EF4-FFF2-40B4-BE49-F238E27FC236}">
                <a16:creationId xmlns:a16="http://schemas.microsoft.com/office/drawing/2014/main" id="{00000000-0008-0000-0200-00004A040000}"/>
              </a:ext>
            </a:extLst>
          </xdr:cNvPr>
          <xdr:cNvGrpSpPr/>
        </xdr:nvGrpSpPr>
        <xdr:grpSpPr>
          <a:xfrm>
            <a:off x="16306800" y="60706000"/>
            <a:ext cx="2296879" cy="7823200"/>
            <a:chOff x="3796580" y="60718700"/>
            <a:chExt cx="2296879" cy="7823200"/>
          </a:xfrm>
        </xdr:grpSpPr>
        <xdr:sp macro="" textlink="">
          <xdr:nvSpPr>
            <xdr:cNvPr id="1105" name="Freeform: Shape 1104">
              <a:extLst>
                <a:ext uri="{FF2B5EF4-FFF2-40B4-BE49-F238E27FC236}">
                  <a16:creationId xmlns:a16="http://schemas.microsoft.com/office/drawing/2014/main" id="{00000000-0008-0000-0200-000051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6" name="Freeform: Shape 1105">
              <a:extLst>
                <a:ext uri="{FF2B5EF4-FFF2-40B4-BE49-F238E27FC236}">
                  <a16:creationId xmlns:a16="http://schemas.microsoft.com/office/drawing/2014/main" id="{00000000-0008-0000-0200-000052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7" name="Freeform: Shape 1106">
              <a:extLst>
                <a:ext uri="{FF2B5EF4-FFF2-40B4-BE49-F238E27FC236}">
                  <a16:creationId xmlns:a16="http://schemas.microsoft.com/office/drawing/2014/main" id="{00000000-0008-0000-0200-000053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8" name="Freeform: Shape 1107">
              <a:extLst>
                <a:ext uri="{FF2B5EF4-FFF2-40B4-BE49-F238E27FC236}">
                  <a16:creationId xmlns:a16="http://schemas.microsoft.com/office/drawing/2014/main" id="{00000000-0008-0000-0200-000054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9" name="Freeform: Shape 1108">
              <a:extLst>
                <a:ext uri="{FF2B5EF4-FFF2-40B4-BE49-F238E27FC236}">
                  <a16:creationId xmlns:a16="http://schemas.microsoft.com/office/drawing/2014/main" id="{00000000-0008-0000-0200-000055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099" name="Group 1098">
            <a:extLst>
              <a:ext uri="{FF2B5EF4-FFF2-40B4-BE49-F238E27FC236}">
                <a16:creationId xmlns:a16="http://schemas.microsoft.com/office/drawing/2014/main" id="{00000000-0008-0000-0200-00004B040000}"/>
              </a:ext>
            </a:extLst>
          </xdr:cNvPr>
          <xdr:cNvGrpSpPr/>
        </xdr:nvGrpSpPr>
        <xdr:grpSpPr>
          <a:xfrm>
            <a:off x="18742660" y="60706000"/>
            <a:ext cx="2256239" cy="7823200"/>
            <a:chOff x="7845340" y="60718700"/>
            <a:chExt cx="2256239" cy="7823200"/>
          </a:xfrm>
        </xdr:grpSpPr>
        <xdr:sp macro="" textlink="">
          <xdr:nvSpPr>
            <xdr:cNvPr id="1100" name="Freeform: Shape 1099">
              <a:extLst>
                <a:ext uri="{FF2B5EF4-FFF2-40B4-BE49-F238E27FC236}">
                  <a16:creationId xmlns:a16="http://schemas.microsoft.com/office/drawing/2014/main" id="{00000000-0008-0000-0200-00004C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1" name="Freeform: Shape 1100">
              <a:extLst>
                <a:ext uri="{FF2B5EF4-FFF2-40B4-BE49-F238E27FC236}">
                  <a16:creationId xmlns:a16="http://schemas.microsoft.com/office/drawing/2014/main" id="{00000000-0008-0000-0200-00004D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2" name="Freeform: Shape 1101">
              <a:extLst>
                <a:ext uri="{FF2B5EF4-FFF2-40B4-BE49-F238E27FC236}">
                  <a16:creationId xmlns:a16="http://schemas.microsoft.com/office/drawing/2014/main" id="{00000000-0008-0000-0200-00004E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3" name="Freeform: Shape 1102">
              <a:extLst>
                <a:ext uri="{FF2B5EF4-FFF2-40B4-BE49-F238E27FC236}">
                  <a16:creationId xmlns:a16="http://schemas.microsoft.com/office/drawing/2014/main" id="{00000000-0008-0000-0200-00004F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4" name="Freeform: Shape 1103">
              <a:extLst>
                <a:ext uri="{FF2B5EF4-FFF2-40B4-BE49-F238E27FC236}">
                  <a16:creationId xmlns:a16="http://schemas.microsoft.com/office/drawing/2014/main" id="{00000000-0008-0000-0200-000050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0</xdr:col>
      <xdr:colOff>15240</xdr:colOff>
      <xdr:row>319</xdr:row>
      <xdr:rowOff>15240</xdr:rowOff>
    </xdr:from>
    <xdr:to>
      <xdr:col>13</xdr:col>
      <xdr:colOff>114300</xdr:colOff>
      <xdr:row>365</xdr:row>
      <xdr:rowOff>12700</xdr:rowOff>
    </xdr:to>
    <xdr:grpSp>
      <xdr:nvGrpSpPr>
        <xdr:cNvPr id="1080" name="Group 1079">
          <a:extLst>
            <a:ext uri="{FF2B5EF4-FFF2-40B4-BE49-F238E27FC236}">
              <a16:creationId xmlns:a16="http://schemas.microsoft.com/office/drawing/2014/main" id="{00000000-0008-0000-0200-000038040000}"/>
            </a:ext>
          </a:extLst>
        </xdr:cNvPr>
        <xdr:cNvGrpSpPr/>
      </xdr:nvGrpSpPr>
      <xdr:grpSpPr>
        <a:xfrm>
          <a:off x="15240" y="68214240"/>
          <a:ext cx="6248400" cy="8059420"/>
          <a:chOff x="15455900" y="60706000"/>
          <a:chExt cx="6375400" cy="7823200"/>
        </a:xfrm>
      </xdr:grpSpPr>
      <xdr:sp macro="" textlink="">
        <xdr:nvSpPr>
          <xdr:cNvPr id="1081" name="Rectangle 1080">
            <a:extLst>
              <a:ext uri="{FF2B5EF4-FFF2-40B4-BE49-F238E27FC236}">
                <a16:creationId xmlns:a16="http://schemas.microsoft.com/office/drawing/2014/main" id="{00000000-0008-0000-0200-000039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2" name="Rectangle 1081">
            <a:extLst>
              <a:ext uri="{FF2B5EF4-FFF2-40B4-BE49-F238E27FC236}">
                <a16:creationId xmlns:a16="http://schemas.microsoft.com/office/drawing/2014/main" id="{00000000-0008-0000-0200-00003A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083" name="Group 1082">
            <a:extLst>
              <a:ext uri="{FF2B5EF4-FFF2-40B4-BE49-F238E27FC236}">
                <a16:creationId xmlns:a16="http://schemas.microsoft.com/office/drawing/2014/main" id="{00000000-0008-0000-0200-00003B040000}"/>
              </a:ext>
            </a:extLst>
          </xdr:cNvPr>
          <xdr:cNvGrpSpPr/>
        </xdr:nvGrpSpPr>
        <xdr:grpSpPr>
          <a:xfrm>
            <a:off x="16306800" y="60706000"/>
            <a:ext cx="2296879" cy="7823200"/>
            <a:chOff x="3796580" y="60718700"/>
            <a:chExt cx="2296879" cy="7823200"/>
          </a:xfrm>
        </xdr:grpSpPr>
        <xdr:sp macro="" textlink="">
          <xdr:nvSpPr>
            <xdr:cNvPr id="1090" name="Freeform: Shape 1089">
              <a:extLst>
                <a:ext uri="{FF2B5EF4-FFF2-40B4-BE49-F238E27FC236}">
                  <a16:creationId xmlns:a16="http://schemas.microsoft.com/office/drawing/2014/main" id="{00000000-0008-0000-0200-000042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1" name="Freeform: Shape 1090">
              <a:extLst>
                <a:ext uri="{FF2B5EF4-FFF2-40B4-BE49-F238E27FC236}">
                  <a16:creationId xmlns:a16="http://schemas.microsoft.com/office/drawing/2014/main" id="{00000000-0008-0000-0200-000043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2" name="Freeform: Shape 1091">
              <a:extLst>
                <a:ext uri="{FF2B5EF4-FFF2-40B4-BE49-F238E27FC236}">
                  <a16:creationId xmlns:a16="http://schemas.microsoft.com/office/drawing/2014/main" id="{00000000-0008-0000-0200-000044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3" name="Freeform: Shape 1092">
              <a:extLst>
                <a:ext uri="{FF2B5EF4-FFF2-40B4-BE49-F238E27FC236}">
                  <a16:creationId xmlns:a16="http://schemas.microsoft.com/office/drawing/2014/main" id="{00000000-0008-0000-0200-000045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4" name="Freeform: Shape 1093">
              <a:extLst>
                <a:ext uri="{FF2B5EF4-FFF2-40B4-BE49-F238E27FC236}">
                  <a16:creationId xmlns:a16="http://schemas.microsoft.com/office/drawing/2014/main" id="{00000000-0008-0000-0200-000046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084" name="Group 1083">
            <a:extLst>
              <a:ext uri="{FF2B5EF4-FFF2-40B4-BE49-F238E27FC236}">
                <a16:creationId xmlns:a16="http://schemas.microsoft.com/office/drawing/2014/main" id="{00000000-0008-0000-0200-00003C040000}"/>
              </a:ext>
            </a:extLst>
          </xdr:cNvPr>
          <xdr:cNvGrpSpPr/>
        </xdr:nvGrpSpPr>
        <xdr:grpSpPr>
          <a:xfrm>
            <a:off x="18742660" y="60706000"/>
            <a:ext cx="2256239" cy="7823200"/>
            <a:chOff x="7845340" y="60718700"/>
            <a:chExt cx="2256239" cy="7823200"/>
          </a:xfrm>
        </xdr:grpSpPr>
        <xdr:sp macro="" textlink="">
          <xdr:nvSpPr>
            <xdr:cNvPr id="1085" name="Freeform: Shape 1084">
              <a:extLst>
                <a:ext uri="{FF2B5EF4-FFF2-40B4-BE49-F238E27FC236}">
                  <a16:creationId xmlns:a16="http://schemas.microsoft.com/office/drawing/2014/main" id="{00000000-0008-0000-0200-00003D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6" name="Freeform: Shape 1085">
              <a:extLst>
                <a:ext uri="{FF2B5EF4-FFF2-40B4-BE49-F238E27FC236}">
                  <a16:creationId xmlns:a16="http://schemas.microsoft.com/office/drawing/2014/main" id="{00000000-0008-0000-0200-00003E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7" name="Freeform: Shape 1086">
              <a:extLst>
                <a:ext uri="{FF2B5EF4-FFF2-40B4-BE49-F238E27FC236}">
                  <a16:creationId xmlns:a16="http://schemas.microsoft.com/office/drawing/2014/main" id="{00000000-0008-0000-0200-00003F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8" name="Freeform: Shape 1087">
              <a:extLst>
                <a:ext uri="{FF2B5EF4-FFF2-40B4-BE49-F238E27FC236}">
                  <a16:creationId xmlns:a16="http://schemas.microsoft.com/office/drawing/2014/main" id="{00000000-0008-0000-0200-000040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9" name="Freeform: Shape 1088">
              <a:extLst>
                <a:ext uri="{FF2B5EF4-FFF2-40B4-BE49-F238E27FC236}">
                  <a16:creationId xmlns:a16="http://schemas.microsoft.com/office/drawing/2014/main" id="{00000000-0008-0000-0200-000041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1</xdr:col>
      <xdr:colOff>419100</xdr:colOff>
      <xdr:row>325</xdr:row>
      <xdr:rowOff>53340</xdr:rowOff>
    </xdr:from>
    <xdr:to>
      <xdr:col>12</xdr:col>
      <xdr:colOff>106680</xdr:colOff>
      <xdr:row>330</xdr:row>
      <xdr:rowOff>60960</xdr:rowOff>
    </xdr:to>
    <xdr:sp macro="" textlink="">
      <xdr:nvSpPr>
        <xdr:cNvPr id="932" name="Oval 931">
          <a:extLst>
            <a:ext uri="{FF2B5EF4-FFF2-40B4-BE49-F238E27FC236}">
              <a16:creationId xmlns:a16="http://schemas.microsoft.com/office/drawing/2014/main" id="{00000000-0008-0000-0200-0000A4030000}"/>
            </a:ext>
          </a:extLst>
        </xdr:cNvPr>
        <xdr:cNvSpPr/>
      </xdr:nvSpPr>
      <xdr:spPr>
        <a:xfrm>
          <a:off x="541020" y="69220080"/>
          <a:ext cx="5135880" cy="883920"/>
        </a:xfrm>
        <a:prstGeom prst="ellipse">
          <a:avLst/>
        </a:prstGeom>
        <a:gradFill flip="none" rotWithShape="1">
          <a:gsLst>
            <a:gs pos="0">
              <a:schemeClr val="accent4">
                <a:lumMod val="60000"/>
                <a:lumOff val="40000"/>
              </a:schemeClr>
            </a:gs>
            <a:gs pos="50000">
              <a:srgbClr val="FFFF00"/>
            </a:gs>
            <a:gs pos="100000">
              <a:schemeClr val="accent4">
                <a:lumMod val="60000"/>
                <a:lumOff val="40000"/>
              </a:schemeClr>
            </a:gs>
          </a:gsLst>
          <a:path path="circle">
            <a:fillToRect l="100000" t="100000"/>
          </a:path>
          <a:tileRect r="-100000" b="-100000"/>
        </a:gradFill>
        <a:ln>
          <a:noFill/>
        </a:ln>
        <a:effectLst>
          <a:softEdge rad="63500"/>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clientData/>
  </xdr:twoCellAnchor>
  <xdr:twoCellAnchor>
    <xdr:from>
      <xdr:col>15</xdr:col>
      <xdr:colOff>1</xdr:colOff>
      <xdr:row>103</xdr:row>
      <xdr:rowOff>7620</xdr:rowOff>
    </xdr:from>
    <xdr:to>
      <xdr:col>27</xdr:col>
      <xdr:colOff>2</xdr:colOff>
      <xdr:row>108</xdr:row>
      <xdr:rowOff>7620</xdr:rowOff>
    </xdr:to>
    <xdr:grpSp>
      <xdr:nvGrpSpPr>
        <xdr:cNvPr id="4" name="Group 3" hidden="1">
          <a:extLst>
            <a:ext uri="{FF2B5EF4-FFF2-40B4-BE49-F238E27FC236}">
              <a16:creationId xmlns:a16="http://schemas.microsoft.com/office/drawing/2014/main" id="{00000000-0008-0000-0200-000004000000}"/>
            </a:ext>
          </a:extLst>
        </xdr:cNvPr>
        <xdr:cNvGrpSpPr/>
      </xdr:nvGrpSpPr>
      <xdr:grpSpPr>
        <a:xfrm>
          <a:off x="6377941" y="21435060"/>
          <a:ext cx="6035041" cy="1257300"/>
          <a:chOff x="7787640" y="586740"/>
          <a:chExt cx="2983245" cy="922020"/>
        </a:xfrm>
      </xdr:grpSpPr>
      <xdr:sp macro="" textlink="">
        <xdr:nvSpPr>
          <xdr:cNvPr id="5" name="Speech Bubble: Rectangle with Corners Rounded 4">
            <a:extLst>
              <a:ext uri="{FF2B5EF4-FFF2-40B4-BE49-F238E27FC236}">
                <a16:creationId xmlns:a16="http://schemas.microsoft.com/office/drawing/2014/main" id="{00000000-0008-0000-0200-00000500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6" name="Speech Bubble: Rectangle with Corners Rounded 5">
            <a:extLst>
              <a:ext uri="{FF2B5EF4-FFF2-40B4-BE49-F238E27FC236}">
                <a16:creationId xmlns:a16="http://schemas.microsoft.com/office/drawing/2014/main" id="{00000000-0008-0000-0200-00000600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editAs="oneCell">
    <xdr:from>
      <xdr:col>13</xdr:col>
      <xdr:colOff>18626</xdr:colOff>
      <xdr:row>973</xdr:row>
      <xdr:rowOff>131336</xdr:rowOff>
    </xdr:from>
    <xdr:to>
      <xdr:col>28</xdr:col>
      <xdr:colOff>67904</xdr:colOff>
      <xdr:row>987</xdr:row>
      <xdr:rowOff>58537</xdr:rowOff>
    </xdr:to>
    <xdr:pic>
      <xdr:nvPicPr>
        <xdr:cNvPr id="164" name="value frame PNP" hidden="1">
          <a:extLst>
            <a:ext uri="{FF2B5EF4-FFF2-40B4-BE49-F238E27FC236}">
              <a16:creationId xmlns:a16="http://schemas.microsoft.com/office/drawing/2014/main" id="{00000000-0008-0000-0200-0000A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84146" y="87433676"/>
          <a:ext cx="6358638" cy="3338123"/>
        </a:xfrm>
        <a:prstGeom prst="rect">
          <a:avLst/>
        </a:prstGeom>
      </xdr:spPr>
    </xdr:pic>
    <xdr:clientData/>
  </xdr:twoCellAnchor>
  <xdr:twoCellAnchor>
    <xdr:from>
      <xdr:col>26</xdr:col>
      <xdr:colOff>0</xdr:colOff>
      <xdr:row>91</xdr:row>
      <xdr:rowOff>380999</xdr:rowOff>
    </xdr:from>
    <xdr:to>
      <xdr:col>26</xdr:col>
      <xdr:colOff>186267</xdr:colOff>
      <xdr:row>91</xdr:row>
      <xdr:rowOff>567266</xdr:rowOff>
    </xdr:to>
    <xdr:grpSp>
      <xdr:nvGrpSpPr>
        <xdr:cNvPr id="195" name="dropdown button image" hidden="1">
          <a:extLst>
            <a:ext uri="{FF2B5EF4-FFF2-40B4-BE49-F238E27FC236}">
              <a16:creationId xmlns:a16="http://schemas.microsoft.com/office/drawing/2014/main" id="{00000000-0008-0000-0200-0000C3000000}"/>
            </a:ext>
          </a:extLst>
        </xdr:cNvPr>
        <xdr:cNvGrpSpPr/>
      </xdr:nvGrpSpPr>
      <xdr:grpSpPr>
        <a:xfrm>
          <a:off x="11910060" y="18204179"/>
          <a:ext cx="186267" cy="186267"/>
          <a:chOff x="11430000" y="1828800"/>
          <a:chExt cx="508000" cy="508000"/>
        </a:xfrm>
      </xdr:grpSpPr>
      <xdr:sp macro="" textlink="">
        <xdr:nvSpPr>
          <xdr:cNvPr id="193" name="Rectangle 192">
            <a:extLst>
              <a:ext uri="{FF2B5EF4-FFF2-40B4-BE49-F238E27FC236}">
                <a16:creationId xmlns:a16="http://schemas.microsoft.com/office/drawing/2014/main" id="{00000000-0008-0000-0200-0000C1000000}"/>
              </a:ext>
            </a:extLst>
          </xdr:cNvPr>
          <xdr:cNvSpPr/>
        </xdr:nvSpPr>
        <xdr:spPr>
          <a:xfrm>
            <a:off x="11430000" y="1828800"/>
            <a:ext cx="508000" cy="508000"/>
          </a:xfrm>
          <a:prstGeom prst="rect">
            <a:avLst/>
          </a:prstGeom>
          <a:solidFill>
            <a:schemeClr val="bg1">
              <a:lumMod val="95000"/>
            </a:schemeClr>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4" name="Isosceles Triangle 193">
            <a:extLst>
              <a:ext uri="{FF2B5EF4-FFF2-40B4-BE49-F238E27FC236}">
                <a16:creationId xmlns:a16="http://schemas.microsoft.com/office/drawing/2014/main" id="{00000000-0008-0000-0200-0000C2000000}"/>
              </a:ext>
            </a:extLst>
          </xdr:cNvPr>
          <xdr:cNvSpPr>
            <a:spLocks noChangeAspect="1"/>
          </xdr:cNvSpPr>
        </xdr:nvSpPr>
        <xdr:spPr>
          <a:xfrm flipV="1">
            <a:off x="11590866" y="2031999"/>
            <a:ext cx="182880" cy="137160"/>
          </a:xfrm>
          <a:prstGeom prst="triangle">
            <a:avLst/>
          </a:prstGeom>
          <a:solidFill>
            <a:schemeClr val="bg1">
              <a:lumMod val="65000"/>
            </a:schemeClr>
          </a:solidFill>
          <a:ln>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25</xdr:col>
      <xdr:colOff>433091</xdr:colOff>
      <xdr:row>91</xdr:row>
      <xdr:rowOff>525460</xdr:rowOff>
    </xdr:from>
    <xdr:to>
      <xdr:col>26</xdr:col>
      <xdr:colOff>24997</xdr:colOff>
      <xdr:row>93</xdr:row>
      <xdr:rowOff>16263</xdr:rowOff>
    </xdr:to>
    <xdr:sp macro="" textlink="">
      <xdr:nvSpPr>
        <xdr:cNvPr id="196" name="Arrow: Left 195" hidden="1">
          <a:extLst>
            <a:ext uri="{FF2B5EF4-FFF2-40B4-BE49-F238E27FC236}">
              <a16:creationId xmlns:a16="http://schemas.microsoft.com/office/drawing/2014/main" id="{00000000-0008-0000-0200-0000C4000000}"/>
            </a:ext>
          </a:extLst>
        </xdr:cNvPr>
        <xdr:cNvSpPr>
          <a:spLocks noChangeAspect="1"/>
        </xdr:cNvSpPr>
      </xdr:nvSpPr>
      <xdr:spPr>
        <a:xfrm rot="4020000">
          <a:off x="11697742" y="1351209"/>
          <a:ext cx="252803" cy="91440"/>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14</xdr:col>
      <xdr:colOff>110067</xdr:colOff>
      <xdr:row>124</xdr:row>
      <xdr:rowOff>8467</xdr:rowOff>
    </xdr:from>
    <xdr:to>
      <xdr:col>27</xdr:col>
      <xdr:colOff>8311</xdr:colOff>
      <xdr:row>130</xdr:row>
      <xdr:rowOff>2503</xdr:rowOff>
    </xdr:to>
    <xdr:pic>
      <xdr:nvPicPr>
        <xdr:cNvPr id="198" name="Picture 197" hidden="1">
          <a:extLst>
            <a:ext uri="{FF2B5EF4-FFF2-40B4-BE49-F238E27FC236}">
              <a16:creationId xmlns:a16="http://schemas.microsoft.com/office/drawing/2014/main" id="{00000000-0008-0000-0200-0000C6000000}"/>
            </a:ext>
          </a:extLst>
        </xdr:cNvPr>
        <xdr:cNvPicPr>
          <a:picLocks noChangeAspect="1"/>
        </xdr:cNvPicPr>
      </xdr:nvPicPr>
      <xdr:blipFill>
        <a:blip xmlns:r="http://schemas.openxmlformats.org/officeDocument/2006/relationships" r:embed="rId2">
          <a:clrChange>
            <a:clrFrom>
              <a:srgbClr val="000000"/>
            </a:clrFrom>
            <a:clrTo>
              <a:srgbClr val="000000">
                <a:alpha val="0"/>
              </a:srgbClr>
            </a:clrTo>
          </a:clrChange>
        </a:blip>
        <a:stretch>
          <a:fillRect/>
        </a:stretch>
      </xdr:blipFill>
      <xdr:spPr>
        <a:xfrm>
          <a:off x="6341534" y="9516534"/>
          <a:ext cx="6011177" cy="1518036"/>
        </a:xfrm>
        <a:prstGeom prst="rect">
          <a:avLst/>
        </a:prstGeom>
      </xdr:spPr>
    </xdr:pic>
    <xdr:clientData/>
  </xdr:twoCellAnchor>
  <xdr:twoCellAnchor editAs="oneCell">
    <xdr:from>
      <xdr:col>16</xdr:col>
      <xdr:colOff>426720</xdr:colOff>
      <xdr:row>93</xdr:row>
      <xdr:rowOff>205740</xdr:rowOff>
    </xdr:from>
    <xdr:to>
      <xdr:col>18</xdr:col>
      <xdr:colOff>269292</xdr:colOff>
      <xdr:row>95</xdr:row>
      <xdr:rowOff>358140</xdr:rowOff>
    </xdr:to>
    <xdr:pic>
      <xdr:nvPicPr>
        <xdr:cNvPr id="258" name="thumbs down, light red" hidden="1">
          <a:extLst>
            <a:ext uri="{FF2B5EF4-FFF2-40B4-BE49-F238E27FC236}">
              <a16:creationId xmlns:a16="http://schemas.microsoft.com/office/drawing/2014/main" id="{00000000-0008-0000-0200-00000201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36080" y="1699260"/>
          <a:ext cx="833172" cy="914400"/>
        </a:xfrm>
        <a:prstGeom prst="rect">
          <a:avLst/>
        </a:prstGeom>
      </xdr:spPr>
    </xdr:pic>
    <xdr:clientData/>
  </xdr:twoCellAnchor>
  <xdr:twoCellAnchor editAs="oneCell">
    <xdr:from>
      <xdr:col>24</xdr:col>
      <xdr:colOff>231420</xdr:colOff>
      <xdr:row>93</xdr:row>
      <xdr:rowOff>33300</xdr:rowOff>
    </xdr:from>
    <xdr:to>
      <xdr:col>26</xdr:col>
      <xdr:colOff>73992</xdr:colOff>
      <xdr:row>95</xdr:row>
      <xdr:rowOff>185700</xdr:rowOff>
    </xdr:to>
    <xdr:pic>
      <xdr:nvPicPr>
        <xdr:cNvPr id="256" name="thumbs up, light green" hidden="1">
          <a:extLst>
            <a:ext uri="{FF2B5EF4-FFF2-40B4-BE49-F238E27FC236}">
              <a16:creationId xmlns:a16="http://schemas.microsoft.com/office/drawing/2014/main" id="{00000000-0008-0000-0200-00000001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flipH="1">
          <a:off x="10998480" y="1526820"/>
          <a:ext cx="833172" cy="914400"/>
        </a:xfrm>
        <a:prstGeom prst="rect">
          <a:avLst/>
        </a:prstGeom>
      </xdr:spPr>
    </xdr:pic>
    <xdr:clientData/>
  </xdr:twoCellAnchor>
  <xdr:twoCellAnchor>
    <xdr:from>
      <xdr:col>1</xdr:col>
      <xdr:colOff>30480</xdr:colOff>
      <xdr:row>699</xdr:row>
      <xdr:rowOff>7620</xdr:rowOff>
    </xdr:from>
    <xdr:to>
      <xdr:col>12</xdr:col>
      <xdr:colOff>457200</xdr:colOff>
      <xdr:row>708</xdr:row>
      <xdr:rowOff>59267</xdr:rowOff>
    </xdr:to>
    <xdr:grpSp>
      <xdr:nvGrpSpPr>
        <xdr:cNvPr id="53" name="Group 52">
          <a:extLst>
            <a:ext uri="{FF2B5EF4-FFF2-40B4-BE49-F238E27FC236}">
              <a16:creationId xmlns:a16="http://schemas.microsoft.com/office/drawing/2014/main" id="{00000000-0008-0000-0200-000035000000}"/>
            </a:ext>
          </a:extLst>
        </xdr:cNvPr>
        <xdr:cNvGrpSpPr/>
      </xdr:nvGrpSpPr>
      <xdr:grpSpPr>
        <a:xfrm>
          <a:off x="144780" y="136923780"/>
          <a:ext cx="5958840" cy="1628987"/>
          <a:chOff x="137160" y="128168400"/>
          <a:chExt cx="5875020" cy="1628987"/>
        </a:xfrm>
      </xdr:grpSpPr>
      <xdr:sp macro="" textlink="">
        <xdr:nvSpPr>
          <xdr:cNvPr id="1591" name="TextBox 1590">
            <a:extLst>
              <a:ext uri="{FF2B5EF4-FFF2-40B4-BE49-F238E27FC236}">
                <a16:creationId xmlns:a16="http://schemas.microsoft.com/office/drawing/2014/main" id="{00000000-0008-0000-0200-000037060000}"/>
              </a:ext>
            </a:extLst>
          </xdr:cNvPr>
          <xdr:cNvSpPr txBox="1"/>
        </xdr:nvSpPr>
        <xdr:spPr>
          <a:xfrm>
            <a:off x="137160" y="128168400"/>
            <a:ext cx="5875020" cy="1516380"/>
          </a:xfrm>
          <a:prstGeom prst="rect">
            <a:avLst/>
          </a:prstGeom>
          <a:gradFill flip="none" rotWithShape="1">
            <a:gsLst>
              <a:gs pos="75000">
                <a:srgbClr val="D7B9FF"/>
              </a:gs>
              <a:gs pos="0">
                <a:srgbClr val="FF99FF"/>
              </a:gs>
              <a:gs pos="50000">
                <a:srgbClr val="FFCCFF"/>
              </a:gs>
            </a:gsLst>
            <a:lin ang="10800000" scaled="1"/>
            <a:tileRect/>
          </a:gradFill>
          <a:ln w="9525" cmpd="sng">
            <a:noFill/>
          </a:ln>
          <a:effectLst>
            <a:outerShdw blurRad="50800" dist="38100" dir="5400000" algn="t"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0" tIns="91440" rIns="0" rtlCol="0" anchor="t"/>
          <a:lstStyle/>
          <a:p>
            <a:pPr algn="ctr"/>
            <a:r>
              <a:rPr lang="en-US" sz="1200" b="1" spc="-50" baseline="0">
                <a:solidFill>
                  <a:schemeClr val="dk1"/>
                </a:solidFill>
                <a:latin typeface="Tahoma" panose="020B0604030504040204" pitchFamily="34" charset="0"/>
                <a:ea typeface="Tahoma" panose="020B0604030504040204" pitchFamily="34" charset="0"/>
                <a:cs typeface="Tahoma" panose="020B0604030504040204" pitchFamily="34" charset="0"/>
              </a:rPr>
              <a:t>Elites share the same psychosocial bias, but at a higher level of need satisfaction</a:t>
            </a:r>
            <a:r>
              <a:rPr lang="en-US" sz="1200" b="0" spc="-50" baseline="0">
                <a:solidFill>
                  <a:schemeClr val="dk1"/>
                </a:solidFill>
                <a:latin typeface="Tahoma" panose="020B0604030504040204" pitchFamily="34" charset="0"/>
                <a:ea typeface="Tahoma" panose="020B0604030504040204" pitchFamily="34" charset="0"/>
                <a:cs typeface="Tahoma" panose="020B0604030504040204" pitchFamily="34" charset="0"/>
              </a:rPr>
              <a:t>.</a:t>
            </a:r>
          </a:p>
        </xdr:txBody>
      </xdr:sp>
      <xdr:grpSp>
        <xdr:nvGrpSpPr>
          <xdr:cNvPr id="277" name="Group 276">
            <a:extLst>
              <a:ext uri="{FF2B5EF4-FFF2-40B4-BE49-F238E27FC236}">
                <a16:creationId xmlns:a16="http://schemas.microsoft.com/office/drawing/2014/main" id="{00000000-0008-0000-0200-000015010000}"/>
              </a:ext>
            </a:extLst>
          </xdr:cNvPr>
          <xdr:cNvGrpSpPr/>
        </xdr:nvGrpSpPr>
        <xdr:grpSpPr>
          <a:xfrm>
            <a:off x="137160" y="128540087"/>
            <a:ext cx="2743200" cy="1257300"/>
            <a:chOff x="167640" y="48415787"/>
            <a:chExt cx="2743200" cy="1371600"/>
          </a:xfrm>
        </xdr:grpSpPr>
        <xdr:grpSp>
          <xdr:nvGrpSpPr>
            <xdr:cNvPr id="238" name="Group 237">
              <a:extLst>
                <a:ext uri="{FF2B5EF4-FFF2-40B4-BE49-F238E27FC236}">
                  <a16:creationId xmlns:a16="http://schemas.microsoft.com/office/drawing/2014/main" id="{00000000-0008-0000-0200-0000EE000000}"/>
                </a:ext>
              </a:extLst>
            </xdr:cNvPr>
            <xdr:cNvGrpSpPr>
              <a:grpSpLocks noChangeAspect="1"/>
            </xdr:cNvGrpSpPr>
          </xdr:nvGrpSpPr>
          <xdr:grpSpPr>
            <a:xfrm>
              <a:off x="167640" y="48415787"/>
              <a:ext cx="2743200" cy="1371600"/>
              <a:chOff x="0" y="0"/>
              <a:chExt cx="3200400" cy="1554480"/>
            </a:xfrm>
          </xdr:grpSpPr>
          <xdr:sp macro="" textlink="">
            <xdr:nvSpPr>
              <xdr:cNvPr id="239" name="Rectangle 238">
                <a:extLst>
                  <a:ext uri="{FF2B5EF4-FFF2-40B4-BE49-F238E27FC236}">
                    <a16:creationId xmlns:a16="http://schemas.microsoft.com/office/drawing/2014/main" id="{00000000-0008-0000-0200-0000EF000000}"/>
                  </a:ext>
                </a:extLst>
              </xdr:cNvPr>
              <xdr:cNvSpPr/>
            </xdr:nvSpPr>
            <xdr:spPr>
              <a:xfrm>
                <a:off x="0" y="0"/>
                <a:ext cx="3200400" cy="1554480"/>
              </a:xfrm>
              <a:prstGeom prst="rect">
                <a:avLst/>
              </a:prstGeom>
              <a:solidFill>
                <a:schemeClr val="accent5">
                  <a:lumMod val="60000"/>
                  <a:lumOff val="40000"/>
                </a:schemeClr>
              </a:solidFill>
              <a:ln w="28575">
                <a:solidFill>
                  <a:srgbClr val="0070C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240" name="Group 239">
                <a:extLst>
                  <a:ext uri="{FF2B5EF4-FFF2-40B4-BE49-F238E27FC236}">
                    <a16:creationId xmlns:a16="http://schemas.microsoft.com/office/drawing/2014/main" id="{00000000-0008-0000-0200-0000F0000000}"/>
                  </a:ext>
                </a:extLst>
              </xdr:cNvPr>
              <xdr:cNvGrpSpPr/>
            </xdr:nvGrpSpPr>
            <xdr:grpSpPr>
              <a:xfrm>
                <a:off x="213360" y="99060"/>
                <a:ext cx="2750820" cy="1371600"/>
                <a:chOff x="0" y="0"/>
                <a:chExt cx="2750820" cy="1371600"/>
              </a:xfrm>
            </xdr:grpSpPr>
            <xdr:sp macro="" textlink="">
              <xdr:nvSpPr>
                <xdr:cNvPr id="241" name="Rectangle 240">
                  <a:extLst>
                    <a:ext uri="{FF2B5EF4-FFF2-40B4-BE49-F238E27FC236}">
                      <a16:creationId xmlns:a16="http://schemas.microsoft.com/office/drawing/2014/main" id="{00000000-0008-0000-0200-0000F1000000}"/>
                    </a:ext>
                  </a:extLst>
                </xdr:cNvPr>
                <xdr:cNvSpPr/>
              </xdr:nvSpPr>
              <xdr:spPr>
                <a:xfrm>
                  <a:off x="0" y="0"/>
                  <a:ext cx="457200" cy="1371600"/>
                </a:xfrm>
                <a:prstGeom prst="rect">
                  <a:avLst/>
                </a:prstGeom>
                <a:gradFill>
                  <a:gsLst>
                    <a:gs pos="0">
                      <a:schemeClr val="accent4">
                        <a:lumMod val="20000"/>
                        <a:lumOff val="80000"/>
                      </a:schemeClr>
                    </a:gs>
                    <a:gs pos="69000">
                      <a:schemeClr val="accent4">
                        <a:lumMod val="20000"/>
                        <a:lumOff val="80000"/>
                      </a:schemeClr>
                    </a:gs>
                    <a:gs pos="70000">
                      <a:schemeClr val="accent6">
                        <a:lumMod val="40000"/>
                        <a:lumOff val="60000"/>
                      </a:schemeClr>
                    </a:gs>
                    <a:gs pos="100000">
                      <a:schemeClr val="accent6">
                        <a:lumMod val="60000"/>
                        <a:lumOff val="40000"/>
                      </a:schemeClr>
                    </a:gs>
                  </a:gsLst>
                  <a:lin ang="5400000" scaled="1"/>
                </a:gradFill>
                <a:ln>
                  <a:solidFill>
                    <a:srgbClr val="00B05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42" name="Rectangle 241">
                  <a:extLst>
                    <a:ext uri="{FF2B5EF4-FFF2-40B4-BE49-F238E27FC236}">
                      <a16:creationId xmlns:a16="http://schemas.microsoft.com/office/drawing/2014/main" id="{00000000-0008-0000-0200-0000F2000000}"/>
                    </a:ext>
                  </a:extLst>
                </xdr:cNvPr>
                <xdr:cNvSpPr/>
              </xdr:nvSpPr>
              <xdr:spPr>
                <a:xfrm>
                  <a:off x="655320" y="0"/>
                  <a:ext cx="457200" cy="1371600"/>
                </a:xfrm>
                <a:prstGeom prst="rect">
                  <a:avLst/>
                </a:prstGeom>
                <a:gradFill>
                  <a:gsLst>
                    <a:gs pos="0">
                      <a:schemeClr val="accent4">
                        <a:lumMod val="20000"/>
                        <a:lumOff val="80000"/>
                      </a:schemeClr>
                    </a:gs>
                    <a:gs pos="79000">
                      <a:schemeClr val="accent4">
                        <a:lumMod val="20000"/>
                        <a:lumOff val="80000"/>
                      </a:schemeClr>
                    </a:gs>
                    <a:gs pos="80000">
                      <a:srgbClr val="F0CDFF"/>
                    </a:gs>
                    <a:gs pos="100000">
                      <a:srgbClr val="D7B9FF"/>
                    </a:gs>
                  </a:gsLst>
                  <a:lin ang="5400000" scaled="1"/>
                </a:gradFill>
                <a:ln>
                  <a:solidFill>
                    <a:srgbClr val="7030A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43" name="Straight Connector 242">
                  <a:extLst>
                    <a:ext uri="{FF2B5EF4-FFF2-40B4-BE49-F238E27FC236}">
                      <a16:creationId xmlns:a16="http://schemas.microsoft.com/office/drawing/2014/main" id="{00000000-0008-0000-0200-0000F3000000}"/>
                    </a:ext>
                  </a:extLst>
                </xdr:cNvPr>
                <xdr:cNvCxnSpPr/>
              </xdr:nvCxnSpPr>
              <xdr:spPr>
                <a:xfrm flipH="1" flipV="1">
                  <a:off x="457200" y="968563"/>
                  <a:ext cx="198120" cy="129740"/>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244" name="Rectangle 243">
                  <a:extLst>
                    <a:ext uri="{FF2B5EF4-FFF2-40B4-BE49-F238E27FC236}">
                      <a16:creationId xmlns:a16="http://schemas.microsoft.com/office/drawing/2014/main" id="{00000000-0008-0000-0200-0000F4000000}"/>
                    </a:ext>
                  </a:extLst>
                </xdr:cNvPr>
                <xdr:cNvSpPr/>
              </xdr:nvSpPr>
              <xdr:spPr>
                <a:xfrm>
                  <a:off x="1638300" y="0"/>
                  <a:ext cx="457200" cy="1371600"/>
                </a:xfrm>
                <a:prstGeom prst="rect">
                  <a:avLst/>
                </a:prstGeom>
                <a:gradFill>
                  <a:gsLst>
                    <a:gs pos="0">
                      <a:schemeClr val="accent4">
                        <a:lumMod val="20000"/>
                        <a:lumOff val="80000"/>
                      </a:schemeClr>
                    </a:gs>
                    <a:gs pos="29000">
                      <a:schemeClr val="accent4">
                        <a:lumMod val="20000"/>
                        <a:lumOff val="80000"/>
                      </a:schemeClr>
                    </a:gs>
                    <a:gs pos="30000">
                      <a:schemeClr val="accent6">
                        <a:lumMod val="40000"/>
                        <a:lumOff val="60000"/>
                      </a:schemeClr>
                    </a:gs>
                    <a:gs pos="100000">
                      <a:schemeClr val="accent6">
                        <a:lumMod val="60000"/>
                        <a:lumOff val="40000"/>
                      </a:schemeClr>
                    </a:gs>
                  </a:gsLst>
                  <a:lin ang="5400000" scaled="1"/>
                </a:gradFill>
                <a:ln>
                  <a:solidFill>
                    <a:srgbClr val="00B05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45" name="Rectangle 244">
                  <a:extLst>
                    <a:ext uri="{FF2B5EF4-FFF2-40B4-BE49-F238E27FC236}">
                      <a16:creationId xmlns:a16="http://schemas.microsoft.com/office/drawing/2014/main" id="{00000000-0008-0000-0200-0000F5000000}"/>
                    </a:ext>
                  </a:extLst>
                </xdr:cNvPr>
                <xdr:cNvSpPr/>
              </xdr:nvSpPr>
              <xdr:spPr>
                <a:xfrm>
                  <a:off x="2293620" y="0"/>
                  <a:ext cx="457200" cy="1371600"/>
                </a:xfrm>
                <a:prstGeom prst="rect">
                  <a:avLst/>
                </a:prstGeom>
                <a:gradFill>
                  <a:gsLst>
                    <a:gs pos="0">
                      <a:schemeClr val="accent4">
                        <a:lumMod val="20000"/>
                        <a:lumOff val="80000"/>
                      </a:schemeClr>
                    </a:gs>
                    <a:gs pos="39000">
                      <a:schemeClr val="accent4">
                        <a:lumMod val="20000"/>
                        <a:lumOff val="80000"/>
                      </a:schemeClr>
                    </a:gs>
                    <a:gs pos="40000">
                      <a:srgbClr val="F0CDFF"/>
                    </a:gs>
                    <a:gs pos="100000">
                      <a:srgbClr val="D7B9FF"/>
                    </a:gs>
                  </a:gsLst>
                  <a:lin ang="5400000" scaled="1"/>
                </a:gradFill>
                <a:ln>
                  <a:solidFill>
                    <a:srgbClr val="7030A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46" name="Straight Connector 245">
                  <a:extLst>
                    <a:ext uri="{FF2B5EF4-FFF2-40B4-BE49-F238E27FC236}">
                      <a16:creationId xmlns:a16="http://schemas.microsoft.com/office/drawing/2014/main" id="{00000000-0008-0000-0200-0000F6000000}"/>
                    </a:ext>
                  </a:extLst>
                </xdr:cNvPr>
                <xdr:cNvCxnSpPr/>
              </xdr:nvCxnSpPr>
              <xdr:spPr>
                <a:xfrm flipH="1" flipV="1">
                  <a:off x="2095500" y="418496"/>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69" name="TextBox 268">
              <a:extLst>
                <a:ext uri="{FF2B5EF4-FFF2-40B4-BE49-F238E27FC236}">
                  <a16:creationId xmlns:a16="http://schemas.microsoft.com/office/drawing/2014/main" id="{00000000-0008-0000-0200-00000D010000}"/>
                </a:ext>
              </a:extLst>
            </xdr:cNvPr>
            <xdr:cNvSpPr txBox="1"/>
          </xdr:nvSpPr>
          <xdr:spPr>
            <a:xfrm>
              <a:off x="33528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0" name="TextBox 269">
              <a:extLst>
                <a:ext uri="{FF2B5EF4-FFF2-40B4-BE49-F238E27FC236}">
                  <a16:creationId xmlns:a16="http://schemas.microsoft.com/office/drawing/2014/main" id="{00000000-0008-0000-0200-00000E010000}"/>
                </a:ext>
              </a:extLst>
            </xdr:cNvPr>
            <xdr:cNvSpPr txBox="1"/>
          </xdr:nvSpPr>
          <xdr:spPr>
            <a:xfrm>
              <a:off x="89916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273" name="TextBox 272">
              <a:extLst>
                <a:ext uri="{FF2B5EF4-FFF2-40B4-BE49-F238E27FC236}">
                  <a16:creationId xmlns:a16="http://schemas.microsoft.com/office/drawing/2014/main" id="{00000000-0008-0000-0200-000011010000}"/>
                </a:ext>
              </a:extLst>
            </xdr:cNvPr>
            <xdr:cNvSpPr txBox="1"/>
          </xdr:nvSpPr>
          <xdr:spPr>
            <a:xfrm>
              <a:off x="173736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4" name="TextBox 273">
              <a:extLst>
                <a:ext uri="{FF2B5EF4-FFF2-40B4-BE49-F238E27FC236}">
                  <a16:creationId xmlns:a16="http://schemas.microsoft.com/office/drawing/2014/main" id="{00000000-0008-0000-0200-000012010000}"/>
                </a:ext>
              </a:extLst>
            </xdr:cNvPr>
            <xdr:cNvSpPr txBox="1"/>
          </xdr:nvSpPr>
          <xdr:spPr>
            <a:xfrm>
              <a:off x="230124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grpSp>
      <xdr:grpSp>
        <xdr:nvGrpSpPr>
          <xdr:cNvPr id="278" name="Group 277">
            <a:extLst>
              <a:ext uri="{FF2B5EF4-FFF2-40B4-BE49-F238E27FC236}">
                <a16:creationId xmlns:a16="http://schemas.microsoft.com/office/drawing/2014/main" id="{00000000-0008-0000-0200-000016010000}"/>
              </a:ext>
            </a:extLst>
          </xdr:cNvPr>
          <xdr:cNvGrpSpPr/>
        </xdr:nvGrpSpPr>
        <xdr:grpSpPr>
          <a:xfrm>
            <a:off x="3268980" y="128540087"/>
            <a:ext cx="2743200" cy="1257300"/>
            <a:chOff x="3299460" y="48415787"/>
            <a:chExt cx="2743200" cy="1371600"/>
          </a:xfrm>
        </xdr:grpSpPr>
        <xdr:grpSp>
          <xdr:nvGrpSpPr>
            <xdr:cNvPr id="229" name="Group 228">
              <a:extLst>
                <a:ext uri="{FF2B5EF4-FFF2-40B4-BE49-F238E27FC236}">
                  <a16:creationId xmlns:a16="http://schemas.microsoft.com/office/drawing/2014/main" id="{00000000-0008-0000-0200-0000E5000000}"/>
                </a:ext>
              </a:extLst>
            </xdr:cNvPr>
            <xdr:cNvGrpSpPr>
              <a:grpSpLocks noChangeAspect="1"/>
            </xdr:cNvGrpSpPr>
          </xdr:nvGrpSpPr>
          <xdr:grpSpPr>
            <a:xfrm>
              <a:off x="3299460" y="48415787"/>
              <a:ext cx="2743200" cy="1371600"/>
              <a:chOff x="0" y="0"/>
              <a:chExt cx="3200400" cy="1554480"/>
            </a:xfrm>
          </xdr:grpSpPr>
          <xdr:sp macro="" textlink="">
            <xdr:nvSpPr>
              <xdr:cNvPr id="230" name="Rectangle 229">
                <a:extLst>
                  <a:ext uri="{FF2B5EF4-FFF2-40B4-BE49-F238E27FC236}">
                    <a16:creationId xmlns:a16="http://schemas.microsoft.com/office/drawing/2014/main" id="{00000000-0008-0000-0200-0000E6000000}"/>
                  </a:ext>
                </a:extLst>
              </xdr:cNvPr>
              <xdr:cNvSpPr/>
            </xdr:nvSpPr>
            <xdr:spPr>
              <a:xfrm>
                <a:off x="0" y="0"/>
                <a:ext cx="3200400" cy="1554480"/>
              </a:xfrm>
              <a:prstGeom prst="rect">
                <a:avLst/>
              </a:prstGeom>
              <a:solidFill>
                <a:srgbClr val="FF9999"/>
              </a:solidFill>
              <a:ln w="28575">
                <a:solidFill>
                  <a:srgbClr val="C0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231" name="Group 230">
                <a:extLst>
                  <a:ext uri="{FF2B5EF4-FFF2-40B4-BE49-F238E27FC236}">
                    <a16:creationId xmlns:a16="http://schemas.microsoft.com/office/drawing/2014/main" id="{00000000-0008-0000-0200-0000E7000000}"/>
                  </a:ext>
                </a:extLst>
              </xdr:cNvPr>
              <xdr:cNvGrpSpPr/>
            </xdr:nvGrpSpPr>
            <xdr:grpSpPr>
              <a:xfrm>
                <a:off x="213360" y="99060"/>
                <a:ext cx="2750820" cy="1371600"/>
                <a:chOff x="0" y="0"/>
                <a:chExt cx="2750820" cy="1371600"/>
              </a:xfrm>
            </xdr:grpSpPr>
            <xdr:sp macro="" textlink="">
              <xdr:nvSpPr>
                <xdr:cNvPr id="232" name="Rectangle 231">
                  <a:extLst>
                    <a:ext uri="{FF2B5EF4-FFF2-40B4-BE49-F238E27FC236}">
                      <a16:creationId xmlns:a16="http://schemas.microsoft.com/office/drawing/2014/main" id="{00000000-0008-0000-0200-0000E8000000}"/>
                    </a:ext>
                  </a:extLst>
                </xdr:cNvPr>
                <xdr:cNvSpPr/>
              </xdr:nvSpPr>
              <xdr:spPr>
                <a:xfrm>
                  <a:off x="0" y="0"/>
                  <a:ext cx="457200" cy="1371600"/>
                </a:xfrm>
                <a:prstGeom prst="rect">
                  <a:avLst/>
                </a:prstGeom>
                <a:gradFill>
                  <a:gsLst>
                    <a:gs pos="0">
                      <a:schemeClr val="accent4">
                        <a:lumMod val="20000"/>
                        <a:lumOff val="80000"/>
                      </a:schemeClr>
                    </a:gs>
                    <a:gs pos="79000">
                      <a:schemeClr val="accent4">
                        <a:lumMod val="20000"/>
                        <a:lumOff val="80000"/>
                      </a:schemeClr>
                    </a:gs>
                    <a:gs pos="80000">
                      <a:schemeClr val="accent6">
                        <a:lumMod val="40000"/>
                        <a:lumOff val="60000"/>
                      </a:schemeClr>
                    </a:gs>
                    <a:gs pos="100000">
                      <a:schemeClr val="accent6">
                        <a:lumMod val="60000"/>
                        <a:lumOff val="40000"/>
                      </a:schemeClr>
                    </a:gs>
                  </a:gsLst>
                  <a:lin ang="5400000" scaled="1"/>
                </a:gradFill>
                <a:ln>
                  <a:solidFill>
                    <a:srgbClr val="00B05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33" name="Rectangle 232">
                  <a:extLst>
                    <a:ext uri="{FF2B5EF4-FFF2-40B4-BE49-F238E27FC236}">
                      <a16:creationId xmlns:a16="http://schemas.microsoft.com/office/drawing/2014/main" id="{00000000-0008-0000-0200-0000E9000000}"/>
                    </a:ext>
                  </a:extLst>
                </xdr:cNvPr>
                <xdr:cNvSpPr/>
              </xdr:nvSpPr>
              <xdr:spPr>
                <a:xfrm>
                  <a:off x="655320" y="0"/>
                  <a:ext cx="457200" cy="1371600"/>
                </a:xfrm>
                <a:prstGeom prst="rect">
                  <a:avLst/>
                </a:prstGeom>
                <a:gradFill>
                  <a:gsLst>
                    <a:gs pos="0">
                      <a:schemeClr val="accent4">
                        <a:lumMod val="20000"/>
                        <a:lumOff val="80000"/>
                      </a:schemeClr>
                    </a:gs>
                    <a:gs pos="69000">
                      <a:schemeClr val="accent4">
                        <a:lumMod val="20000"/>
                        <a:lumOff val="80000"/>
                      </a:schemeClr>
                    </a:gs>
                    <a:gs pos="70000">
                      <a:srgbClr val="F0CDFF"/>
                    </a:gs>
                    <a:gs pos="100000">
                      <a:srgbClr val="D7B9FF"/>
                    </a:gs>
                  </a:gsLst>
                  <a:lin ang="5400000" scaled="1"/>
                </a:gradFill>
                <a:ln>
                  <a:solidFill>
                    <a:srgbClr val="7030A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34" name="Straight Connector 233">
                  <a:extLst>
                    <a:ext uri="{FF2B5EF4-FFF2-40B4-BE49-F238E27FC236}">
                      <a16:creationId xmlns:a16="http://schemas.microsoft.com/office/drawing/2014/main" id="{00000000-0008-0000-0200-0000EA000000}"/>
                    </a:ext>
                  </a:extLst>
                </xdr:cNvPr>
                <xdr:cNvCxnSpPr/>
              </xdr:nvCxnSpPr>
              <xdr:spPr>
                <a:xfrm flipV="1">
                  <a:off x="457200" y="967135"/>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235" name="Rectangle 234">
                  <a:extLst>
                    <a:ext uri="{FF2B5EF4-FFF2-40B4-BE49-F238E27FC236}">
                      <a16:creationId xmlns:a16="http://schemas.microsoft.com/office/drawing/2014/main" id="{00000000-0008-0000-0200-0000EB000000}"/>
                    </a:ext>
                  </a:extLst>
                </xdr:cNvPr>
                <xdr:cNvSpPr/>
              </xdr:nvSpPr>
              <xdr:spPr>
                <a:xfrm>
                  <a:off x="1638300" y="0"/>
                  <a:ext cx="457200" cy="1371600"/>
                </a:xfrm>
                <a:prstGeom prst="rect">
                  <a:avLst/>
                </a:prstGeom>
                <a:gradFill>
                  <a:gsLst>
                    <a:gs pos="0">
                      <a:schemeClr val="accent4">
                        <a:lumMod val="20000"/>
                        <a:lumOff val="80000"/>
                      </a:schemeClr>
                    </a:gs>
                    <a:gs pos="39000">
                      <a:schemeClr val="accent4">
                        <a:lumMod val="20000"/>
                        <a:lumOff val="80000"/>
                      </a:schemeClr>
                    </a:gs>
                    <a:gs pos="40000">
                      <a:schemeClr val="accent6">
                        <a:lumMod val="40000"/>
                        <a:lumOff val="60000"/>
                      </a:schemeClr>
                    </a:gs>
                    <a:gs pos="100000">
                      <a:schemeClr val="accent6">
                        <a:lumMod val="60000"/>
                        <a:lumOff val="40000"/>
                      </a:schemeClr>
                    </a:gs>
                  </a:gsLst>
                  <a:lin ang="5400000" scaled="1"/>
                </a:gradFill>
                <a:ln>
                  <a:solidFill>
                    <a:srgbClr val="00B05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36" name="Rectangle 235">
                  <a:extLst>
                    <a:ext uri="{FF2B5EF4-FFF2-40B4-BE49-F238E27FC236}">
                      <a16:creationId xmlns:a16="http://schemas.microsoft.com/office/drawing/2014/main" id="{00000000-0008-0000-0200-0000EC000000}"/>
                    </a:ext>
                  </a:extLst>
                </xdr:cNvPr>
                <xdr:cNvSpPr/>
              </xdr:nvSpPr>
              <xdr:spPr>
                <a:xfrm>
                  <a:off x="2293620" y="0"/>
                  <a:ext cx="457200" cy="1371600"/>
                </a:xfrm>
                <a:prstGeom prst="rect">
                  <a:avLst/>
                </a:prstGeom>
                <a:gradFill>
                  <a:gsLst>
                    <a:gs pos="0">
                      <a:schemeClr val="accent4">
                        <a:lumMod val="20000"/>
                        <a:lumOff val="80000"/>
                      </a:schemeClr>
                    </a:gs>
                    <a:gs pos="29000">
                      <a:schemeClr val="accent4">
                        <a:lumMod val="20000"/>
                        <a:lumOff val="80000"/>
                      </a:schemeClr>
                    </a:gs>
                    <a:gs pos="30000">
                      <a:srgbClr val="F0CDFF"/>
                    </a:gs>
                    <a:gs pos="100000">
                      <a:srgbClr val="D7B9FF"/>
                    </a:gs>
                  </a:gsLst>
                  <a:lin ang="5400000" scaled="1"/>
                </a:gradFill>
                <a:ln>
                  <a:solidFill>
                    <a:srgbClr val="7030A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37" name="Straight Connector 236">
                  <a:extLst>
                    <a:ext uri="{FF2B5EF4-FFF2-40B4-BE49-F238E27FC236}">
                      <a16:creationId xmlns:a16="http://schemas.microsoft.com/office/drawing/2014/main" id="{00000000-0008-0000-0200-0000ED000000}"/>
                    </a:ext>
                  </a:extLst>
                </xdr:cNvPr>
                <xdr:cNvCxnSpPr/>
              </xdr:nvCxnSpPr>
              <xdr:spPr>
                <a:xfrm flipV="1">
                  <a:off x="2095500" y="411288"/>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71" name="TextBox 270">
              <a:extLst>
                <a:ext uri="{FF2B5EF4-FFF2-40B4-BE49-F238E27FC236}">
                  <a16:creationId xmlns:a16="http://schemas.microsoft.com/office/drawing/2014/main" id="{00000000-0008-0000-0200-00000F010000}"/>
                </a:ext>
              </a:extLst>
            </xdr:cNvPr>
            <xdr:cNvSpPr txBox="1"/>
          </xdr:nvSpPr>
          <xdr:spPr>
            <a:xfrm>
              <a:off x="347472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2" name="TextBox 271">
              <a:extLst>
                <a:ext uri="{FF2B5EF4-FFF2-40B4-BE49-F238E27FC236}">
                  <a16:creationId xmlns:a16="http://schemas.microsoft.com/office/drawing/2014/main" id="{00000000-0008-0000-0200-000010010000}"/>
                </a:ext>
              </a:extLst>
            </xdr:cNvPr>
            <xdr:cNvSpPr txBox="1"/>
          </xdr:nvSpPr>
          <xdr:spPr>
            <a:xfrm>
              <a:off x="403860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275" name="TextBox 274">
              <a:extLst>
                <a:ext uri="{FF2B5EF4-FFF2-40B4-BE49-F238E27FC236}">
                  <a16:creationId xmlns:a16="http://schemas.microsoft.com/office/drawing/2014/main" id="{00000000-0008-0000-0200-000013010000}"/>
                </a:ext>
              </a:extLst>
            </xdr:cNvPr>
            <xdr:cNvSpPr txBox="1"/>
          </xdr:nvSpPr>
          <xdr:spPr>
            <a:xfrm>
              <a:off x="487680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6" name="TextBox 275">
              <a:extLst>
                <a:ext uri="{FF2B5EF4-FFF2-40B4-BE49-F238E27FC236}">
                  <a16:creationId xmlns:a16="http://schemas.microsoft.com/office/drawing/2014/main" id="{00000000-0008-0000-0200-000014010000}"/>
                </a:ext>
              </a:extLst>
            </xdr:cNvPr>
            <xdr:cNvSpPr txBox="1"/>
          </xdr:nvSpPr>
          <xdr:spPr>
            <a:xfrm>
              <a:off x="544068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grpSp>
    </xdr:grpSp>
    <xdr:clientData/>
  </xdr:twoCellAnchor>
  <xdr:twoCellAnchor>
    <xdr:from>
      <xdr:col>14</xdr:col>
      <xdr:colOff>54972</xdr:colOff>
      <xdr:row>202</xdr:row>
      <xdr:rowOff>94240</xdr:rowOff>
    </xdr:from>
    <xdr:to>
      <xdr:col>26</xdr:col>
      <xdr:colOff>495299</xdr:colOff>
      <xdr:row>222</xdr:row>
      <xdr:rowOff>0</xdr:rowOff>
    </xdr:to>
    <xdr:grpSp>
      <xdr:nvGrpSpPr>
        <xdr:cNvPr id="297" name="SWOT lettering" hidden="1">
          <a:extLst>
            <a:ext uri="{FF2B5EF4-FFF2-40B4-BE49-F238E27FC236}">
              <a16:creationId xmlns:a16="http://schemas.microsoft.com/office/drawing/2014/main" id="{00000000-0008-0000-0200-000029010000}"/>
            </a:ext>
          </a:extLst>
        </xdr:cNvPr>
        <xdr:cNvGrpSpPr/>
      </xdr:nvGrpSpPr>
      <xdr:grpSpPr>
        <a:xfrm>
          <a:off x="6318612" y="43711120"/>
          <a:ext cx="6086747" cy="4866380"/>
          <a:chOff x="6242412" y="35123380"/>
          <a:chExt cx="6010547" cy="4493000"/>
        </a:xfrm>
      </xdr:grpSpPr>
      <xdr:sp macro="" textlink="">
        <xdr:nvSpPr>
          <xdr:cNvPr id="289" name="S blue of SWOT">
            <a:extLst>
              <a:ext uri="{FF2B5EF4-FFF2-40B4-BE49-F238E27FC236}">
                <a16:creationId xmlns:a16="http://schemas.microsoft.com/office/drawing/2014/main" id="{00000000-0008-0000-0200-000021010000}"/>
              </a:ext>
            </a:extLst>
          </xdr:cNvPr>
          <xdr:cNvSpPr/>
        </xdr:nvSpPr>
        <xdr:spPr>
          <a:xfrm>
            <a:off x="6242412" y="3552724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S</a:t>
            </a:r>
          </a:p>
        </xdr:txBody>
      </xdr:sp>
      <xdr:sp macro="" textlink="">
        <xdr:nvSpPr>
          <xdr:cNvPr id="291" name="W blue of SWOT">
            <a:extLst>
              <a:ext uri="{FF2B5EF4-FFF2-40B4-BE49-F238E27FC236}">
                <a16:creationId xmlns:a16="http://schemas.microsoft.com/office/drawing/2014/main" id="{00000000-0008-0000-0200-000023010000}"/>
              </a:ext>
            </a:extLst>
          </xdr:cNvPr>
          <xdr:cNvSpPr/>
        </xdr:nvSpPr>
        <xdr:spPr>
          <a:xfrm>
            <a:off x="7286352" y="35527240"/>
            <a:ext cx="1529987" cy="2344160"/>
          </a:xfrm>
          <a:prstGeom prst="rect">
            <a:avLst/>
          </a:prstGeom>
          <a:noFill/>
        </xdr:spPr>
        <xdr:txBody>
          <a:bodyPr wrap="none" lIns="0" tIns="0" rIns="0" bIns="0">
            <a:noAutofit/>
          </a:bodyPr>
          <a:lstStyle/>
          <a:p>
            <a:pPr algn="ctr"/>
            <a:r>
              <a:rPr lang="en-US" sz="16500" b="0" cap="none" spc="-6000" baseline="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292" name="O blue of SWOT">
            <a:extLst>
              <a:ext uri="{FF2B5EF4-FFF2-40B4-BE49-F238E27FC236}">
                <a16:creationId xmlns:a16="http://schemas.microsoft.com/office/drawing/2014/main" id="{00000000-0008-0000-0200-000024010000}"/>
              </a:ext>
            </a:extLst>
          </xdr:cNvPr>
          <xdr:cNvSpPr/>
        </xdr:nvSpPr>
        <xdr:spPr>
          <a:xfrm>
            <a:off x="627289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O</a:t>
            </a:r>
          </a:p>
        </xdr:txBody>
      </xdr:sp>
      <xdr:sp macro="" textlink="">
        <xdr:nvSpPr>
          <xdr:cNvPr id="293" name="T blue of SWOT">
            <a:extLst>
              <a:ext uri="{FF2B5EF4-FFF2-40B4-BE49-F238E27FC236}">
                <a16:creationId xmlns:a16="http://schemas.microsoft.com/office/drawing/2014/main" id="{00000000-0008-0000-0200-000025010000}"/>
              </a:ext>
            </a:extLst>
          </xdr:cNvPr>
          <xdr:cNvSpPr/>
        </xdr:nvSpPr>
        <xdr:spPr>
          <a:xfrm>
            <a:off x="777403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T</a:t>
            </a:r>
          </a:p>
        </xdr:txBody>
      </xdr:sp>
      <xdr:sp macro="" textlink="">
        <xdr:nvSpPr>
          <xdr:cNvPr id="290" name="S red of SWOT">
            <a:extLst>
              <a:ext uri="{FF2B5EF4-FFF2-40B4-BE49-F238E27FC236}">
                <a16:creationId xmlns:a16="http://schemas.microsoft.com/office/drawing/2014/main" id="{00000000-0008-0000-0200-000022010000}"/>
              </a:ext>
            </a:extLst>
          </xdr:cNvPr>
          <xdr:cNvSpPr/>
        </xdr:nvSpPr>
        <xdr:spPr>
          <a:xfrm>
            <a:off x="9275172" y="3512338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S</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296" name="W red of SWOT">
            <a:extLst>
              <a:ext uri="{FF2B5EF4-FFF2-40B4-BE49-F238E27FC236}">
                <a16:creationId xmlns:a16="http://schemas.microsoft.com/office/drawing/2014/main" id="{00000000-0008-0000-0200-000028010000}"/>
              </a:ext>
            </a:extLst>
          </xdr:cNvPr>
          <xdr:cNvSpPr/>
        </xdr:nvSpPr>
        <xdr:spPr>
          <a:xfrm>
            <a:off x="10326732" y="35527240"/>
            <a:ext cx="1529987" cy="2344160"/>
          </a:xfrm>
          <a:prstGeom prst="rect">
            <a:avLst/>
          </a:prstGeom>
          <a:noFill/>
        </xdr:spPr>
        <xdr:txBody>
          <a:bodyPr wrap="none" lIns="0" tIns="0" rIns="0" bIns="0">
            <a:noAutofit/>
          </a:bodyPr>
          <a:lstStyle/>
          <a:p>
            <a:pPr algn="ctr"/>
            <a:r>
              <a:rPr lang="en-US" sz="16500" b="0" cap="none" spc="-6000" baseline="0">
                <a:ln w="0">
                  <a:solidFill>
                    <a:srgbClr val="FF3C3C"/>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294" name="O red of SWOT">
            <a:extLst>
              <a:ext uri="{FF2B5EF4-FFF2-40B4-BE49-F238E27FC236}">
                <a16:creationId xmlns:a16="http://schemas.microsoft.com/office/drawing/2014/main" id="{00000000-0008-0000-0200-000026010000}"/>
              </a:ext>
            </a:extLst>
          </xdr:cNvPr>
          <xdr:cNvSpPr/>
        </xdr:nvSpPr>
        <xdr:spPr>
          <a:xfrm>
            <a:off x="92751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O</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295" name="T red of SWOT">
            <a:extLst>
              <a:ext uri="{FF2B5EF4-FFF2-40B4-BE49-F238E27FC236}">
                <a16:creationId xmlns:a16="http://schemas.microsoft.com/office/drawing/2014/main" id="{00000000-0008-0000-0200-000027010000}"/>
              </a:ext>
            </a:extLst>
          </xdr:cNvPr>
          <xdr:cNvSpPr/>
        </xdr:nvSpPr>
        <xdr:spPr>
          <a:xfrm>
            <a:off x="107229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T</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grpSp>
    <xdr:clientData/>
  </xdr:twoCellAnchor>
  <xdr:twoCellAnchor>
    <xdr:from>
      <xdr:col>0</xdr:col>
      <xdr:colOff>22861</xdr:colOff>
      <xdr:row>204</xdr:row>
      <xdr:rowOff>53341</xdr:rowOff>
    </xdr:from>
    <xdr:to>
      <xdr:col>2</xdr:col>
      <xdr:colOff>457200</xdr:colOff>
      <xdr:row>207</xdr:row>
      <xdr:rowOff>175260</xdr:rowOff>
    </xdr:to>
    <xdr:sp macro="" textlink="">
      <xdr:nvSpPr>
        <xdr:cNvPr id="464" name="You believe whatever serves your needs.">
          <a:extLst>
            <a:ext uri="{FF2B5EF4-FFF2-40B4-BE49-F238E27FC236}">
              <a16:creationId xmlns:a16="http://schemas.microsoft.com/office/drawing/2014/main" id="{00000000-0008-0000-0200-0000D0010000}"/>
            </a:ext>
          </a:extLst>
        </xdr:cNvPr>
        <xdr:cNvSpPr txBox="1">
          <a:spLocks/>
        </xdr:cNvSpPr>
      </xdr:nvSpPr>
      <xdr:spPr>
        <a:xfrm>
          <a:off x="22861" y="35577781"/>
          <a:ext cx="1051559" cy="87629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80000"/>
            </a:lnSpc>
            <a:buNone/>
          </a:pPr>
          <a:r>
            <a:rPr lang="en-US" sz="1100" b="1" spc="-50">
              <a:solidFill>
                <a:srgbClr val="007332"/>
              </a:solidFill>
              <a:latin typeface="Franklin Gothic Demi" panose="020B0703020102020204" pitchFamily="34" charset="0"/>
              <a:ea typeface="Tahoma" panose="020B0604030504040204" pitchFamily="34" charset="0"/>
              <a:cs typeface="Tahoma" panose="020B0604030504040204" pitchFamily="34" charset="0"/>
            </a:rPr>
            <a:t>I need to focus more on wider relationships, minorities oppressed by historical trauma.</a:t>
          </a:r>
        </a:p>
      </xdr:txBody>
    </xdr:sp>
    <xdr:clientData/>
  </xdr:twoCellAnchor>
  <xdr:twoCellAnchor>
    <xdr:from>
      <xdr:col>1</xdr:col>
      <xdr:colOff>27989</xdr:colOff>
      <xdr:row>200</xdr:row>
      <xdr:rowOff>126617</xdr:rowOff>
    </xdr:from>
    <xdr:to>
      <xdr:col>2</xdr:col>
      <xdr:colOff>327660</xdr:colOff>
      <xdr:row>204</xdr:row>
      <xdr:rowOff>7628</xdr:rowOff>
    </xdr:to>
    <xdr:grpSp>
      <xdr:nvGrpSpPr>
        <xdr:cNvPr id="8" name="Group 7">
          <a:extLst>
            <a:ext uri="{FF2B5EF4-FFF2-40B4-BE49-F238E27FC236}">
              <a16:creationId xmlns:a16="http://schemas.microsoft.com/office/drawing/2014/main" id="{00000000-0008-0000-0200-000008000000}"/>
            </a:ext>
          </a:extLst>
        </xdr:cNvPr>
        <xdr:cNvGrpSpPr/>
      </xdr:nvGrpSpPr>
      <xdr:grpSpPr>
        <a:xfrm>
          <a:off x="142289" y="43309157"/>
          <a:ext cx="802591" cy="818271"/>
          <a:chOff x="294689" y="26110809"/>
          <a:chExt cx="794971" cy="659752"/>
        </a:xfrm>
        <a:effectLst>
          <a:outerShdw blurRad="50800" dist="38100" dir="2700000" algn="tl" rotWithShape="0">
            <a:prstClr val="black">
              <a:alpha val="40000"/>
            </a:prstClr>
          </a:outerShdw>
        </a:effectLst>
      </xdr:grpSpPr>
      <xdr:sp macro="" textlink="">
        <xdr:nvSpPr>
          <xdr:cNvPr id="466" name="Rectangle: Rounded Corners 465">
            <a:extLst>
              <a:ext uri="{FF2B5EF4-FFF2-40B4-BE49-F238E27FC236}">
                <a16:creationId xmlns:a16="http://schemas.microsoft.com/office/drawing/2014/main" id="{00000000-0008-0000-0200-0000D2010000}"/>
              </a:ext>
            </a:extLst>
          </xdr:cNvPr>
          <xdr:cNvSpPr>
            <a:spLocks noChangeAspect="1"/>
          </xdr:cNvSpPr>
        </xdr:nvSpPr>
        <xdr:spPr>
          <a:xfrm>
            <a:off x="353997" y="26193394"/>
            <a:ext cx="685800" cy="552944"/>
          </a:xfrm>
          <a:prstGeom prst="roundRect">
            <a:avLst/>
          </a:prstGeom>
          <a:solidFill>
            <a:srgbClr val="0070C0"/>
          </a:solid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1050"/>
          </a:p>
        </xdr:txBody>
      </xdr:sp>
      <xdr:sp macro="" textlink="">
        <xdr:nvSpPr>
          <xdr:cNvPr id="467" name="Rectangle 466">
            <a:extLst>
              <a:ext uri="{FF2B5EF4-FFF2-40B4-BE49-F238E27FC236}">
                <a16:creationId xmlns:a16="http://schemas.microsoft.com/office/drawing/2014/main" id="{00000000-0008-0000-0200-0000D3010000}"/>
              </a:ext>
            </a:extLst>
          </xdr:cNvPr>
          <xdr:cNvSpPr/>
        </xdr:nvSpPr>
        <xdr:spPr>
          <a:xfrm>
            <a:off x="294689" y="26110809"/>
            <a:ext cx="794971" cy="659752"/>
          </a:xfrm>
          <a:prstGeom prst="rect">
            <a:avLst/>
          </a:prstGeom>
          <a:noFill/>
        </xdr:spPr>
        <xdr:txBody>
          <a:bodyPr wrap="square" lIns="91440" tIns="45720" rIns="91440" bIns="4572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4400" b="1" cap="none" spc="50">
                <a:ln w="9525" cmpd="sng">
                  <a:solidFill>
                    <a:srgbClr val="0070C0"/>
                  </a:solidFill>
                  <a:prstDash val="solid"/>
                </a:ln>
                <a:solidFill>
                  <a:srgbClr val="A0E6FF"/>
                </a:solidFill>
                <a:effectLst>
                  <a:glow rad="38100">
                    <a:schemeClr val="accent1">
                      <a:alpha val="40000"/>
                    </a:schemeClr>
                  </a:glow>
                </a:effectLst>
                <a:latin typeface="Arial Black" panose="020B0A04020102020204" pitchFamily="34" charset="0"/>
              </a:rPr>
              <a:t>W</a:t>
            </a:r>
          </a:p>
        </xdr:txBody>
      </xdr:sp>
    </xdr:grpSp>
    <xdr:clientData/>
  </xdr:twoCellAnchor>
  <xdr:twoCellAnchor>
    <xdr:from>
      <xdr:col>11</xdr:col>
      <xdr:colOff>208899</xdr:colOff>
      <xdr:row>200</xdr:row>
      <xdr:rowOff>80899</xdr:rowOff>
    </xdr:from>
    <xdr:to>
      <xdr:col>12</xdr:col>
      <xdr:colOff>472440</xdr:colOff>
      <xdr:row>204</xdr:row>
      <xdr:rowOff>60971</xdr:rowOff>
    </xdr:to>
    <xdr:grpSp>
      <xdr:nvGrpSpPr>
        <xdr:cNvPr id="7" name="Group 6">
          <a:extLst>
            <a:ext uri="{FF2B5EF4-FFF2-40B4-BE49-F238E27FC236}">
              <a16:creationId xmlns:a16="http://schemas.microsoft.com/office/drawing/2014/main" id="{00000000-0008-0000-0200-000007000000}"/>
            </a:ext>
          </a:extLst>
        </xdr:cNvPr>
        <xdr:cNvGrpSpPr/>
      </xdr:nvGrpSpPr>
      <xdr:grpSpPr>
        <a:xfrm>
          <a:off x="5352399" y="43263439"/>
          <a:ext cx="766461" cy="917332"/>
          <a:chOff x="5207619" y="25575012"/>
          <a:chExt cx="758841" cy="683449"/>
        </a:xfrm>
      </xdr:grpSpPr>
      <xdr:sp macro="" textlink="">
        <xdr:nvSpPr>
          <xdr:cNvPr id="468" name="Rectangle: Rounded Corners 467">
            <a:extLst>
              <a:ext uri="{FF2B5EF4-FFF2-40B4-BE49-F238E27FC236}">
                <a16:creationId xmlns:a16="http://schemas.microsoft.com/office/drawing/2014/main" id="{00000000-0008-0000-0200-0000D4010000}"/>
              </a:ext>
            </a:extLst>
          </xdr:cNvPr>
          <xdr:cNvSpPr>
            <a:spLocks noChangeAspect="1"/>
          </xdr:cNvSpPr>
        </xdr:nvSpPr>
        <xdr:spPr>
          <a:xfrm>
            <a:off x="5227534" y="25690474"/>
            <a:ext cx="685800" cy="510949"/>
          </a:xfrm>
          <a:prstGeom prst="roundRect">
            <a:avLst/>
          </a:prstGeom>
          <a:solidFill>
            <a:srgbClr val="AF0000"/>
          </a:solidFill>
          <a:effectLst>
            <a:outerShdw blurRad="50800" dist="38100" dir="8100000" algn="tr" rotWithShape="0">
              <a:prstClr val="black">
                <a:alpha val="40000"/>
              </a:prstClr>
            </a:outerShdw>
          </a:effectLst>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1050"/>
          </a:p>
        </xdr:txBody>
      </xdr:sp>
      <xdr:sp macro="" textlink="">
        <xdr:nvSpPr>
          <xdr:cNvPr id="469" name="Rectangle 468">
            <a:extLst>
              <a:ext uri="{FF2B5EF4-FFF2-40B4-BE49-F238E27FC236}">
                <a16:creationId xmlns:a16="http://schemas.microsoft.com/office/drawing/2014/main" id="{00000000-0008-0000-0200-0000D5010000}"/>
              </a:ext>
            </a:extLst>
          </xdr:cNvPr>
          <xdr:cNvSpPr/>
        </xdr:nvSpPr>
        <xdr:spPr>
          <a:xfrm>
            <a:off x="5207619" y="25575012"/>
            <a:ext cx="758841" cy="683449"/>
          </a:xfrm>
          <a:prstGeom prst="rect">
            <a:avLst/>
          </a:prstGeom>
          <a:noFill/>
          <a:effectLst>
            <a:outerShdw blurRad="50800" dist="38100" dir="8100000" algn="tr" rotWithShape="0">
              <a:prstClr val="black">
                <a:alpha val="40000"/>
              </a:prstClr>
            </a:outerShdw>
          </a:effectLst>
        </xdr:spPr>
        <xdr:txBody>
          <a:bodyPr wrap="square" lIns="91440" tIns="45720" rIns="91440" bIns="4572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4800" b="1" cap="none" spc="150" baseline="0">
                <a:ln w="9525" cmpd="sng">
                  <a:solidFill>
                    <a:srgbClr val="C00000"/>
                  </a:solidFill>
                  <a:prstDash val="solid"/>
                </a:ln>
                <a:solidFill>
                  <a:srgbClr val="FFDDDD"/>
                </a:solidFill>
                <a:effectLst>
                  <a:glow rad="38100">
                    <a:schemeClr val="accent1">
                      <a:alpha val="40000"/>
                    </a:schemeClr>
                  </a:glow>
                </a:effectLst>
                <a:latin typeface="Arial Black" panose="020B0A04020102020204" pitchFamily="34" charset="0"/>
              </a:rPr>
              <a:t>D</a:t>
            </a:r>
            <a:endParaRPr lang="en-US" sz="4400" b="1" cap="none" spc="150" baseline="0">
              <a:ln w="9525" cmpd="sng">
                <a:solidFill>
                  <a:srgbClr val="C00000"/>
                </a:solidFill>
                <a:prstDash val="solid"/>
              </a:ln>
              <a:solidFill>
                <a:srgbClr val="FFDDDD"/>
              </a:solidFill>
              <a:effectLst>
                <a:glow rad="38100">
                  <a:schemeClr val="accent1">
                    <a:alpha val="40000"/>
                  </a:schemeClr>
                </a:glow>
              </a:effectLst>
              <a:latin typeface="Arial Black" panose="020B0A04020102020204" pitchFamily="34" charset="0"/>
            </a:endParaRPr>
          </a:p>
        </xdr:txBody>
      </xdr:sp>
    </xdr:grpSp>
    <xdr:clientData/>
  </xdr:twoCellAnchor>
  <xdr:oneCellAnchor>
    <xdr:from>
      <xdr:col>15</xdr:col>
      <xdr:colOff>22860</xdr:colOff>
      <xdr:row>658</xdr:row>
      <xdr:rowOff>60960</xdr:rowOff>
    </xdr:from>
    <xdr:ext cx="5943600" cy="3110484"/>
    <xdr:pic>
      <xdr:nvPicPr>
        <xdr:cNvPr id="454" name="Picture 453" hidden="1">
          <a:extLst>
            <a:ext uri="{FF2B5EF4-FFF2-40B4-BE49-F238E27FC236}">
              <a16:creationId xmlns:a16="http://schemas.microsoft.com/office/drawing/2014/main" id="{00000000-0008-0000-0200-0000C6010000}"/>
            </a:ext>
          </a:extLst>
        </xdr:cNvPr>
        <xdr:cNvPicPr>
          <a:picLocks noChangeAspect="1"/>
        </xdr:cNvPicPr>
      </xdr:nvPicPr>
      <xdr:blipFill>
        <a:blip xmlns:r="http://schemas.openxmlformats.org/officeDocument/2006/relationships" r:embed="rId5">
          <a:clrChange>
            <a:clrFrom>
              <a:srgbClr val="FFFFFF"/>
            </a:clrFrom>
            <a:clrTo>
              <a:srgbClr val="FFFFFF">
                <a:alpha val="0"/>
              </a:srgbClr>
            </a:clrTo>
          </a:clrChange>
        </a:blip>
        <a:stretch>
          <a:fillRect/>
        </a:stretch>
      </xdr:blipFill>
      <xdr:spPr>
        <a:xfrm>
          <a:off x="6332220" y="79415640"/>
          <a:ext cx="5943600" cy="3110484"/>
        </a:xfrm>
        <a:prstGeom prst="rect">
          <a:avLst/>
        </a:prstGeom>
      </xdr:spPr>
    </xdr:pic>
    <xdr:clientData/>
  </xdr:oneCellAnchor>
  <xdr:twoCellAnchor>
    <xdr:from>
      <xdr:col>1</xdr:col>
      <xdr:colOff>0</xdr:colOff>
      <xdr:row>89</xdr:row>
      <xdr:rowOff>92287</xdr:rowOff>
    </xdr:from>
    <xdr:to>
      <xdr:col>12</xdr:col>
      <xdr:colOff>472440</xdr:colOff>
      <xdr:row>93</xdr:row>
      <xdr:rowOff>99060</xdr:rowOff>
    </xdr:to>
    <xdr:sp macro="" textlink="">
      <xdr:nvSpPr>
        <xdr:cNvPr id="579" name="TextBox 578">
          <a:extLst>
            <a:ext uri="{FF2B5EF4-FFF2-40B4-BE49-F238E27FC236}">
              <a16:creationId xmlns:a16="http://schemas.microsoft.com/office/drawing/2014/main" id="{00000000-0008-0000-0200-000043020000}"/>
            </a:ext>
          </a:extLst>
        </xdr:cNvPr>
        <xdr:cNvSpPr txBox="1"/>
      </xdr:nvSpPr>
      <xdr:spPr>
        <a:xfrm>
          <a:off x="121920" y="8969587"/>
          <a:ext cx="5920740" cy="1119293"/>
        </a:xfrm>
        <a:prstGeom prst="rect">
          <a:avLst/>
        </a:prstGeom>
        <a:solidFill>
          <a:srgbClr val="5AFFA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91440" rtlCol="0" anchor="ctr"/>
        <a:lstStyle/>
        <a:p>
          <a:pPr algn="ctr"/>
          <a:r>
            <a:rPr lang="en-US" sz="4600" b="1">
              <a:latin typeface="Verdana" panose="020B0604030504040204" pitchFamily="34" charset="0"/>
              <a:ea typeface="Verdana" panose="020B0604030504040204" pitchFamily="34" charset="0"/>
            </a:rPr>
            <a:t>Harmony Politics</a:t>
          </a:r>
          <a:r>
            <a:rPr lang="en-US" sz="4400" b="1">
              <a:latin typeface="Verdana" panose="020B0604030504040204" pitchFamily="34" charset="0"/>
              <a:ea typeface="Verdana" panose="020B0604030504040204" pitchFamily="34" charset="0"/>
            </a:rPr>
            <a:t> </a:t>
          </a:r>
        </a:p>
        <a:p>
          <a:pPr algn="ctr"/>
          <a:r>
            <a:rPr lang="en-US" sz="1300">
              <a:latin typeface="Verdana" panose="020B0604030504040204" pitchFamily="34" charset="0"/>
              <a:ea typeface="Verdana" panose="020B0604030504040204" pitchFamily="34" charset="0"/>
            </a:rPr>
            <a:t>answers</a:t>
          </a:r>
          <a:r>
            <a:rPr lang="en-US" sz="1300" baseline="0">
              <a:latin typeface="Verdana" panose="020B0604030504040204" pitchFamily="34" charset="0"/>
              <a:ea typeface="Verdana" panose="020B0604030504040204" pitchFamily="34" charset="0"/>
            </a:rPr>
            <a:t> </a:t>
          </a:r>
          <a:r>
            <a:rPr lang="en-US" sz="1300" b="0" i="1" u="none" baseline="0">
              <a:ln w="9525">
                <a:solidFill>
                  <a:schemeClr val="tx1">
                    <a:lumMod val="85000"/>
                    <a:lumOff val="15000"/>
                  </a:schemeClr>
                </a:solidFill>
              </a:ln>
              <a:latin typeface="Verdana" panose="020B0604030504040204" pitchFamily="34" charset="0"/>
              <a:ea typeface="Verdana" panose="020B0604030504040204" pitchFamily="34" charset="0"/>
            </a:rPr>
            <a:t>polarized politics</a:t>
          </a:r>
          <a:r>
            <a:rPr lang="en-US" sz="1300" b="0" i="1" u="none" baseline="0">
              <a:ln w="19050">
                <a:solidFill>
                  <a:schemeClr val="tx1">
                    <a:lumMod val="85000"/>
                    <a:lumOff val="15000"/>
                  </a:schemeClr>
                </a:solidFill>
              </a:ln>
              <a:latin typeface="Verdana" panose="020B0604030504040204" pitchFamily="34" charset="0"/>
              <a:ea typeface="Verdana" panose="020B0604030504040204" pitchFamily="34" charset="0"/>
            </a:rPr>
            <a:t> </a:t>
          </a:r>
          <a:r>
            <a:rPr lang="en-US" sz="1300" baseline="0">
              <a:latin typeface="Verdana" panose="020B0604030504040204" pitchFamily="34" charset="0"/>
              <a:ea typeface="Verdana" panose="020B0604030504040204" pitchFamily="34" charset="0"/>
            </a:rPr>
            <a:t>by addressing the needs behind politics.</a:t>
          </a:r>
          <a:endParaRPr lang="en-US" sz="1300" baseline="0"/>
        </a:p>
      </xdr:txBody>
    </xdr:sp>
    <xdr:clientData/>
  </xdr:twoCellAnchor>
  <xdr:twoCellAnchor>
    <xdr:from>
      <xdr:col>1</xdr:col>
      <xdr:colOff>373380</xdr:colOff>
      <xdr:row>110</xdr:row>
      <xdr:rowOff>198121</xdr:rowOff>
    </xdr:from>
    <xdr:to>
      <xdr:col>11</xdr:col>
      <xdr:colOff>426720</xdr:colOff>
      <xdr:row>112</xdr:row>
      <xdr:rowOff>198121</xdr:rowOff>
    </xdr:to>
    <xdr:sp macro="" textlink="">
      <xdr:nvSpPr>
        <xdr:cNvPr id="267" name="TextBox 266">
          <a:extLst>
            <a:ext uri="{FF2B5EF4-FFF2-40B4-BE49-F238E27FC236}">
              <a16:creationId xmlns:a16="http://schemas.microsoft.com/office/drawing/2014/main" id="{00000000-0008-0000-0200-00000B010000}"/>
            </a:ext>
          </a:extLst>
        </xdr:cNvPr>
        <xdr:cNvSpPr txBox="1"/>
      </xdr:nvSpPr>
      <xdr:spPr>
        <a:xfrm>
          <a:off x="495300" y="14851381"/>
          <a:ext cx="500634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200" b="1">
              <a:latin typeface="Verdana" panose="020B0604030504040204" pitchFamily="34" charset="0"/>
              <a:ea typeface="Verdana" panose="020B0604030504040204" pitchFamily="34" charset="0"/>
            </a:rPr>
            <a:t>You can't force anyone's needs with political reasoning</a:t>
          </a:r>
          <a:r>
            <a:rPr lang="en-US" sz="1200" b="0">
              <a:latin typeface="Verdana" panose="020B0604030504040204" pitchFamily="34" charset="0"/>
              <a:ea typeface="Verdana" panose="020B0604030504040204" pitchFamily="34" charset="0"/>
            </a:rPr>
            <a:t>.</a:t>
          </a:r>
          <a:r>
            <a:rPr lang="en-US" sz="1200" b="1">
              <a:latin typeface="Verdana" panose="020B0604030504040204" pitchFamily="34" charset="0"/>
              <a:ea typeface="Verdana" panose="020B0604030504040204" pitchFamily="34" charset="0"/>
            </a:rPr>
            <a:t> Their needs, as yours, force</a:t>
          </a:r>
          <a:r>
            <a:rPr lang="en-US" sz="1200" b="1" baseline="0">
              <a:latin typeface="Verdana" panose="020B0604030504040204" pitchFamily="34" charset="0"/>
              <a:ea typeface="Verdana" panose="020B0604030504040204" pitchFamily="34" charset="0"/>
            </a:rPr>
            <a:t> their own political reasons</a:t>
          </a:r>
          <a:r>
            <a:rPr lang="en-US" sz="1200">
              <a:latin typeface="Verdana" panose="020B0604030504040204" pitchFamily="34" charset="0"/>
              <a:ea typeface="Verdana" panose="020B0604030504040204" pitchFamily="34" charset="0"/>
            </a:rPr>
            <a:t>.</a:t>
          </a:r>
          <a:endParaRPr lang="en-US" sz="1100" baseline="0"/>
        </a:p>
      </xdr:txBody>
    </xdr:sp>
    <xdr:clientData/>
  </xdr:twoCellAnchor>
  <xdr:twoCellAnchor>
    <xdr:from>
      <xdr:col>1</xdr:col>
      <xdr:colOff>20244</xdr:colOff>
      <xdr:row>112</xdr:row>
      <xdr:rowOff>222618</xdr:rowOff>
    </xdr:from>
    <xdr:to>
      <xdr:col>13</xdr:col>
      <xdr:colOff>20244</xdr:colOff>
      <xdr:row>118</xdr:row>
      <xdr:rowOff>167640</xdr:rowOff>
    </xdr:to>
    <xdr:sp macro="" textlink="">
      <xdr:nvSpPr>
        <xdr:cNvPr id="448" name="You believe whatever serves your needs.">
          <a:extLst>
            <a:ext uri="{FF2B5EF4-FFF2-40B4-BE49-F238E27FC236}">
              <a16:creationId xmlns:a16="http://schemas.microsoft.com/office/drawing/2014/main" id="{00000000-0008-0000-0200-0000C0010000}"/>
            </a:ext>
          </a:extLst>
        </xdr:cNvPr>
        <xdr:cNvSpPr txBox="1">
          <a:spLocks/>
        </xdr:cNvSpPr>
      </xdr:nvSpPr>
      <xdr:spPr>
        <a:xfrm>
          <a:off x="142164" y="15378798"/>
          <a:ext cx="5943600" cy="1453782"/>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ts val="1200"/>
            </a:lnSpc>
            <a:buNone/>
          </a:pPr>
          <a:r>
            <a:rPr lang="en-US" sz="1200" b="0" kern="1200">
              <a:solidFill>
                <a:sysClr val="windowText" lastClr="000000"/>
              </a:solidFill>
              <a:latin typeface="Tahoma" panose="020B0604030504040204" pitchFamily="34" charset="0"/>
              <a:ea typeface="Tahoma" panose="020B0604030504040204" pitchFamily="34" charset="0"/>
              <a:cs typeface="Tahoma" panose="020B0604030504040204" pitchFamily="34" charset="0"/>
            </a:rPr>
            <a:t>According to anankelogy, we all share the same </a:t>
          </a:r>
          <a:r>
            <a:rPr lang="en-US" sz="1200" b="0" i="1" kern="1200">
              <a:solidFill>
                <a:sysClr val="windowText" lastClr="000000"/>
              </a:solidFill>
              <a:latin typeface="Tahoma" panose="020B0604030504040204" pitchFamily="34" charset="0"/>
              <a:ea typeface="Tahoma" panose="020B0604030504040204" pitchFamily="34" charset="0"/>
              <a:cs typeface="Tahoma" panose="020B0604030504040204" pitchFamily="34" charset="0"/>
            </a:rPr>
            <a:t>core-needs</a:t>
          </a:r>
          <a:r>
            <a:rPr lang="en-US" sz="1200" b="0" kern="1200">
              <a:solidFill>
                <a:sysClr val="windowText" lastClr="000000"/>
              </a:solidFill>
              <a:latin typeface="Tahoma" panose="020B0604030504040204" pitchFamily="34" charset="0"/>
              <a:ea typeface="Tahoma" panose="020B0604030504040204" pitchFamily="34" charset="0"/>
              <a:cs typeface="Tahoma" panose="020B0604030504040204" pitchFamily="34" charset="0"/>
            </a:rPr>
            <a:t>. We experience the same optimal range of body temperature. The same optimal range of water in our system. The same need for love, for acceptance, for belonging. How we get these</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diverges. </a:t>
          </a:r>
        </a:p>
        <a:p>
          <a:pPr marL="0" indent="0" algn="l">
            <a:lnSpc>
              <a:spcPts val="1200"/>
            </a:lnSpc>
            <a:buNone/>
          </a:pPr>
          <a:endPar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ts val="1200"/>
            </a:lnSpc>
            <a:buNone/>
          </a:pP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Politics can address this divergence. Politics cannot eliminate the needs themselves.</a:t>
          </a:r>
        </a:p>
        <a:p>
          <a:pPr marL="0" indent="0" algn="l">
            <a:lnSpc>
              <a:spcPts val="1200"/>
            </a:lnSpc>
            <a:buNone/>
          </a:pPr>
          <a:endPar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ts val="1200"/>
            </a:lnSpc>
            <a:buNone/>
          </a:pP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Anankelogy distinguishes between shared </a:t>
          </a:r>
          <a:r>
            <a:rPr lang="en-US" sz="1200" b="0" i="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core-needs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and less shared </a:t>
          </a:r>
          <a:r>
            <a:rPr lang="en-US" sz="1200" b="0" i="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resource-needs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to ease those core-needs, even less shared </a:t>
          </a:r>
          <a:r>
            <a:rPr lang="en-US" sz="1200" b="0" i="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access-needs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to get such resources, and </a:t>
          </a:r>
          <a:r>
            <a:rPr lang="en-US" sz="1200" b="0" kern="1200" spc="-2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least shared </a:t>
          </a:r>
          <a:r>
            <a:rPr lang="en-US" sz="1200" b="0" i="1" kern="1200" spc="-2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psychosocial-needs</a:t>
          </a:r>
          <a:r>
            <a:rPr lang="en-US" sz="1200" b="0" kern="1200" spc="-2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for who is to access such resources to ease core-needs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a:t>
          </a:r>
          <a:endParaRPr lang="en-US" sz="1200" b="0" kern="120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22860</xdr:colOff>
      <xdr:row>108</xdr:row>
      <xdr:rowOff>45720</xdr:rowOff>
    </xdr:from>
    <xdr:to>
      <xdr:col>13</xdr:col>
      <xdr:colOff>114300</xdr:colOff>
      <xdr:row>110</xdr:row>
      <xdr:rowOff>182880</xdr:rowOff>
    </xdr:to>
    <xdr:sp macro="" textlink="">
      <xdr:nvSpPr>
        <xdr:cNvPr id="450" name="You believe whatever serves your needs.">
          <a:extLst>
            <a:ext uri="{FF2B5EF4-FFF2-40B4-BE49-F238E27FC236}">
              <a16:creationId xmlns:a16="http://schemas.microsoft.com/office/drawing/2014/main" id="{00000000-0008-0000-0200-0000C2010000}"/>
            </a:ext>
          </a:extLst>
        </xdr:cNvPr>
        <xdr:cNvSpPr txBox="1">
          <a:spLocks/>
        </xdr:cNvSpPr>
      </xdr:nvSpPr>
      <xdr:spPr>
        <a:xfrm>
          <a:off x="144780" y="14196060"/>
          <a:ext cx="6035040" cy="6400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According to anankelogy, there is no good nor bad except for need. Morality is code for need. Good politics for you fits your needs.</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If it threatens the needs of others, then it's bad politics for them. No amount of political debating can change each other's needs.</a:t>
          </a: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45720</xdr:colOff>
      <xdr:row>93</xdr:row>
      <xdr:rowOff>281941</xdr:rowOff>
    </xdr:from>
    <xdr:to>
      <xdr:col>13</xdr:col>
      <xdr:colOff>15240</xdr:colOff>
      <xdr:row>95</xdr:row>
      <xdr:rowOff>198121</xdr:rowOff>
    </xdr:to>
    <xdr:sp macro="" textlink="">
      <xdr:nvSpPr>
        <xdr:cNvPr id="570" name="TextBox 569">
          <a:extLst>
            <a:ext uri="{FF2B5EF4-FFF2-40B4-BE49-F238E27FC236}">
              <a16:creationId xmlns:a16="http://schemas.microsoft.com/office/drawing/2014/main" id="{00000000-0008-0000-0200-00003A020000}"/>
            </a:ext>
          </a:extLst>
        </xdr:cNvPr>
        <xdr:cNvSpPr txBox="1"/>
      </xdr:nvSpPr>
      <xdr:spPr>
        <a:xfrm>
          <a:off x="45720" y="10271761"/>
          <a:ext cx="6035040" cy="678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b="0" i="1">
              <a:ln>
                <a:solidFill>
                  <a:schemeClr val="tx1"/>
                </a:solidFill>
              </a:ln>
              <a:latin typeface="Tahoma" panose="020B0604030504040204" pitchFamily="34" charset="0"/>
              <a:ea typeface="Tahoma" panose="020B0604030504040204" pitchFamily="34" charset="0"/>
              <a:cs typeface="Tahoma" panose="020B0604030504040204" pitchFamily="34" charset="0"/>
            </a:rPr>
            <a:t>Anankelogy</a:t>
          </a:r>
          <a:r>
            <a:rPr lang="en-US" sz="1200">
              <a:latin typeface="Tahoma" panose="020B0604030504040204" pitchFamily="34" charset="0"/>
              <a:ea typeface="Tahoma" panose="020B0604030504040204" pitchFamily="34" charset="0"/>
              <a:cs typeface="Tahoma" panose="020B0604030504040204" pitchFamily="34" charset="0"/>
            </a:rPr>
            <a:t> (the study of need) shines a fresh light on politics. Until we look through </a:t>
          </a:r>
          <a:r>
            <a:rPr lang="en-US" sz="1200" spc="10" baseline="0">
              <a:latin typeface="Tahoma" panose="020B0604030504040204" pitchFamily="34" charset="0"/>
              <a:ea typeface="Tahoma" panose="020B0604030504040204" pitchFamily="34" charset="0"/>
              <a:cs typeface="Tahoma" panose="020B0604030504040204" pitchFamily="34" charset="0"/>
            </a:rPr>
            <a:t>the lens of how politics exists to serve needs, we miss its most basic point: Politics </a:t>
          </a:r>
          <a:r>
            <a:rPr lang="en-US" sz="1200" spc="-10" baseline="0">
              <a:latin typeface="Tahoma" panose="020B0604030504040204" pitchFamily="34" charset="0"/>
              <a:ea typeface="Tahoma" panose="020B0604030504040204" pitchFamily="34" charset="0"/>
              <a:cs typeface="Tahoma" panose="020B0604030504040204" pitchFamily="34" charset="0"/>
            </a:rPr>
            <a:t>exist to express needs. Apart from needs to express, there is no such thing as politics</a:t>
          </a:r>
          <a:r>
            <a:rPr lang="en-US" sz="1200">
              <a:latin typeface="Tahoma" panose="020B0604030504040204" pitchFamily="34" charset="0"/>
              <a:ea typeface="Tahoma" panose="020B0604030504040204" pitchFamily="34" charset="0"/>
              <a:cs typeface="Tahoma" panose="020B0604030504040204" pitchFamily="34" charset="0"/>
            </a:rPr>
            <a:t>. </a:t>
          </a:r>
          <a:endParaRPr lang="en-US" sz="110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38100</xdr:colOff>
      <xdr:row>95</xdr:row>
      <xdr:rowOff>198121</xdr:rowOff>
    </xdr:from>
    <xdr:to>
      <xdr:col>13</xdr:col>
      <xdr:colOff>7620</xdr:colOff>
      <xdr:row>97</xdr:row>
      <xdr:rowOff>160020</xdr:rowOff>
    </xdr:to>
    <xdr:sp macro="" textlink="">
      <xdr:nvSpPr>
        <xdr:cNvPr id="576" name="TextBox 575">
          <a:extLst>
            <a:ext uri="{FF2B5EF4-FFF2-40B4-BE49-F238E27FC236}">
              <a16:creationId xmlns:a16="http://schemas.microsoft.com/office/drawing/2014/main" id="{00000000-0008-0000-0200-000040020000}"/>
            </a:ext>
          </a:extLst>
        </xdr:cNvPr>
        <xdr:cNvSpPr txBox="1"/>
      </xdr:nvSpPr>
      <xdr:spPr>
        <a:xfrm>
          <a:off x="38100" y="10949941"/>
          <a:ext cx="6035040" cy="5181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a:solidFill>
                <a:schemeClr val="dk1"/>
              </a:solidFill>
              <a:latin typeface="Tahoma" panose="020B0604030504040204" pitchFamily="34" charset="0"/>
              <a:ea typeface="Tahoma" panose="020B0604030504040204" pitchFamily="34" charset="0"/>
              <a:cs typeface="Tahoma" panose="020B0604030504040204" pitchFamily="34" charset="0"/>
            </a:rPr>
            <a:t>Anankelogy defines politics as </a:t>
          </a:r>
        </a:p>
      </xdr:txBody>
    </xdr:sp>
    <xdr:clientData/>
  </xdr:twoCellAnchor>
  <xdr:twoCellAnchor>
    <xdr:from>
      <xdr:col>0</xdr:col>
      <xdr:colOff>106680</xdr:colOff>
      <xdr:row>105</xdr:row>
      <xdr:rowOff>76200</xdr:rowOff>
    </xdr:from>
    <xdr:to>
      <xdr:col>12</xdr:col>
      <xdr:colOff>480060</xdr:colOff>
      <xdr:row>107</xdr:row>
      <xdr:rowOff>213360</xdr:rowOff>
    </xdr:to>
    <xdr:sp macro="" textlink="">
      <xdr:nvSpPr>
        <xdr:cNvPr id="580" name="TextBox green: Until you understand...">
          <a:extLst>
            <a:ext uri="{FF2B5EF4-FFF2-40B4-BE49-F238E27FC236}">
              <a16:creationId xmlns:a16="http://schemas.microsoft.com/office/drawing/2014/main" id="{00000000-0008-0000-0200-000044020000}"/>
            </a:ext>
          </a:extLst>
        </xdr:cNvPr>
        <xdr:cNvSpPr txBox="1"/>
      </xdr:nvSpPr>
      <xdr:spPr>
        <a:xfrm>
          <a:off x="106680" y="13472160"/>
          <a:ext cx="5943600" cy="640080"/>
        </a:xfrm>
        <a:prstGeom prst="rect">
          <a:avLst/>
        </a:prstGeom>
        <a:solidFill>
          <a:srgbClr val="5AFFA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182880" tIns="0" rIns="182880" bIns="0" rtlCol="0" anchor="ctr"/>
        <a:lstStyle/>
        <a:p>
          <a:pPr algn="ctr"/>
          <a:r>
            <a:rPr lang="en-US" sz="1600" b="1" baseline="0">
              <a:solidFill>
                <a:schemeClr val="tx1">
                  <a:lumMod val="75000"/>
                  <a:lumOff val="25000"/>
                </a:schemeClr>
              </a:solidFill>
              <a:latin typeface="Verdana" panose="020B0604030504040204" pitchFamily="34" charset="0"/>
              <a:ea typeface="Verdana" panose="020B0604030504040204" pitchFamily="34" charset="0"/>
            </a:rPr>
            <a:t>Until we understand our needs behind </a:t>
          </a:r>
          <a:r>
            <a:rPr lang="en-US" sz="1600" b="1" baseline="0">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rPr>
            <a:t>politics</a:t>
          </a:r>
          <a:r>
            <a:rPr lang="en-US" sz="1600" b="1" baseline="0">
              <a:latin typeface="Verdana" panose="020B0604030504040204" pitchFamily="34" charset="0"/>
              <a:ea typeface="Verdana" panose="020B0604030504040204" pitchFamily="34" charset="0"/>
            </a:rPr>
            <a:t>, </a:t>
          </a:r>
          <a:r>
            <a:rPr lang="en-US" sz="1600" b="1" baseline="0">
              <a:solidFill>
                <a:schemeClr val="tx1">
                  <a:lumMod val="75000"/>
                  <a:lumOff val="25000"/>
                </a:schemeClr>
              </a:solidFill>
              <a:latin typeface="Verdana" panose="020B0604030504040204" pitchFamily="34" charset="0"/>
              <a:ea typeface="Verdana" panose="020B0604030504040204" pitchFamily="34" charset="0"/>
            </a:rPr>
            <a:t>we cannot really understand our </a:t>
          </a:r>
          <a:r>
            <a:rPr lang="en-US" sz="1600" b="1" baseline="0">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rPr>
            <a:t>politics</a:t>
          </a:r>
          <a:r>
            <a:rPr lang="en-US" sz="1600" b="1" baseline="0">
              <a:latin typeface="Verdana" panose="020B0604030504040204" pitchFamily="34" charset="0"/>
              <a:ea typeface="Verdana" panose="020B0604030504040204" pitchFamily="34" charset="0"/>
            </a:rPr>
            <a:t>.</a:t>
          </a:r>
          <a:endParaRPr lang="en-US" sz="1600" b="1" baseline="0"/>
        </a:p>
      </xdr:txBody>
    </xdr:sp>
    <xdr:clientData/>
  </xdr:twoCellAnchor>
  <xdr:twoCellAnchor>
    <xdr:from>
      <xdr:col>0</xdr:col>
      <xdr:colOff>0</xdr:colOff>
      <xdr:row>320</xdr:row>
      <xdr:rowOff>68580</xdr:rowOff>
    </xdr:from>
    <xdr:to>
      <xdr:col>13</xdr:col>
      <xdr:colOff>11635</xdr:colOff>
      <xdr:row>368</xdr:row>
      <xdr:rowOff>68580</xdr:rowOff>
    </xdr:to>
    <xdr:grpSp>
      <xdr:nvGrpSpPr>
        <xdr:cNvPr id="930" name="Group 929">
          <a:extLst>
            <a:ext uri="{FF2B5EF4-FFF2-40B4-BE49-F238E27FC236}">
              <a16:creationId xmlns:a16="http://schemas.microsoft.com/office/drawing/2014/main" id="{00000000-0008-0000-0200-0000A2030000}"/>
            </a:ext>
          </a:extLst>
        </xdr:cNvPr>
        <xdr:cNvGrpSpPr/>
      </xdr:nvGrpSpPr>
      <xdr:grpSpPr>
        <a:xfrm>
          <a:off x="0" y="68442840"/>
          <a:ext cx="6160975" cy="8618220"/>
          <a:chOff x="0" y="59740800"/>
          <a:chExt cx="6077155" cy="8618220"/>
        </a:xfrm>
      </xdr:grpSpPr>
      <xdr:sp macro="" textlink="">
        <xdr:nvSpPr>
          <xdr:cNvPr id="343" name="You believe whatever serves your needs.">
            <a:extLst>
              <a:ext uri="{FF2B5EF4-FFF2-40B4-BE49-F238E27FC236}">
                <a16:creationId xmlns:a16="http://schemas.microsoft.com/office/drawing/2014/main" id="{00000000-0008-0000-0200-000057010000}"/>
              </a:ext>
            </a:extLst>
          </xdr:cNvPr>
          <xdr:cNvSpPr txBox="1">
            <a:spLocks/>
          </xdr:cNvSpPr>
        </xdr:nvSpPr>
        <xdr:spPr>
          <a:xfrm>
            <a:off x="381001" y="63771780"/>
            <a:ext cx="5486400" cy="2743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800" b="1"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Why this clashing</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set of priorities</a:t>
            </a:r>
            <a:r>
              <a:rPr lang="en-US" sz="1800" b="1"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rPr>
              <a:t>?</a:t>
            </a:r>
            <a:endParaRPr lang="en-US" sz="1800"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344" name="L PO">
            <a:extLst>
              <a:ext uri="{FF2B5EF4-FFF2-40B4-BE49-F238E27FC236}">
                <a16:creationId xmlns:a16="http://schemas.microsoft.com/office/drawing/2014/main" id="{00000000-0008-0000-0200-000058010000}"/>
              </a:ext>
            </a:extLst>
          </xdr:cNvPr>
          <xdr:cNvSpPr txBox="1">
            <a:spLocks/>
          </xdr:cNvSpPr>
        </xdr:nvSpPr>
        <xdr:spPr>
          <a:xfrm>
            <a:off x="0" y="64853820"/>
            <a:ext cx="2377440" cy="6400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spcBef>
                <a:spcPts val="0"/>
              </a:spcBef>
              <a:buNone/>
            </a:pP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more your </a:t>
            </a:r>
            <a:r>
              <a:rPr lang="en-US" sz="1200" b="1" spc="-40">
                <a:ln>
                  <a:solidFill>
                    <a:srgbClr val="C8FFE1"/>
                  </a:solidFill>
                </a:ln>
                <a:solidFill>
                  <a:srgbClr val="C8FFE1"/>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spc="-40">
                <a:ln>
                  <a:solidFill>
                    <a:schemeClr val="accent6">
                      <a:lumMod val="20000"/>
                      <a:lumOff val="80000"/>
                    </a:schemeClr>
                  </a:solidFill>
                </a:ln>
                <a:solidFill>
                  <a:schemeClr val="accent6">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resolve than your </a:t>
            </a:r>
            <a:r>
              <a:rPr lang="en-US" sz="1200" b="1" spc="-40">
                <a:ln>
                  <a:solidFill>
                    <a:srgbClr val="F0CDFF"/>
                  </a:solidFill>
                </a:ln>
                <a:solidFill>
                  <a:srgbClr val="F0CD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 more </a:t>
            </a:r>
            <a:r>
              <a:rPr lang="en-US" sz="1200" spc="-2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a:t>
            </a:r>
            <a:r>
              <a:rPr lang="en-US" sz="1200" spc="-1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orient to a</a:t>
            </a:r>
            <a:r>
              <a:rPr lang="en-US" sz="1200" spc="-40">
                <a:ln>
                  <a:solidFill>
                    <a:srgbClr val="F0CDFF"/>
                  </a:solidFill>
                </a:ln>
                <a:solidFill>
                  <a:srgbClr val="F0CD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b="1" spc="-40">
                <a:ln>
                  <a:solidFill>
                    <a:srgbClr val="CDF0FF"/>
                  </a:solidFill>
                </a:ln>
                <a:solidFill>
                  <a:srgbClr val="CDF0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WIDE-focus</a:t>
            </a: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a:t>
            </a:r>
            <a:r>
              <a:rPr lang="en-US" sz="1200" spc="9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gravitate politically</a:t>
            </a:r>
            <a:r>
              <a:rPr lang="en-US" sz="1200" spc="-40">
                <a:ln>
                  <a:solidFill>
                    <a:srgbClr val="F0CDFF"/>
                  </a:solidFill>
                </a:ln>
                <a:solidFill>
                  <a:srgbClr val="F0CD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b="1" spc="-40">
                <a:ln>
                  <a:solidFill>
                    <a:srgbClr val="CDF0FF"/>
                  </a:solidFill>
                </a:ln>
                <a:solidFill>
                  <a:srgbClr val="CDF0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leftward</a:t>
            </a:r>
            <a:r>
              <a:rPr lang="en-US" sz="1200" spc="-40">
                <a:ln>
                  <a:solidFill>
                    <a:schemeClr val="accent4">
                      <a:lumMod val="20000"/>
                      <a:lumOff val="80000"/>
                    </a:schemeClr>
                  </a:solidFill>
                </a:ln>
                <a:solidFill>
                  <a:schemeClr val="accent4">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5" name="R PO">
            <a:extLst>
              <a:ext uri="{FF2B5EF4-FFF2-40B4-BE49-F238E27FC236}">
                <a16:creationId xmlns:a16="http://schemas.microsoft.com/office/drawing/2014/main" id="{00000000-0008-0000-0200-000059010000}"/>
              </a:ext>
            </a:extLst>
          </xdr:cNvPr>
          <xdr:cNvSpPr txBox="1">
            <a:spLocks/>
          </xdr:cNvSpPr>
        </xdr:nvSpPr>
        <xdr:spPr>
          <a:xfrm>
            <a:off x="3699715" y="64854748"/>
            <a:ext cx="2377440" cy="6400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nSpc>
                <a:spcPct val="100000"/>
              </a:lnSpc>
              <a:spcBef>
                <a:spcPts val="0"/>
              </a:spcBef>
              <a:buNone/>
            </a:pPr>
            <a:r>
              <a:rPr lang="en-US" sz="1200" spc="-6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more your </a:t>
            </a:r>
            <a:r>
              <a:rPr lang="en-US" sz="1200" b="1" spc="-60">
                <a:ln>
                  <a:solidFill>
                    <a:srgbClr val="F0CDFF"/>
                  </a:solidFill>
                </a:ln>
                <a:solidFill>
                  <a:srgbClr val="F0CDFF"/>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spc="-60">
                <a:ln>
                  <a:solidFill>
                    <a:srgbClr val="F0CDFF"/>
                  </a:solidFill>
                </a:ln>
                <a:solidFill>
                  <a:srgbClr val="F0CDFF"/>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spc="-6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resolve </a:t>
            </a:r>
            <a:r>
              <a:rPr lang="en-US" sz="1200" spc="2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than your </a:t>
            </a:r>
            <a:r>
              <a:rPr lang="en-US" sz="1200" b="1" spc="20">
                <a:ln>
                  <a:solidFill>
                    <a:srgbClr val="C8FFE1"/>
                  </a:solidFill>
                </a:ln>
                <a:solidFill>
                  <a:srgbClr val="C8FFE1"/>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spc="2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 more </a:t>
            </a:r>
            <a:r>
              <a:rPr lang="en-US" sz="1200" spc="1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 orient to a </a:t>
            </a:r>
            <a:r>
              <a:rPr lang="en-US" sz="1200" b="1" spc="10">
                <a:ln>
                  <a:solidFill>
                    <a:srgbClr val="FF9999"/>
                  </a:solidFill>
                </a:ln>
                <a:solidFill>
                  <a:srgbClr val="FF9999"/>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DEEP-focus</a:t>
            </a:r>
            <a:r>
              <a:rPr lang="en-US" sz="1200" spc="1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a:t>
            </a:r>
            <a:r>
              <a:rPr lang="en-US" sz="1200" spc="0" baseline="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gravitate politically </a:t>
            </a:r>
            <a:r>
              <a:rPr lang="en-US" sz="1200" b="1" spc="0" baseline="0">
                <a:ln>
                  <a:solidFill>
                    <a:srgbClr val="FF9999"/>
                  </a:solidFill>
                </a:ln>
                <a:solidFill>
                  <a:srgbClr val="FF9999"/>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rightward</a:t>
            </a:r>
            <a:r>
              <a:rPr lang="en-US" sz="1200" spc="0" baseline="0">
                <a:ln>
                  <a:solidFill>
                    <a:schemeClr val="accent4">
                      <a:lumMod val="20000"/>
                      <a:lumOff val="80000"/>
                    </a:schemeClr>
                  </a:solidFill>
                </a:ln>
                <a:solidFill>
                  <a:schemeClr val="accent4">
                    <a:lumMod val="20000"/>
                    <a:lumOff val="80000"/>
                  </a:schemeClr>
                </a:solidFill>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6" name="Political orientation is the outwrdly...">
            <a:extLst>
              <a:ext uri="{FF2B5EF4-FFF2-40B4-BE49-F238E27FC236}">
                <a16:creationId xmlns:a16="http://schemas.microsoft.com/office/drawing/2014/main" id="{00000000-0008-0000-0200-00005A010000}"/>
              </a:ext>
            </a:extLst>
          </xdr:cNvPr>
          <xdr:cNvSpPr txBox="1">
            <a:spLocks/>
          </xdr:cNvSpPr>
        </xdr:nvSpPr>
        <xdr:spPr>
          <a:xfrm>
            <a:off x="352268" y="60062822"/>
            <a:ext cx="5486400" cy="623690"/>
          </a:xfrm>
          <a:prstGeom prst="rect">
            <a:avLst/>
          </a:prstGeom>
          <a:ln w="28575">
            <a:noFill/>
          </a:ln>
          <a:effectLst/>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600"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Your guarded</a:t>
            </a:r>
            <a:r>
              <a:rPr lang="en-US" sz="1600" b="1"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a:t>
            </a:r>
            <a:r>
              <a:rPr lang="en-US" sz="1600" b="1" spc="100">
                <a:solidFill>
                  <a:srgbClr val="FBA9FD"/>
                </a:solidFill>
                <a:effectLst>
                  <a:glow rad="50800">
                    <a:srgbClr val="7030A0"/>
                  </a:glow>
                  <a:outerShdw blurRad="38100" dist="38100" dir="2700000" algn="tl">
                    <a:srgbClr val="000000">
                      <a:alpha val="43137"/>
                    </a:srgbClr>
                  </a:outerShdw>
                </a:effectLst>
                <a:latin typeface="Tahoma" panose="020B0604030504040204" pitchFamily="34" charset="0"/>
                <a:ea typeface="Tahoma" panose="020B0604030504040204" pitchFamily="34" charset="0"/>
                <a:cs typeface="Tahoma" panose="020B0604030504040204" pitchFamily="34" charset="0"/>
              </a:rPr>
              <a:t>political views </a:t>
            </a:r>
            <a:r>
              <a:rPr lang="en-US" sz="1600" i="1"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outwardly</a:t>
            </a:r>
            <a:r>
              <a:rPr lang="en-US" sz="1600"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express </a:t>
            </a:r>
            <a:br>
              <a:rPr lang="en-US" sz="1600" spc="100">
                <a:solidFill>
                  <a:srgbClr val="FBA9FD"/>
                </a:solidFill>
                <a:effectLst>
                  <a:glow rad="381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br>
            <a:r>
              <a:rPr lang="en-US" sz="1600" spc="100">
                <a:ln>
                  <a:solidFill>
                    <a:srgbClr val="00B050"/>
                  </a:solidFill>
                </a:ln>
                <a:solidFill>
                  <a:srgbClr val="82FF82"/>
                </a:solidFill>
                <a:effectLst>
                  <a:glow rad="50800">
                    <a:schemeClr val="accent6">
                      <a:lumMod val="50000"/>
                    </a:schemeClr>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your </a:t>
            </a:r>
            <a:r>
              <a:rPr lang="en-US" sz="1600" i="1" spc="100">
                <a:ln>
                  <a:solidFill>
                    <a:srgbClr val="00B050"/>
                  </a:solidFill>
                </a:ln>
                <a:solidFill>
                  <a:srgbClr val="82FF82"/>
                </a:solidFill>
                <a:effectLst>
                  <a:glow rad="50800">
                    <a:schemeClr val="accent6">
                      <a:lumMod val="50000"/>
                    </a:schemeClr>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inwardly</a:t>
            </a:r>
            <a:r>
              <a:rPr lang="en-US" sz="1600" spc="100">
                <a:ln>
                  <a:solidFill>
                    <a:srgbClr val="00B050"/>
                  </a:solidFill>
                </a:ln>
                <a:solidFill>
                  <a:srgbClr val="82FF82"/>
                </a:solidFill>
                <a:effectLst>
                  <a:glow rad="50800">
                    <a:schemeClr val="accent6">
                      <a:lumMod val="50000"/>
                    </a:schemeClr>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needy </a:t>
            </a:r>
            <a:r>
              <a:rPr lang="en-US" sz="1600" b="1" spc="100">
                <a:ln>
                  <a:solidFill>
                    <a:srgbClr val="B4FFB4"/>
                  </a:solidFill>
                </a:ln>
                <a:solidFill>
                  <a:srgbClr val="B4FFB4"/>
                </a:solidFill>
                <a:effectLst>
                  <a:glow rad="50800">
                    <a:schemeClr val="accent6">
                      <a:lumMod val="50000"/>
                    </a:schemeClr>
                  </a:glow>
                  <a:outerShdw blurRad="12700" dist="50800" dir="2700000" algn="tl">
                    <a:schemeClr val="tx1">
                      <a:alpha val="43000"/>
                    </a:schemeClr>
                  </a:outerShdw>
                </a:effectLst>
                <a:latin typeface="Tahoma" panose="020B0604030504040204" pitchFamily="34" charset="0"/>
                <a:ea typeface="Tahoma" panose="020B0604030504040204" pitchFamily="34" charset="0"/>
                <a:cs typeface="Tahoma" panose="020B0604030504040204" pitchFamily="34" charset="0"/>
              </a:rPr>
              <a:t>psychosocial orientation</a:t>
            </a:r>
            <a:r>
              <a:rPr lang="en-US" sz="1600" spc="-40">
                <a:solidFill>
                  <a:srgbClr val="FBA9FD"/>
                </a:solidFill>
                <a:effectLst>
                  <a:glow rad="762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7" name="Or?">
            <a:extLst>
              <a:ext uri="{FF2B5EF4-FFF2-40B4-BE49-F238E27FC236}">
                <a16:creationId xmlns:a16="http://schemas.microsoft.com/office/drawing/2014/main" id="{00000000-0008-0000-0200-00005B010000}"/>
              </a:ext>
            </a:extLst>
          </xdr:cNvPr>
          <xdr:cNvSpPr txBox="1">
            <a:spLocks/>
          </xdr:cNvSpPr>
        </xdr:nvSpPr>
        <xdr:spPr>
          <a:xfrm>
            <a:off x="312421" y="59740800"/>
            <a:ext cx="5486400" cy="36576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500" spc="-40">
                <a:ln>
                  <a:solidFill>
                    <a:srgbClr val="E600E6"/>
                  </a:solidFill>
                </a:ln>
                <a:solidFill>
                  <a:srgbClr val="FF3CFF"/>
                </a:solidFill>
                <a:effectLst>
                  <a:glow rad="38100">
                    <a:srgbClr val="281437"/>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Now let’s </a:t>
            </a:r>
            <a:r>
              <a:rPr lang="en-US" sz="1500" b="1" spc="-60">
                <a:ln>
                  <a:solidFill>
                    <a:srgbClr val="A564D2"/>
                  </a:solidFill>
                </a:ln>
                <a:solidFill>
                  <a:srgbClr val="FF3CFF"/>
                </a:solidFill>
                <a:effectLst>
                  <a:glow rad="38100">
                    <a:srgbClr val="281437"/>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harmonize politics </a:t>
            </a:r>
            <a:r>
              <a:rPr lang="en-US" sz="1500" spc="-40">
                <a:ln>
                  <a:solidFill>
                    <a:srgbClr val="E600E6"/>
                  </a:solidFill>
                </a:ln>
                <a:solidFill>
                  <a:srgbClr val="FF3CFF"/>
                </a:solidFill>
                <a:effectLst>
                  <a:glow rad="38100">
                    <a:srgbClr val="281437"/>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to</a:t>
            </a:r>
            <a:r>
              <a:rPr lang="en-US" sz="1500" spc="-40">
                <a:ln>
                  <a:solidFill>
                    <a:srgbClr val="00B050"/>
                  </a:solidFill>
                </a:ln>
                <a:solidFill>
                  <a:srgbClr val="99FF66"/>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500" spc="-40">
                <a:ln>
                  <a:solidFill>
                    <a:srgbClr val="00B050"/>
                  </a:solidFill>
                </a:ln>
                <a:solidFill>
                  <a:srgbClr val="4BFF4B"/>
                </a:solidFill>
                <a:effectLst>
                  <a:glow rad="38100">
                    <a:schemeClr val="accent6">
                      <a:lumMod val="50000"/>
                    </a:scheme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each other’s </a:t>
            </a:r>
            <a:r>
              <a:rPr lang="en-US" sz="1500" b="1">
                <a:ln>
                  <a:solidFill>
                    <a:srgbClr val="00B050"/>
                  </a:solidFill>
                </a:ln>
                <a:solidFill>
                  <a:srgbClr val="4BFF4B"/>
                </a:solidFill>
                <a:effectLst>
                  <a:glow rad="38100">
                    <a:schemeClr val="accent6">
                      <a:lumMod val="50000"/>
                    </a:scheme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inflexible needs</a:t>
            </a:r>
            <a:r>
              <a:rPr lang="en-US" sz="1500" spc="-40">
                <a:ln>
                  <a:solidFill>
                    <a:schemeClr val="tx1"/>
                  </a:solidFill>
                </a:ln>
                <a:solidFill>
                  <a:sysClr val="windowText" lastClr="000000"/>
                </a:solidFill>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8" name="end hate">
            <a:extLst>
              <a:ext uri="{FF2B5EF4-FFF2-40B4-BE49-F238E27FC236}">
                <a16:creationId xmlns:a16="http://schemas.microsoft.com/office/drawing/2014/main" id="{00000000-0008-0000-0200-00005C010000}"/>
              </a:ext>
            </a:extLst>
          </xdr:cNvPr>
          <xdr:cNvSpPr txBox="1">
            <a:spLocks/>
          </xdr:cNvSpPr>
        </xdr:nvSpPr>
        <xdr:spPr>
          <a:xfrm>
            <a:off x="1089461" y="60804718"/>
            <a:ext cx="4054040" cy="50580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800"/>
              </a:lnSpc>
              <a:buNone/>
            </a:pPr>
            <a:r>
              <a:rPr lang="en-US" sz="1800" spc="30">
                <a:ln>
                  <a:solidFill>
                    <a:srgbClr val="3C195A"/>
                  </a:solidFill>
                </a:ln>
                <a:solidFill>
                  <a:srgbClr val="732D7F"/>
                </a:solidFill>
                <a:latin typeface="Tahoma" panose="020B0604030504040204" pitchFamily="34" charset="0"/>
                <a:ea typeface="Tahoma" panose="020B0604030504040204" pitchFamily="34" charset="0"/>
                <a:cs typeface="Tahoma" panose="020B0604030504040204" pitchFamily="34" charset="0"/>
              </a:rPr>
              <a:t>Let’s stop hating on each other for what we cannot easily change. </a:t>
            </a:r>
          </a:p>
        </xdr:txBody>
      </xdr:sp>
      <xdr:sp macro="" textlink="">
        <xdr:nvSpPr>
          <xdr:cNvPr id="2722" name="You believe whatever serves your needs.">
            <a:extLst>
              <a:ext uri="{FF2B5EF4-FFF2-40B4-BE49-F238E27FC236}">
                <a16:creationId xmlns:a16="http://schemas.microsoft.com/office/drawing/2014/main" id="{00000000-0008-0000-0200-0000A20A0000}"/>
              </a:ext>
            </a:extLst>
          </xdr:cNvPr>
          <xdr:cNvSpPr txBox="1">
            <a:spLocks/>
          </xdr:cNvSpPr>
        </xdr:nvSpPr>
        <xdr:spPr>
          <a:xfrm>
            <a:off x="1163222" y="61508640"/>
            <a:ext cx="3919105" cy="73151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400" b="1" spc="-3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Needs come first</a:t>
            </a:r>
            <a:r>
              <a:rPr lang="en-US" sz="1400" b="1"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You politically believe what serves your needs. And no one </a:t>
            </a:r>
            <a:r>
              <a:rPr lang="en-US" sz="1400" i="1"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chooses</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their needs. Your different needs </a:t>
            </a:r>
            <a:r>
              <a:rPr lang="en-US" sz="1400" b="1" i="1"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orient</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you to different views</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rPr>
              <a:t>. </a:t>
            </a:r>
          </a:p>
        </xdr:txBody>
      </xdr:sp>
      <xdr:sp macro="" textlink="">
        <xdr:nvSpPr>
          <xdr:cNvPr id="1551" name="You believe whatever serves your needs.">
            <a:extLst>
              <a:ext uri="{FF2B5EF4-FFF2-40B4-BE49-F238E27FC236}">
                <a16:creationId xmlns:a16="http://schemas.microsoft.com/office/drawing/2014/main" id="{00000000-0008-0000-0200-00000F060000}"/>
              </a:ext>
            </a:extLst>
          </xdr:cNvPr>
          <xdr:cNvSpPr txBox="1">
            <a:spLocks/>
          </xdr:cNvSpPr>
        </xdr:nvSpPr>
        <xdr:spPr>
          <a:xfrm>
            <a:off x="106680" y="68084700"/>
            <a:ext cx="5943600" cy="2743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800" b="1"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Over</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time, your </a:t>
            </a:r>
            <a:r>
              <a:rPr lang="en-US" sz="1800" b="1" spc="0" baseline="0">
                <a:ln>
                  <a:solidFill>
                    <a:srgbClr val="E1FFEB"/>
                  </a:solidFill>
                </a:ln>
                <a:solidFill>
                  <a:srgbClr val="00F587"/>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focus</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crystallizes in an </a:t>
            </a:r>
            <a:r>
              <a:rPr lang="en-US" sz="1800" b="1" spc="0" baseline="0">
                <a:ln>
                  <a:solidFill>
                    <a:schemeClr val="accent6">
                      <a:lumMod val="40000"/>
                      <a:lumOff val="60000"/>
                    </a:schemeClr>
                  </a:solidFill>
                </a:ln>
                <a:solidFill>
                  <a:srgbClr val="CC66FF"/>
                </a:solidFill>
                <a:effectLst>
                  <a:glow rad="25400">
                    <a:srgbClr val="281437"/>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orientation</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a:t>
            </a:r>
            <a:endParaRPr lang="en-US" sz="1800"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11</xdr:col>
      <xdr:colOff>60960</xdr:colOff>
      <xdr:row>204</xdr:row>
      <xdr:rowOff>53341</xdr:rowOff>
    </xdr:from>
    <xdr:to>
      <xdr:col>13</xdr:col>
      <xdr:colOff>53490</xdr:colOff>
      <xdr:row>207</xdr:row>
      <xdr:rowOff>60960</xdr:rowOff>
    </xdr:to>
    <xdr:sp macro="" textlink="">
      <xdr:nvSpPr>
        <xdr:cNvPr id="634" name="You believe whatever serves your needs.">
          <a:extLst>
            <a:ext uri="{FF2B5EF4-FFF2-40B4-BE49-F238E27FC236}">
              <a16:creationId xmlns:a16="http://schemas.microsoft.com/office/drawing/2014/main" id="{00000000-0008-0000-0200-00007A020000}"/>
            </a:ext>
          </a:extLst>
        </xdr:cNvPr>
        <xdr:cNvSpPr txBox="1">
          <a:spLocks/>
        </xdr:cNvSpPr>
      </xdr:nvSpPr>
      <xdr:spPr>
        <a:xfrm>
          <a:off x="5135880" y="35699701"/>
          <a:ext cx="983130" cy="76199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80000"/>
            </a:lnSpc>
            <a:buNone/>
          </a:pPr>
          <a:r>
            <a:rPr lang="en-US" sz="1100" b="1" spc="-50">
              <a:solidFill>
                <a:srgbClr val="007332"/>
              </a:solidFill>
              <a:latin typeface="Franklin Gothic Demi" panose="020B0703020102020204" pitchFamily="34" charset="0"/>
              <a:ea typeface="Tahoma" panose="020B0604030504040204" pitchFamily="34" charset="0"/>
              <a:cs typeface="Tahoma" panose="020B0604030504040204" pitchFamily="34" charset="0"/>
            </a:rPr>
            <a:t>I need to focus more on deeper relationships, traditional ways of community and the nation.</a:t>
          </a:r>
        </a:p>
      </xdr:txBody>
    </xdr:sp>
    <xdr:clientData/>
  </xdr:twoCellAnchor>
  <xdr:twoCellAnchor>
    <xdr:from>
      <xdr:col>1</xdr:col>
      <xdr:colOff>0</xdr:colOff>
      <xdr:row>290</xdr:row>
      <xdr:rowOff>91508</xdr:rowOff>
    </xdr:from>
    <xdr:to>
      <xdr:col>12</xdr:col>
      <xdr:colOff>443706</xdr:colOff>
      <xdr:row>316</xdr:row>
      <xdr:rowOff>91440</xdr:rowOff>
    </xdr:to>
    <xdr:grpSp>
      <xdr:nvGrpSpPr>
        <xdr:cNvPr id="31" name="Group 30">
          <a:extLst>
            <a:ext uri="{FF2B5EF4-FFF2-40B4-BE49-F238E27FC236}">
              <a16:creationId xmlns:a16="http://schemas.microsoft.com/office/drawing/2014/main" id="{00000000-0008-0000-0200-00001F000000}"/>
            </a:ext>
          </a:extLst>
        </xdr:cNvPr>
        <xdr:cNvGrpSpPr/>
      </xdr:nvGrpSpPr>
      <xdr:grpSpPr>
        <a:xfrm>
          <a:off x="114300" y="63002228"/>
          <a:ext cx="5975826" cy="4556692"/>
          <a:chOff x="99060" y="46093448"/>
          <a:chExt cx="5899957" cy="4556692"/>
        </a:xfrm>
      </xdr:grpSpPr>
      <xdr:sp macro="" textlink="">
        <xdr:nvSpPr>
          <xdr:cNvPr id="462" name="Government serves best when it serves least.">
            <a:extLst>
              <a:ext uri="{FF2B5EF4-FFF2-40B4-BE49-F238E27FC236}">
                <a16:creationId xmlns:a16="http://schemas.microsoft.com/office/drawing/2014/main" id="{00000000-0008-0000-0200-0000CE010000}"/>
              </a:ext>
            </a:extLst>
          </xdr:cNvPr>
          <xdr:cNvSpPr txBox="1">
            <a:spLocks/>
          </xdr:cNvSpPr>
        </xdr:nvSpPr>
        <xdr:spPr>
          <a:xfrm>
            <a:off x="3238500" y="46101000"/>
            <a:ext cx="2743200" cy="54864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3000" b="1">
                <a:solidFill>
                  <a:srgbClr val="FF3C3C"/>
                </a:solidFill>
                <a:effectLst>
                  <a:outerShdw blurRad="50800" dist="38100" dir="5400000" algn="t" rotWithShape="0">
                    <a:srgbClr val="C00000">
                      <a:alpha val="40000"/>
                    </a:srgbClr>
                  </a:outerShdw>
                </a:effectLst>
                <a:latin typeface="Franklin Gothic Demi" panose="020B0703020102020204" pitchFamily="34" charset="0"/>
                <a:ea typeface="Tahoma" panose="020B0604030504040204" pitchFamily="34" charset="0"/>
                <a:cs typeface="Tahoma" panose="020B0604030504040204" pitchFamily="34" charset="0"/>
              </a:rPr>
              <a:t>If DEEP focused</a:t>
            </a:r>
          </a:p>
        </xdr:txBody>
      </xdr:sp>
      <xdr:sp macro="" textlink="">
        <xdr:nvSpPr>
          <xdr:cNvPr id="463" name="Government exists as a force for good.">
            <a:extLst>
              <a:ext uri="{FF2B5EF4-FFF2-40B4-BE49-F238E27FC236}">
                <a16:creationId xmlns:a16="http://schemas.microsoft.com/office/drawing/2014/main" id="{00000000-0008-0000-0200-0000CF010000}"/>
              </a:ext>
            </a:extLst>
          </xdr:cNvPr>
          <xdr:cNvSpPr txBox="1">
            <a:spLocks/>
          </xdr:cNvSpPr>
        </xdr:nvSpPr>
        <xdr:spPr>
          <a:xfrm>
            <a:off x="99060" y="46093448"/>
            <a:ext cx="2743200" cy="54864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3000" b="1" spc="-50">
                <a:solidFill>
                  <a:srgbClr val="00B0F0"/>
                </a:solidFill>
                <a:effectLst>
                  <a:outerShdw blurRad="50800" dist="38100" dir="5400000" algn="t" rotWithShape="0">
                    <a:srgbClr val="0070C0">
                      <a:alpha val="40000"/>
                    </a:srgbClr>
                  </a:outerShdw>
                </a:effectLst>
                <a:latin typeface="Franklin Gothic Demi" panose="020B0703020102020204" pitchFamily="34" charset="0"/>
                <a:ea typeface="Tahoma" panose="020B0604030504040204" pitchFamily="34" charset="0"/>
                <a:cs typeface="Tahoma" panose="020B0604030504040204" pitchFamily="34" charset="0"/>
              </a:rPr>
              <a:t>If WIDE focused</a:t>
            </a:r>
          </a:p>
        </xdr:txBody>
      </xdr:sp>
      <xdr:sp macro="" textlink="">
        <xdr:nvSpPr>
          <xdr:cNvPr id="622" name="Or?">
            <a:extLst>
              <a:ext uri="{FF2B5EF4-FFF2-40B4-BE49-F238E27FC236}">
                <a16:creationId xmlns:a16="http://schemas.microsoft.com/office/drawing/2014/main" id="{00000000-0008-0000-0200-00006E020000}"/>
              </a:ext>
            </a:extLst>
          </xdr:cNvPr>
          <xdr:cNvSpPr txBox="1">
            <a:spLocks/>
          </xdr:cNvSpPr>
        </xdr:nvSpPr>
        <xdr:spPr>
          <a:xfrm>
            <a:off x="129540" y="47579280"/>
            <a:ext cx="2743200" cy="1143000"/>
          </a:xfrm>
          <a:prstGeom prst="rect">
            <a:avLst/>
          </a:prstGeom>
          <a:solidFill>
            <a:schemeClr val="accent5">
              <a:lumMod val="20000"/>
              <a:lumOff val="80000"/>
            </a:schemeClr>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500" spc="-4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On</a:t>
            </a:r>
            <a:r>
              <a:rPr lang="en-US" sz="15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the political Left, you see </a:t>
            </a:r>
            <a:r>
              <a:rPr lang="en-US" sz="2000" b="1" spc="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WIDE</a:t>
            </a:r>
            <a:r>
              <a:rPr lang="en-US" sz="2000" spc="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inclusiveness</a:t>
            </a:r>
          </a:p>
          <a:p>
            <a:pPr marL="0" indent="0" algn="ctr">
              <a:buNone/>
            </a:pPr>
            <a:r>
              <a:rPr lang="en-US" sz="15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for those who uniqueness left them historically out in the cold.</a:t>
            </a:r>
            <a:endParaRPr lang="en-US" sz="15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3" name="Or?">
            <a:extLst>
              <a:ext uri="{FF2B5EF4-FFF2-40B4-BE49-F238E27FC236}">
                <a16:creationId xmlns:a16="http://schemas.microsoft.com/office/drawing/2014/main" id="{00000000-0008-0000-0200-00006F020000}"/>
              </a:ext>
            </a:extLst>
          </xdr:cNvPr>
          <xdr:cNvSpPr txBox="1">
            <a:spLocks/>
          </xdr:cNvSpPr>
        </xdr:nvSpPr>
        <xdr:spPr>
          <a:xfrm>
            <a:off x="3223260" y="47586900"/>
            <a:ext cx="2743200" cy="1143000"/>
          </a:xfrm>
          <a:prstGeom prst="rect">
            <a:avLst/>
          </a:prstGeom>
          <a:solidFill>
            <a:srgbClr val="FFCCCC"/>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500" spc="-4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On</a:t>
            </a:r>
            <a:r>
              <a:rPr lang="en-US" sz="1500" spc="-4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the political Right, you see </a:t>
            </a:r>
            <a:r>
              <a:rPr lang="en-US" sz="2000" b="1" spc="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DEEP</a:t>
            </a:r>
            <a:r>
              <a:rPr lang="en-US" sz="2000" spc="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cohesiveness</a:t>
            </a:r>
          </a:p>
          <a:p>
            <a:pPr marL="0" indent="0" algn="ctr">
              <a:buNone/>
            </a:pPr>
            <a:r>
              <a:rPr lang="en-US" sz="1500" spc="-5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for those with a satisfying tradi-tional relationship with each other.</a:t>
            </a:r>
            <a:endParaRPr lang="en-US" sz="1500" spc="-50" baseline="0">
              <a:ln>
                <a:solidFill>
                  <a:srgbClr val="C00000"/>
                </a:solidFill>
              </a:ln>
              <a:solidFill>
                <a:srgbClr val="FF000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4" name="Or?">
            <a:extLst>
              <a:ext uri="{FF2B5EF4-FFF2-40B4-BE49-F238E27FC236}">
                <a16:creationId xmlns:a16="http://schemas.microsoft.com/office/drawing/2014/main" id="{00000000-0008-0000-0200-000070020000}"/>
              </a:ext>
            </a:extLst>
          </xdr:cNvPr>
          <xdr:cNvSpPr txBox="1">
            <a:spLocks/>
          </xdr:cNvSpPr>
        </xdr:nvSpPr>
        <xdr:spPr>
          <a:xfrm>
            <a:off x="3215640" y="49141380"/>
            <a:ext cx="2743200" cy="335280"/>
          </a:xfrm>
          <a:prstGeom prst="rect">
            <a:avLst/>
          </a:prstGeom>
          <a:solidFill>
            <a:schemeClr val="accent5">
              <a:lumMod val="20000"/>
              <a:lumOff val="80000"/>
            </a:schemeClr>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40">
                <a:ln>
                  <a:solidFill>
                    <a:srgbClr val="00B050"/>
                  </a:solidFill>
                </a:ln>
                <a:solidFill>
                  <a:srgbClr val="00B05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4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400" i="1"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than</a:t>
            </a:r>
            <a:r>
              <a:rPr lang="en-US" sz="14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spc="-40">
                <a:ln>
                  <a:solidFill>
                    <a:srgbClr val="A05FCD"/>
                  </a:solidFill>
                </a:ln>
                <a:solidFill>
                  <a:srgbClr val="A05FCD"/>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4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400" spc="-4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5" name="Or?">
            <a:extLst>
              <a:ext uri="{FF2B5EF4-FFF2-40B4-BE49-F238E27FC236}">
                <a16:creationId xmlns:a16="http://schemas.microsoft.com/office/drawing/2014/main" id="{00000000-0008-0000-0200-000071020000}"/>
              </a:ext>
            </a:extLst>
          </xdr:cNvPr>
          <xdr:cNvSpPr txBox="1">
            <a:spLocks/>
          </xdr:cNvSpPr>
        </xdr:nvSpPr>
        <xdr:spPr>
          <a:xfrm>
            <a:off x="129540" y="49133760"/>
            <a:ext cx="2743200" cy="335280"/>
          </a:xfrm>
          <a:prstGeom prst="rect">
            <a:avLst/>
          </a:prstGeom>
          <a:solidFill>
            <a:srgbClr val="FFCCCC"/>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40">
                <a:ln>
                  <a:solidFill>
                    <a:srgbClr val="A05FCD"/>
                  </a:solidFill>
                </a:ln>
                <a:solidFill>
                  <a:srgbClr val="A05FCD"/>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4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400" i="1"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than</a:t>
            </a:r>
            <a:r>
              <a:rPr lang="en-US" sz="1400" i="1"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spc="-40" baseline="0">
                <a:ln>
                  <a:solidFill>
                    <a:srgbClr val="00B050"/>
                  </a:solidFill>
                </a:ln>
                <a:solidFill>
                  <a:srgbClr val="00B05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5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500" spc="-40">
              <a:ln>
                <a:solidFill>
                  <a:srgbClr val="FF0000"/>
                </a:solidFill>
              </a:ln>
              <a:solidFill>
                <a:srgbClr val="FF000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6" name="Or?">
            <a:extLst>
              <a:ext uri="{FF2B5EF4-FFF2-40B4-BE49-F238E27FC236}">
                <a16:creationId xmlns:a16="http://schemas.microsoft.com/office/drawing/2014/main" id="{00000000-0008-0000-0200-000072020000}"/>
              </a:ext>
            </a:extLst>
          </xdr:cNvPr>
          <xdr:cNvSpPr txBox="1">
            <a:spLocks/>
          </xdr:cNvSpPr>
        </xdr:nvSpPr>
        <xdr:spPr>
          <a:xfrm>
            <a:off x="160018" y="48768000"/>
            <a:ext cx="5779708" cy="36576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6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You experience</a:t>
            </a:r>
            <a:r>
              <a:rPr lang="en-US" sz="1400" spc="-60" baseline="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your </a:t>
            </a:r>
            <a:r>
              <a:rPr lang="en-US" sz="1400" b="1" spc="-60" baseline="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psychosocial needs</a:t>
            </a:r>
            <a:r>
              <a:rPr lang="en-US" sz="1400" b="0" spc="-60" baseline="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quite differently from one another.</a:t>
            </a:r>
            <a:endParaRPr lang="en-US" sz="1400" spc="-6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7" name="Or?">
            <a:extLst>
              <a:ext uri="{FF2B5EF4-FFF2-40B4-BE49-F238E27FC236}">
                <a16:creationId xmlns:a16="http://schemas.microsoft.com/office/drawing/2014/main" id="{00000000-0008-0000-0200-000073020000}"/>
              </a:ext>
            </a:extLst>
          </xdr:cNvPr>
          <xdr:cNvSpPr txBox="1">
            <a:spLocks/>
          </xdr:cNvSpPr>
        </xdr:nvSpPr>
        <xdr:spPr>
          <a:xfrm>
            <a:off x="190500" y="49545240"/>
            <a:ext cx="5745480" cy="11049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600" b="1" spc="-4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And that's what forms the basis for political differences.</a:t>
            </a:r>
            <a:r>
              <a:rPr lang="en-US" sz="1600" b="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Not rationally chosen differences. But stubborn needs. </a:t>
            </a:r>
            <a:r>
              <a:rPr lang="en-US" sz="1600" b="1" spc="-7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Your needs exist first, then prioritize you if left unresolved</a:t>
            </a:r>
            <a:r>
              <a:rPr lang="en-US" sz="1600" b="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Political reasoning emerges </a:t>
            </a:r>
            <a:r>
              <a:rPr lang="en-US" sz="1600" b="1" i="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afterwards</a:t>
            </a:r>
            <a:r>
              <a:rPr lang="en-US" sz="1600" b="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for their relief.</a:t>
            </a:r>
            <a:endParaRPr lang="en-US" sz="1600" b="1" spc="-40">
              <a:ln>
                <a:solidFill>
                  <a:srgbClr val="FFD9FF"/>
                </a:solidFill>
              </a:ln>
              <a:solidFill>
                <a:srgbClr val="2D143C"/>
              </a:solidFill>
              <a:latin typeface="Tahoma" panose="020B0604030504040204" pitchFamily="34" charset="0"/>
              <a:ea typeface="Tahoma" panose="020B0604030504040204" pitchFamily="34" charset="0"/>
              <a:cs typeface="Tahoma" panose="020B0604030504040204" pitchFamily="34" charset="0"/>
            </a:endParaRPr>
          </a:p>
        </xdr:txBody>
      </xdr:sp>
      <xdr:grpSp>
        <xdr:nvGrpSpPr>
          <xdr:cNvPr id="24" name="Group 23">
            <a:extLst>
              <a:ext uri="{FF2B5EF4-FFF2-40B4-BE49-F238E27FC236}">
                <a16:creationId xmlns:a16="http://schemas.microsoft.com/office/drawing/2014/main" id="{00000000-0008-0000-0200-000018000000}"/>
              </a:ext>
            </a:extLst>
          </xdr:cNvPr>
          <xdr:cNvGrpSpPr/>
        </xdr:nvGrpSpPr>
        <xdr:grpSpPr>
          <a:xfrm>
            <a:off x="129540" y="46649640"/>
            <a:ext cx="5869477" cy="906780"/>
            <a:chOff x="220980" y="38336220"/>
            <a:chExt cx="5869477" cy="906780"/>
          </a:xfrm>
        </xdr:grpSpPr>
        <xdr:sp macro="" textlink="">
          <xdr:nvSpPr>
            <xdr:cNvPr id="1014" name="You believe whatever serves your needs.">
              <a:extLst>
                <a:ext uri="{FF2B5EF4-FFF2-40B4-BE49-F238E27FC236}">
                  <a16:creationId xmlns:a16="http://schemas.microsoft.com/office/drawing/2014/main" id="{00000000-0008-0000-0200-0000F6030000}"/>
                </a:ext>
              </a:extLst>
            </xdr:cNvPr>
            <xdr:cNvSpPr txBox="1">
              <a:spLocks/>
            </xdr:cNvSpPr>
          </xdr:nvSpPr>
          <xdr:spPr>
            <a:xfrm>
              <a:off x="1379221" y="38732461"/>
              <a:ext cx="1280159" cy="510539"/>
            </a:xfrm>
            <a:prstGeom prst="rect">
              <a:avLst/>
            </a:prstGeom>
            <a:gradFill flip="none" rotWithShape="1">
              <a:gsLst>
                <a:gs pos="75000">
                  <a:srgbClr val="F0CDFF"/>
                </a:gs>
                <a:gs pos="0">
                  <a:schemeClr val="accent5">
                    <a:lumMod val="20000"/>
                    <a:lumOff val="80000"/>
                  </a:schemeClr>
                </a:gs>
              </a:gsLst>
              <a:lin ang="0" scaled="1"/>
              <a:tileRect/>
            </a:gradFill>
          </xdr:spPr>
          <xdr:txBody>
            <a:bodyPr vert="horz" wrap="square" lIns="9144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endPar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1015" name="You believe whatever serves your needs.">
              <a:extLst>
                <a:ext uri="{FF2B5EF4-FFF2-40B4-BE49-F238E27FC236}">
                  <a16:creationId xmlns:a16="http://schemas.microsoft.com/office/drawing/2014/main" id="{00000000-0008-0000-0200-0000F7030000}"/>
                </a:ext>
              </a:extLst>
            </xdr:cNvPr>
            <xdr:cNvSpPr txBox="1">
              <a:spLocks/>
            </xdr:cNvSpPr>
          </xdr:nvSpPr>
          <xdr:spPr>
            <a:xfrm>
              <a:off x="3566161" y="38732461"/>
              <a:ext cx="1280159" cy="510539"/>
            </a:xfrm>
            <a:prstGeom prst="rect">
              <a:avLst/>
            </a:prstGeom>
            <a:gradFill flip="none" rotWithShape="1">
              <a:gsLst>
                <a:gs pos="25000">
                  <a:srgbClr val="F0CDFF"/>
                </a:gs>
                <a:gs pos="100000">
                  <a:srgbClr val="FFCCCC"/>
                </a:gs>
              </a:gsLst>
              <a:lin ang="0" scaled="1"/>
              <a:tileRect/>
            </a:gradFill>
          </xdr:spPr>
          <xdr:txBody>
            <a:bodyPr vert="horz" wrap="square" lIns="9144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endPar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3" name="You believe whatever serves your needs.">
              <a:extLst>
                <a:ext uri="{FF2B5EF4-FFF2-40B4-BE49-F238E27FC236}">
                  <a16:creationId xmlns:a16="http://schemas.microsoft.com/office/drawing/2014/main" id="{00000000-0008-0000-0200-000041030000}"/>
                </a:ext>
              </a:extLst>
            </xdr:cNvPr>
            <xdr:cNvSpPr txBox="1">
              <a:spLocks/>
            </xdr:cNvSpPr>
          </xdr:nvSpPr>
          <xdr:spPr>
            <a:xfrm>
              <a:off x="220981" y="38732461"/>
              <a:ext cx="1305096" cy="510539"/>
            </a:xfrm>
            <a:prstGeom prst="rect">
              <a:avLst/>
            </a:prstGeom>
            <a:solidFill>
              <a:schemeClr val="accent5">
                <a:lumMod val="20000"/>
                <a:lumOff val="80000"/>
              </a:schemeClr>
            </a:solidFill>
          </xdr:spPr>
          <xdr:txBody>
            <a:bodyPr vert="horz" wrap="square" lIns="9144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100" b="0" spc="-50">
                  <a:solidFill>
                    <a:srgbClr val="0070C0"/>
                  </a:solidFill>
                  <a:latin typeface="Arial" panose="020B0604020202020204" pitchFamily="34" charset="0"/>
                  <a:ea typeface="Tahoma" panose="020B0604030504040204" pitchFamily="34" charset="0"/>
                  <a:cs typeface="Arial" panose="020B0604020202020204" pitchFamily="34" charset="0"/>
                </a:rPr>
                <a:t>You</a:t>
              </a:r>
              <a:r>
                <a:rPr lang="en-US" sz="1100" b="0" spc="-50" baseline="0">
                  <a:solidFill>
                    <a:srgbClr val="0070C0"/>
                  </a:solidFill>
                  <a:latin typeface="Arial" panose="020B0604020202020204" pitchFamily="34" charset="0"/>
                  <a:ea typeface="Tahoma" panose="020B0604030504040204" pitchFamily="34" charset="0"/>
                  <a:cs typeface="Arial" panose="020B0604020202020204" pitchFamily="34" charset="0"/>
                </a:rPr>
                <a:t> s</a:t>
              </a:r>
              <a:r>
                <a:rPr lang="en-US" sz="1100" b="0" spc="-50">
                  <a:solidFill>
                    <a:srgbClr val="0070C0"/>
                  </a:solidFill>
                  <a:latin typeface="Arial" panose="020B0604020202020204" pitchFamily="34" charset="0"/>
                  <a:ea typeface="Tahoma" panose="020B0604030504040204" pitchFamily="34" charset="0"/>
                  <a:cs typeface="Arial" panose="020B0604020202020204" pitchFamily="34" charset="0"/>
                </a:rPr>
                <a:t>eek</a:t>
              </a:r>
              <a:r>
                <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rPr>
                <a:t> inclusion</a:t>
              </a:r>
              <a:r>
                <a:rPr lang="en-US" sz="1100" b="0" spc="-50">
                  <a:solidFill>
                    <a:srgbClr val="0070C0"/>
                  </a:solidFill>
                  <a:latin typeface="Arial" panose="020B0604020202020204" pitchFamily="34" charset="0"/>
                  <a:ea typeface="Tahoma" panose="020B0604030504040204" pitchFamily="34" charset="0"/>
                  <a:cs typeface="Arial" panose="020B0604020202020204" pitchFamily="34" charset="0"/>
                </a:rPr>
                <a:t>:</a:t>
              </a:r>
              <a:r>
                <a:rPr lang="en-US" sz="1100" b="0" spc="-50" baseline="0">
                  <a:solidFill>
                    <a:srgbClr val="0070C0"/>
                  </a:solidFill>
                  <a:latin typeface="Arial" panose="020B0604020202020204" pitchFamily="34" charset="0"/>
                  <a:ea typeface="Tahoma" panose="020B0604030504040204" pitchFamily="34" charset="0"/>
                  <a:cs typeface="Arial" panose="020B0604020202020204" pitchFamily="34" charset="0"/>
                </a:rPr>
                <a:t> to ease less resolved social needs</a:t>
              </a:r>
              <a:endPar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5" name="You believe whatever serves your needs.">
              <a:extLst>
                <a:ext uri="{FF2B5EF4-FFF2-40B4-BE49-F238E27FC236}">
                  <a16:creationId xmlns:a16="http://schemas.microsoft.com/office/drawing/2014/main" id="{00000000-0008-0000-0200-000043030000}"/>
                </a:ext>
              </a:extLst>
            </xdr:cNvPr>
            <xdr:cNvSpPr txBox="1">
              <a:spLocks/>
            </xdr:cNvSpPr>
          </xdr:nvSpPr>
          <xdr:spPr>
            <a:xfrm>
              <a:off x="4785361" y="38732461"/>
              <a:ext cx="1305096" cy="510539"/>
            </a:xfrm>
            <a:prstGeom prst="rect">
              <a:avLst/>
            </a:prstGeom>
            <a:solidFill>
              <a:srgbClr val="FFCCCC"/>
            </a:solidFill>
          </xdr:spPr>
          <xdr:txBody>
            <a:bodyPr vert="horz" wrap="square" lIns="0" tIns="45720" rIns="9144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100" b="0" spc="-50">
                  <a:solidFill>
                    <a:srgbClr val="C00000"/>
                  </a:solidFill>
                  <a:latin typeface="Arial" panose="020B0604020202020204" pitchFamily="34" charset="0"/>
                  <a:ea typeface="Tahoma" panose="020B0604030504040204" pitchFamily="34" charset="0"/>
                  <a:cs typeface="Arial" panose="020B0604020202020204" pitchFamily="34" charset="0"/>
                </a:rPr>
                <a:t>You</a:t>
              </a:r>
              <a:r>
                <a:rPr lang="en-US" sz="1100" b="0" spc="-50" baseline="0">
                  <a:solidFill>
                    <a:srgbClr val="C00000"/>
                  </a:solidFill>
                  <a:latin typeface="Arial" panose="020B0604020202020204" pitchFamily="34" charset="0"/>
                  <a:ea typeface="Tahoma" panose="020B0604030504040204" pitchFamily="34" charset="0"/>
                  <a:cs typeface="Arial" panose="020B0604020202020204" pitchFamily="34" charset="0"/>
                </a:rPr>
                <a:t> s</a:t>
              </a:r>
              <a:r>
                <a:rPr lang="en-US" sz="1100" b="0" spc="-50">
                  <a:solidFill>
                    <a:srgbClr val="C00000"/>
                  </a:solidFill>
                  <a:latin typeface="Arial" panose="020B0604020202020204" pitchFamily="34" charset="0"/>
                  <a:ea typeface="Tahoma" panose="020B0604030504040204" pitchFamily="34" charset="0"/>
                  <a:cs typeface="Arial" panose="020B0604020202020204" pitchFamily="34" charset="0"/>
                </a:rPr>
                <a:t>eek</a:t>
              </a:r>
              <a:r>
                <a:rPr lang="en-US" sz="1100" b="1" spc="-50">
                  <a:solidFill>
                    <a:srgbClr val="C00000"/>
                  </a:solidFill>
                  <a:latin typeface="Arial" panose="020B0604020202020204" pitchFamily="34" charset="0"/>
                  <a:ea typeface="Tahoma" panose="020B0604030504040204" pitchFamily="34" charset="0"/>
                  <a:cs typeface="Arial" panose="020B0604020202020204" pitchFamily="34" charset="0"/>
                </a:rPr>
                <a:t> freedom</a:t>
              </a:r>
              <a:r>
                <a:rPr lang="en-US" sz="1100" b="0" spc="-50">
                  <a:solidFill>
                    <a:srgbClr val="C00000"/>
                  </a:solidFill>
                  <a:latin typeface="Arial" panose="020B0604020202020204" pitchFamily="34" charset="0"/>
                  <a:ea typeface="Tahoma" panose="020B0604030504040204" pitchFamily="34" charset="0"/>
                  <a:cs typeface="Arial" panose="020B0604020202020204" pitchFamily="34" charset="0"/>
                </a:rPr>
                <a:t>:</a:t>
              </a:r>
              <a:r>
                <a:rPr lang="en-US" sz="1100" b="0" spc="-50" baseline="0">
                  <a:solidFill>
                    <a:srgbClr val="C00000"/>
                  </a:solidFill>
                  <a:latin typeface="Arial" panose="020B0604020202020204" pitchFamily="34" charset="0"/>
                  <a:ea typeface="Tahoma" panose="020B0604030504040204" pitchFamily="34" charset="0"/>
                  <a:cs typeface="Arial" panose="020B0604020202020204" pitchFamily="34" charset="0"/>
                </a:rPr>
                <a:t> to ease less resolved personal needs</a:t>
              </a:r>
              <a:endParaRPr lang="en-US" sz="1100" b="1" spc="-50">
                <a:solidFill>
                  <a:srgbClr val="C0000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6" name="You believe whatever serves your needs.">
              <a:extLst>
                <a:ext uri="{FF2B5EF4-FFF2-40B4-BE49-F238E27FC236}">
                  <a16:creationId xmlns:a16="http://schemas.microsoft.com/office/drawing/2014/main" id="{00000000-0008-0000-0200-000044030000}"/>
                </a:ext>
              </a:extLst>
            </xdr:cNvPr>
            <xdr:cNvSpPr txBox="1">
              <a:spLocks/>
            </xdr:cNvSpPr>
          </xdr:nvSpPr>
          <xdr:spPr>
            <a:xfrm>
              <a:off x="2506981" y="38724841"/>
              <a:ext cx="1280159" cy="510539"/>
            </a:xfrm>
            <a:prstGeom prst="rect">
              <a:avLst/>
            </a:prstGeom>
            <a:solidFill>
              <a:srgbClr val="F0CDFF"/>
            </a:solidFill>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80000"/>
                </a:lnSpc>
                <a:buNone/>
              </a:pPr>
              <a:r>
                <a:rPr lang="en-US" sz="1100" b="0" spc="-50">
                  <a:solidFill>
                    <a:srgbClr val="4B1E64"/>
                  </a:solidFill>
                  <a:latin typeface="Arial" panose="020B0604020202020204" pitchFamily="34" charset="0"/>
                  <a:ea typeface="Tahoma" panose="020B0604030504040204" pitchFamily="34" charset="0"/>
                  <a:cs typeface="Arial" panose="020B0604020202020204" pitchFamily="34" charset="0"/>
                </a:rPr>
                <a:t>You may seek</a:t>
              </a:r>
              <a:r>
                <a:rPr lang="en-US" sz="1100" b="1" spc="-50">
                  <a:solidFill>
                    <a:srgbClr val="4B1E64"/>
                  </a:solidFill>
                  <a:latin typeface="Arial" panose="020B0604020202020204" pitchFamily="34" charset="0"/>
                  <a:ea typeface="Tahoma" panose="020B0604030504040204" pitchFamily="34" charset="0"/>
                  <a:cs typeface="Arial" panose="020B0604020202020204" pitchFamily="34" charset="0"/>
                </a:rPr>
                <a:t> both</a:t>
              </a:r>
              <a:r>
                <a:rPr lang="en-US" sz="1100" b="0" spc="-50">
                  <a:solidFill>
                    <a:srgbClr val="4B1E64"/>
                  </a:solidFill>
                  <a:latin typeface="Arial" panose="020B0604020202020204" pitchFamily="34" charset="0"/>
                  <a:ea typeface="Tahoma" panose="020B0604030504040204" pitchFamily="34" charset="0"/>
                  <a:cs typeface="Arial" panose="020B0604020202020204" pitchFamily="34" charset="0"/>
                </a:rPr>
                <a:t>:</a:t>
              </a:r>
              <a:r>
                <a:rPr lang="en-US" sz="1100" b="0" spc="-50" baseline="0">
                  <a:solidFill>
                    <a:srgbClr val="4B1E64"/>
                  </a:solidFill>
                  <a:latin typeface="Arial" panose="020B0604020202020204" pitchFamily="34" charset="0"/>
                  <a:ea typeface="Tahoma" panose="020B0604030504040204" pitchFamily="34" charset="0"/>
                  <a:cs typeface="Arial" panose="020B0604020202020204" pitchFamily="34" charset="0"/>
                </a:rPr>
                <a:t> </a:t>
              </a:r>
            </a:p>
            <a:p>
              <a:pPr marL="0" indent="0" algn="ctr">
                <a:lnSpc>
                  <a:spcPct val="80000"/>
                </a:lnSpc>
                <a:buNone/>
              </a:pPr>
              <a:r>
                <a:rPr lang="en-US" sz="1100" b="0" spc="-50" baseline="0">
                  <a:solidFill>
                    <a:srgbClr val="4B1E64"/>
                  </a:solidFill>
                  <a:latin typeface="Arial" panose="020B0604020202020204" pitchFamily="34" charset="0"/>
                  <a:ea typeface="Tahoma" panose="020B0604030504040204" pitchFamily="34" charset="0"/>
                  <a:cs typeface="Arial" panose="020B0604020202020204" pitchFamily="34" charset="0"/>
                </a:rPr>
                <a:t>personal &amp; social needs equally</a:t>
              </a:r>
              <a:endParaRPr lang="en-US" sz="1100" b="1" spc="-50">
                <a:solidFill>
                  <a:srgbClr val="4B1E64"/>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7" name="You believe whatever serves your needs.">
              <a:extLst>
                <a:ext uri="{FF2B5EF4-FFF2-40B4-BE49-F238E27FC236}">
                  <a16:creationId xmlns:a16="http://schemas.microsoft.com/office/drawing/2014/main" id="{00000000-0008-0000-0200-000045030000}"/>
                </a:ext>
              </a:extLst>
            </xdr:cNvPr>
            <xdr:cNvSpPr txBox="1">
              <a:spLocks/>
            </xdr:cNvSpPr>
          </xdr:nvSpPr>
          <xdr:spPr>
            <a:xfrm>
              <a:off x="220980" y="38336220"/>
              <a:ext cx="2743200" cy="365760"/>
            </a:xfrm>
            <a:prstGeom prst="rect">
              <a:avLst/>
            </a:prstGeom>
            <a:solidFill>
              <a:srgbClr val="002060"/>
            </a:solidFill>
          </xdr:spPr>
          <xdr:txBody>
            <a:bodyPr vert="horz" wrap="square" lIns="45720" tIns="45720" rIns="4572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200" b="0"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you</a:t>
              </a:r>
              <a:r>
                <a:rPr lang="en-US" sz="1200" b="0"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a:t>
              </a:r>
              <a:r>
                <a:rPr lang="en-US" sz="1200" b="1"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f</a:t>
              </a:r>
              <a:r>
                <a:rPr lang="en-US" sz="1200" b="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ocus</a:t>
              </a:r>
              <a:r>
                <a:rPr lang="en-US" sz="1200" b="0"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more on</a:t>
              </a:r>
              <a:r>
                <a:rPr lang="en-US" sz="1200" b="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a:t>
              </a:r>
              <a:r>
                <a:rPr lang="en-US" sz="1200" b="0" i="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social equality </a:t>
              </a:r>
              <a:r>
                <a:rPr lang="en-US" sz="1200" b="0" i="0"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than</a:t>
              </a:r>
              <a:r>
                <a:rPr lang="en-US" sz="1200" b="0" i="0"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on </a:t>
              </a:r>
              <a:r>
                <a:rPr lang="en-US" sz="1200" b="0" i="1"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individual freedoms</a:t>
              </a:r>
              <a:endParaRPr lang="en-US" sz="1200" b="1" i="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8" name="You believe whatever serves your needs.">
              <a:extLst>
                <a:ext uri="{FF2B5EF4-FFF2-40B4-BE49-F238E27FC236}">
                  <a16:creationId xmlns:a16="http://schemas.microsoft.com/office/drawing/2014/main" id="{00000000-0008-0000-0200-000046030000}"/>
                </a:ext>
              </a:extLst>
            </xdr:cNvPr>
            <xdr:cNvSpPr txBox="1">
              <a:spLocks/>
            </xdr:cNvSpPr>
          </xdr:nvSpPr>
          <xdr:spPr>
            <a:xfrm>
              <a:off x="3329941" y="38336220"/>
              <a:ext cx="2743200" cy="365760"/>
            </a:xfrm>
            <a:prstGeom prst="rect">
              <a:avLst/>
            </a:prstGeom>
            <a:solidFill>
              <a:srgbClr val="C00000"/>
            </a:solidFill>
          </xdr:spPr>
          <xdr:txBody>
            <a:bodyPr vert="horz" wrap="square" lIns="45720" tIns="45720" rIns="4572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200" b="0" spc="-70">
                  <a:solidFill>
                    <a:srgbClr val="FFCCCC"/>
                  </a:solidFill>
                  <a:latin typeface="Arial" panose="020B0604020202020204" pitchFamily="34" charset="0"/>
                  <a:ea typeface="Tahoma" panose="020B0604030504040204" pitchFamily="34" charset="0"/>
                  <a:cs typeface="Arial" panose="020B0604020202020204" pitchFamily="34" charset="0"/>
                </a:rPr>
                <a:t>you</a:t>
              </a:r>
              <a:r>
                <a:rPr lang="en-US" sz="1200" b="0" spc="-70" baseline="0">
                  <a:solidFill>
                    <a:srgbClr val="FFCCCC"/>
                  </a:solidFill>
                  <a:latin typeface="Arial" panose="020B0604020202020204" pitchFamily="34" charset="0"/>
                  <a:ea typeface="Tahoma" panose="020B0604030504040204" pitchFamily="34" charset="0"/>
                  <a:cs typeface="Arial" panose="020B0604020202020204" pitchFamily="34" charset="0"/>
                </a:rPr>
                <a:t> </a:t>
              </a:r>
              <a:r>
                <a:rPr lang="en-US" sz="1200" b="1" spc="-70" baseline="0">
                  <a:solidFill>
                    <a:srgbClr val="FFCCCC"/>
                  </a:solidFill>
                  <a:latin typeface="Arial" panose="020B0604020202020204" pitchFamily="34" charset="0"/>
                  <a:ea typeface="Tahoma" panose="020B0604030504040204" pitchFamily="34" charset="0"/>
                  <a:cs typeface="Arial" panose="020B0604020202020204" pitchFamily="34" charset="0"/>
                </a:rPr>
                <a:t>f</a:t>
              </a:r>
              <a:r>
                <a:rPr lang="en-US" sz="1200" b="1" spc="-70">
                  <a:solidFill>
                    <a:srgbClr val="FFCCCC"/>
                  </a:solidFill>
                  <a:latin typeface="Arial" panose="020B0604020202020204" pitchFamily="34" charset="0"/>
                  <a:ea typeface="Tahoma" panose="020B0604030504040204" pitchFamily="34" charset="0"/>
                  <a:cs typeface="Arial" panose="020B0604020202020204" pitchFamily="34" charset="0"/>
                </a:rPr>
                <a:t>ocus</a:t>
              </a:r>
              <a:r>
                <a:rPr lang="en-US" sz="1200" b="0" spc="-70">
                  <a:solidFill>
                    <a:srgbClr val="FFCCCC"/>
                  </a:solidFill>
                  <a:latin typeface="Arial" panose="020B0604020202020204" pitchFamily="34" charset="0"/>
                  <a:ea typeface="Tahoma" panose="020B0604030504040204" pitchFamily="34" charset="0"/>
                  <a:cs typeface="Arial" panose="020B0604020202020204" pitchFamily="34" charset="0"/>
                </a:rPr>
                <a:t> more on </a:t>
              </a:r>
              <a:r>
                <a:rPr lang="en-US" sz="1200" b="0" i="1" spc="-70">
                  <a:solidFill>
                    <a:srgbClr val="FFCCCC"/>
                  </a:solidFill>
                  <a:latin typeface="Arial" panose="020B0604020202020204" pitchFamily="34" charset="0"/>
                  <a:ea typeface="Tahoma" panose="020B0604030504040204" pitchFamily="34" charset="0"/>
                  <a:cs typeface="Arial" panose="020B0604020202020204" pitchFamily="34" charset="0"/>
                </a:rPr>
                <a:t>individual freedoms</a:t>
              </a:r>
              <a:r>
                <a:rPr lang="en-US" sz="1200" b="0" i="1" spc="-70" baseline="0">
                  <a:solidFill>
                    <a:srgbClr val="FFCCCC"/>
                  </a:solidFill>
                  <a:latin typeface="Arial" panose="020B0604020202020204" pitchFamily="34" charset="0"/>
                  <a:ea typeface="Tahoma" panose="020B0604030504040204" pitchFamily="34" charset="0"/>
                  <a:cs typeface="Arial" panose="020B0604020202020204" pitchFamily="34" charset="0"/>
                </a:rPr>
                <a:t> </a:t>
              </a:r>
              <a:r>
                <a:rPr lang="en-US" sz="1200" b="0" i="0" spc="-70" baseline="0">
                  <a:solidFill>
                    <a:srgbClr val="FFCCCC"/>
                  </a:solidFill>
                  <a:latin typeface="Arial" panose="020B0604020202020204" pitchFamily="34" charset="0"/>
                  <a:ea typeface="Tahoma" panose="020B0604030504040204" pitchFamily="34" charset="0"/>
                  <a:cs typeface="Arial" panose="020B0604020202020204" pitchFamily="34" charset="0"/>
                </a:rPr>
                <a:t>than </a:t>
              </a:r>
              <a:r>
                <a:rPr lang="en-US" sz="1200" b="0" i="0" spc="-50" baseline="0">
                  <a:solidFill>
                    <a:srgbClr val="FFCCCC"/>
                  </a:solidFill>
                  <a:latin typeface="Arial" panose="020B0604020202020204" pitchFamily="34" charset="0"/>
                  <a:ea typeface="Tahoma" panose="020B0604030504040204" pitchFamily="34" charset="0"/>
                  <a:cs typeface="Arial" panose="020B0604020202020204" pitchFamily="34" charset="0"/>
                </a:rPr>
                <a:t>on </a:t>
              </a:r>
              <a:r>
                <a:rPr lang="en-US" sz="1200" b="0" i="1" spc="-50" baseline="0">
                  <a:solidFill>
                    <a:srgbClr val="FFCCCC"/>
                  </a:solidFill>
                  <a:latin typeface="Arial" panose="020B0604020202020204" pitchFamily="34" charset="0"/>
                  <a:ea typeface="Tahoma" panose="020B0604030504040204" pitchFamily="34" charset="0"/>
                  <a:cs typeface="Arial" panose="020B0604020202020204" pitchFamily="34" charset="0"/>
                </a:rPr>
                <a:t>social equality</a:t>
              </a:r>
              <a:endParaRPr lang="en-US" sz="1200" b="1" spc="-50">
                <a:solidFill>
                  <a:srgbClr val="FFCCCC"/>
                </a:solidFill>
                <a:latin typeface="Arial" panose="020B0604020202020204" pitchFamily="34" charset="0"/>
                <a:ea typeface="Tahoma" panose="020B0604030504040204" pitchFamily="34" charset="0"/>
                <a:cs typeface="Arial" panose="020B0604020202020204" pitchFamily="34" charset="0"/>
              </a:endParaRPr>
            </a:p>
          </xdr:txBody>
        </xdr:sp>
      </xdr:grpSp>
      <xdr:sp macro="" textlink="">
        <xdr:nvSpPr>
          <xdr:cNvPr id="1585" name="Or?">
            <a:extLst>
              <a:ext uri="{FF2B5EF4-FFF2-40B4-BE49-F238E27FC236}">
                <a16:creationId xmlns:a16="http://schemas.microsoft.com/office/drawing/2014/main" id="{00000000-0008-0000-0200-000031060000}"/>
              </a:ext>
            </a:extLst>
          </xdr:cNvPr>
          <xdr:cNvSpPr txBox="1">
            <a:spLocks/>
          </xdr:cNvSpPr>
        </xdr:nvSpPr>
        <xdr:spPr>
          <a:xfrm>
            <a:off x="2903220" y="49118520"/>
            <a:ext cx="320040" cy="36576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40">
                <a:ln>
                  <a:solidFill>
                    <a:srgbClr val="E600E6"/>
                  </a:solidFill>
                </a:ln>
                <a:solidFill>
                  <a:srgbClr val="FF3CFF"/>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or</a:t>
            </a:r>
            <a:endParaRPr lang="en-US" sz="1400" spc="-40">
              <a:ln>
                <a:solidFill>
                  <a:srgbClr val="FFD9FF"/>
                </a:solidFill>
              </a:ln>
              <a:solidFill>
                <a:srgbClr val="C304C8"/>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355</xdr:row>
      <xdr:rowOff>85725</xdr:rowOff>
    </xdr:from>
    <xdr:to>
      <xdr:col>7</xdr:col>
      <xdr:colOff>0</xdr:colOff>
      <xdr:row>363</xdr:row>
      <xdr:rowOff>55245</xdr:rowOff>
    </xdr:to>
    <xdr:sp macro="" textlink="">
      <xdr:nvSpPr>
        <xdr:cNvPr id="858" name="WIDE">
          <a:extLst>
            <a:ext uri="{FF2B5EF4-FFF2-40B4-BE49-F238E27FC236}">
              <a16:creationId xmlns:a16="http://schemas.microsoft.com/office/drawing/2014/main" id="{00000000-0008-0000-0200-00005A030000}"/>
            </a:ext>
          </a:extLst>
        </xdr:cNvPr>
        <xdr:cNvSpPr txBox="1"/>
      </xdr:nvSpPr>
      <xdr:spPr>
        <a:xfrm>
          <a:off x="121920" y="66006345"/>
          <a:ext cx="2971800" cy="1371600"/>
        </a:xfrm>
        <a:prstGeom prst="rect">
          <a:avLst/>
        </a:prstGeom>
        <a:noFill/>
        <a:ln>
          <a:noFill/>
        </a:ln>
      </xdr:spPr>
      <xdr:txBody>
        <a:bodyPr rot="0" spcFirstLastPara="0" vert="horz" wrap="square" lIns="91440" tIns="45720" rIns="91440" bIns="45720" numCol="1" spcCol="0" rtlCol="0" fromWordArt="0" anchor="t" anchorCtr="0" forceAA="0" compatLnSpc="1">
          <a:prstTxWarp prst="textInflate">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7200">
              <a:ln>
                <a:solidFill>
                  <a:schemeClr val="bg1"/>
                </a:solidFill>
              </a:ln>
              <a:gradFill>
                <a:gsLst>
                  <a:gs pos="0">
                    <a:srgbClr val="1F4E79"/>
                  </a:gs>
                  <a:gs pos="50000">
                    <a:srgbClr val="5B9BD5"/>
                  </a:gs>
                  <a:gs pos="100000">
                    <a:srgbClr val="9DC3E6"/>
                  </a:gs>
                </a:gsLst>
                <a:lin ang="5400000" scaled="0"/>
              </a:gradFill>
              <a:effectLst>
                <a:innerShdw blurRad="63500" dist="50800" dir="54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rPr>
            <a:t>WIDE</a:t>
          </a:r>
          <a:endParaRPr lang="en-US" sz="7200">
            <a:ln>
              <a:solidFill>
                <a:schemeClr val="bg1"/>
              </a:solidFill>
            </a:ln>
            <a:effectLst>
              <a:innerShdw blurRad="63500" dist="50800" dir="54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endParaRPr>
        </a:p>
      </xdr:txBody>
    </xdr:sp>
    <xdr:clientData/>
  </xdr:twoCellAnchor>
  <xdr:twoCellAnchor>
    <xdr:from>
      <xdr:col>7</xdr:col>
      <xdr:colOff>36467</xdr:colOff>
      <xdr:row>355</xdr:row>
      <xdr:rowOff>91440</xdr:rowOff>
    </xdr:from>
    <xdr:to>
      <xdr:col>13</xdr:col>
      <xdr:colOff>36467</xdr:colOff>
      <xdr:row>363</xdr:row>
      <xdr:rowOff>60960</xdr:rowOff>
    </xdr:to>
    <xdr:sp macro="" textlink="">
      <xdr:nvSpPr>
        <xdr:cNvPr id="859" name="DEEP">
          <a:extLst>
            <a:ext uri="{FF2B5EF4-FFF2-40B4-BE49-F238E27FC236}">
              <a16:creationId xmlns:a16="http://schemas.microsoft.com/office/drawing/2014/main" id="{00000000-0008-0000-0200-00005B030000}"/>
            </a:ext>
          </a:extLst>
        </xdr:cNvPr>
        <xdr:cNvSpPr txBox="1"/>
      </xdr:nvSpPr>
      <xdr:spPr>
        <a:xfrm>
          <a:off x="3130187" y="66012060"/>
          <a:ext cx="2971800" cy="1371600"/>
        </a:xfrm>
        <a:prstGeom prst="rect">
          <a:avLst/>
        </a:prstGeom>
        <a:noFill/>
        <a:ln>
          <a:noFill/>
        </a:ln>
      </xdr:spPr>
      <xdr:txBody>
        <a:bodyPr rot="0" spcFirstLastPara="0" vert="horz" wrap="square" lIns="91440" tIns="45720" rIns="91440" bIns="45720" numCol="1" spcCol="0" rtlCol="0" fromWordArt="0" anchor="t" anchorCtr="0" forceAA="0" compatLnSpc="1">
          <a:prstTxWarp prst="textInflate">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7200">
              <a:ln>
                <a:solidFill>
                  <a:schemeClr val="bg1"/>
                </a:solidFill>
              </a:ln>
              <a:gradFill>
                <a:gsLst>
                  <a:gs pos="0">
                    <a:srgbClr val="9B4042"/>
                  </a:gs>
                  <a:gs pos="50000">
                    <a:srgbClr val="DF5F63"/>
                  </a:gs>
                  <a:gs pos="100000">
                    <a:srgbClr val="FF7277"/>
                  </a:gs>
                </a:gsLst>
                <a:lin ang="16200000" scaled="0"/>
              </a:gradFill>
              <a:effectLst>
                <a:innerShdw blurRad="63500" dist="50800" dir="162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rPr>
            <a:t>DEEP</a:t>
          </a:r>
          <a:endParaRPr lang="en-US" sz="7200">
            <a:ln>
              <a:solidFill>
                <a:schemeClr val="bg1"/>
              </a:solidFill>
            </a:ln>
            <a:effectLst>
              <a:innerShdw blurRad="63500" dist="50800" dir="162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endParaRPr>
        </a:p>
      </xdr:txBody>
    </xdr:sp>
    <xdr:clientData/>
  </xdr:twoCellAnchor>
  <xdr:twoCellAnchor>
    <xdr:from>
      <xdr:col>7</xdr:col>
      <xdr:colOff>239859</xdr:colOff>
      <xdr:row>388</xdr:row>
      <xdr:rowOff>129540</xdr:rowOff>
    </xdr:from>
    <xdr:to>
      <xdr:col>13</xdr:col>
      <xdr:colOff>11259</xdr:colOff>
      <xdr:row>393</xdr:row>
      <xdr:rowOff>167640</xdr:rowOff>
    </xdr:to>
    <xdr:sp macro="" textlink="">
      <xdr:nvSpPr>
        <xdr:cNvPr id="862" name="DEEP emphasis">
          <a:extLst>
            <a:ext uri="{FF2B5EF4-FFF2-40B4-BE49-F238E27FC236}">
              <a16:creationId xmlns:a16="http://schemas.microsoft.com/office/drawing/2014/main" id="{00000000-0008-0000-0200-00005E030000}"/>
            </a:ext>
          </a:extLst>
        </xdr:cNvPr>
        <xdr:cNvSpPr/>
      </xdr:nvSpPr>
      <xdr:spPr>
        <a:xfrm>
          <a:off x="3333579" y="72161400"/>
          <a:ext cx="2743200" cy="91440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Since my </a:t>
          </a:r>
          <a:r>
            <a:rPr lang="en-US" sz="1600" b="1">
              <a:ln w="18415" cmpd="sng">
                <a:solidFill>
                  <a:srgbClr val="E1FFEB"/>
                </a:solidFill>
                <a:prstDash val="solid"/>
              </a:ln>
              <a:solidFill>
                <a:srgbClr val="00F587"/>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b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b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are less resolved than my </a:t>
          </a:r>
          <a:r>
            <a:rPr lang="en-US" sz="1600" b="1">
              <a:ln w="18415" cmpd="sng">
                <a:solidFill>
                  <a:srgbClr val="EBDCFF"/>
                </a:solidFill>
                <a:prstDash val="solid"/>
              </a:ln>
              <a:solidFill>
                <a:srgbClr val="CC66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7</xdr:col>
      <xdr:colOff>198727</xdr:colOff>
      <xdr:row>401</xdr:row>
      <xdr:rowOff>71036</xdr:rowOff>
    </xdr:from>
    <xdr:to>
      <xdr:col>12</xdr:col>
      <xdr:colOff>465427</xdr:colOff>
      <xdr:row>405</xdr:row>
      <xdr:rowOff>71036</xdr:rowOff>
    </xdr:to>
    <xdr:sp macro="" textlink="">
      <xdr:nvSpPr>
        <xdr:cNvPr id="863" name="DEEP - opposite">
          <a:extLst>
            <a:ext uri="{FF2B5EF4-FFF2-40B4-BE49-F238E27FC236}">
              <a16:creationId xmlns:a16="http://schemas.microsoft.com/office/drawing/2014/main" id="{00000000-0008-0000-0200-00005F030000}"/>
            </a:ext>
          </a:extLst>
        </xdr:cNvPr>
        <xdr:cNvSpPr/>
      </xdr:nvSpPr>
      <xdr:spPr>
        <a:xfrm>
          <a:off x="3292447" y="74381276"/>
          <a:ext cx="2743200" cy="70866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a:ln w="18415" cmpd="sng">
                <a:solidFill>
                  <a:srgbClr val="FFFFFF"/>
                </a:solidFill>
                <a:prstDash val="solid"/>
              </a:ln>
              <a:solidFill>
                <a:srgbClr val="FFFF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believe </a:t>
          </a:r>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opposite to what</a:t>
          </a:r>
          <a:r>
            <a:rPr lang="en-US" sz="1600" b="1">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600" b="1" kern="1200">
              <a:ln w="18415" cmpd="sng">
                <a:solidFill>
                  <a:srgbClr val="FFFFFF"/>
                </a:solidFill>
                <a:prstDash val="solid"/>
              </a:ln>
              <a:solidFill>
                <a:srgbClr val="FFFFFF"/>
              </a:solidFill>
              <a:effectLst>
                <a:glow rad="63500">
                  <a:schemeClr val="accent1">
                    <a:satMod val="175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you believe</a:t>
          </a:r>
          <a:r>
            <a:rPr lang="en-US" sz="1600" b="1">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388</xdr:row>
      <xdr:rowOff>129539</xdr:rowOff>
    </xdr:from>
    <xdr:to>
      <xdr:col>6</xdr:col>
      <xdr:colOff>266700</xdr:colOff>
      <xdr:row>393</xdr:row>
      <xdr:rowOff>107711</xdr:rowOff>
    </xdr:to>
    <xdr:sp macro="" textlink="">
      <xdr:nvSpPr>
        <xdr:cNvPr id="864" name="WIDE emphasis">
          <a:extLst>
            <a:ext uri="{FF2B5EF4-FFF2-40B4-BE49-F238E27FC236}">
              <a16:creationId xmlns:a16="http://schemas.microsoft.com/office/drawing/2014/main" id="{00000000-0008-0000-0200-000060030000}"/>
            </a:ext>
          </a:extLst>
        </xdr:cNvPr>
        <xdr:cNvSpPr/>
      </xdr:nvSpPr>
      <xdr:spPr>
        <a:xfrm>
          <a:off x="114300" y="77634464"/>
          <a:ext cx="2695575" cy="835422"/>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Since my </a:t>
          </a:r>
          <a:r>
            <a:rPr lang="en-US" sz="1600" b="1">
              <a:ln w="18415" cmpd="sng">
                <a:solidFill>
                  <a:srgbClr val="EBDCFF"/>
                </a:solidFill>
                <a:prstDash val="solid"/>
              </a:ln>
              <a:solidFill>
                <a:srgbClr val="CC66FF"/>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a:ln w="18415" cmpd="sng">
                <a:solidFill>
                  <a:srgbClr val="FFFFFF"/>
                </a:solidFill>
                <a:prstDash val="solid"/>
              </a:ln>
              <a:solidFill>
                <a:srgbClr val="E4C9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br>
            <a:rPr lang="en-US" sz="1600" b="1">
              <a:ln w="18415" cmpd="sng">
                <a:solidFill>
                  <a:srgbClr val="FFFFFF"/>
                </a:solidFill>
                <a:prstDash val="solid"/>
              </a:ln>
              <a:solidFill>
                <a:srgbClr val="E4C9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b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are less resolved than my </a:t>
          </a:r>
          <a:r>
            <a:rPr lang="en-US" sz="1600" b="1">
              <a:ln w="18415" cmpd="sng">
                <a:solidFill>
                  <a:srgbClr val="E1FFEB"/>
                </a:solidFill>
                <a:prstDash val="solid"/>
              </a:ln>
              <a:solidFill>
                <a:srgbClr val="00F587"/>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401</xdr:row>
      <xdr:rowOff>71036</xdr:rowOff>
    </xdr:from>
    <xdr:to>
      <xdr:col>6</xdr:col>
      <xdr:colOff>266700</xdr:colOff>
      <xdr:row>404</xdr:row>
      <xdr:rowOff>144411</xdr:rowOff>
    </xdr:to>
    <xdr:sp macro="" textlink="">
      <xdr:nvSpPr>
        <xdr:cNvPr id="865" name="WIDE - opposite">
          <a:extLst>
            <a:ext uri="{FF2B5EF4-FFF2-40B4-BE49-F238E27FC236}">
              <a16:creationId xmlns:a16="http://schemas.microsoft.com/office/drawing/2014/main" id="{00000000-0008-0000-0200-000061030000}"/>
            </a:ext>
          </a:extLst>
        </xdr:cNvPr>
        <xdr:cNvSpPr/>
      </xdr:nvSpPr>
      <xdr:spPr>
        <a:xfrm>
          <a:off x="114300" y="79804811"/>
          <a:ext cx="2695575" cy="587725"/>
        </a:xfrm>
        <a:prstGeom prst="rect">
          <a:avLst/>
        </a:prstGeom>
        <a:noFill/>
        <a:effectLst>
          <a:glow rad="127000">
            <a:srgbClr val="002060"/>
          </a:glow>
        </a:effectLst>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kern="1200">
              <a:ln w="18415" cmpd="sng">
                <a:solidFill>
                  <a:srgbClr val="FFFFFF"/>
                </a:solidFill>
                <a:prstDash val="solid"/>
              </a:ln>
              <a:solidFill>
                <a:srgbClr val="FFFFFF"/>
              </a:solidFill>
              <a:effectLst>
                <a:glow rad="63500">
                  <a:schemeClr val="accent1">
                    <a:satMod val="175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believe </a:t>
          </a:r>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opposite to what </a:t>
          </a:r>
          <a:r>
            <a:rPr lang="en-US" sz="1600" b="1" kern="1200">
              <a:ln w="18415" cmpd="sng">
                <a:solidFill>
                  <a:srgbClr val="FFFFFF"/>
                </a:solidFill>
                <a:prstDash val="solid"/>
              </a:ln>
              <a:solidFill>
                <a:srgbClr val="FFFF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you believe</a:t>
          </a:r>
          <a:r>
            <a:rPr lang="en-US" sz="1600" b="1">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7</xdr:col>
      <xdr:colOff>49359</xdr:colOff>
      <xdr:row>394</xdr:row>
      <xdr:rowOff>22860</xdr:rowOff>
    </xdr:from>
    <xdr:to>
      <xdr:col>13</xdr:col>
      <xdr:colOff>3639</xdr:colOff>
      <xdr:row>400</xdr:row>
      <xdr:rowOff>160020</xdr:rowOff>
    </xdr:to>
    <xdr:sp macro="" textlink="">
      <xdr:nvSpPr>
        <xdr:cNvPr id="866" name="DEEP emphasis">
          <a:extLst>
            <a:ext uri="{FF2B5EF4-FFF2-40B4-BE49-F238E27FC236}">
              <a16:creationId xmlns:a16="http://schemas.microsoft.com/office/drawing/2014/main" id="{00000000-0008-0000-0200-000062030000}"/>
            </a:ext>
          </a:extLst>
        </xdr:cNvPr>
        <xdr:cNvSpPr/>
      </xdr:nvSpPr>
      <xdr:spPr>
        <a:xfrm>
          <a:off x="3143079" y="73106280"/>
          <a:ext cx="2926080" cy="118872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 must prioritize easing my </a:t>
          </a:r>
          <a:r>
            <a:rPr lang="en-US" sz="1600" b="1">
              <a:ln w="18415" cmpd="sng">
                <a:solidFill>
                  <a:srgbClr val="E1FFEB"/>
                </a:solidFill>
                <a:prstDash val="solid"/>
              </a:ln>
              <a:solidFill>
                <a:srgbClr val="00F587"/>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while</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guarding my more resolved </a:t>
          </a:r>
          <a:r>
            <a:rPr lang="en-US" sz="1600" b="1">
              <a:ln w="18415" cmpd="sng">
                <a:solidFill>
                  <a:srgbClr val="EBDCFF"/>
                </a:solidFill>
                <a:prstDash val="solid"/>
              </a:ln>
              <a:solidFill>
                <a:srgbClr val="CC66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394</xdr:row>
      <xdr:rowOff>22859</xdr:rowOff>
    </xdr:from>
    <xdr:to>
      <xdr:col>6</xdr:col>
      <xdr:colOff>449580</xdr:colOff>
      <xdr:row>400</xdr:row>
      <xdr:rowOff>77276</xdr:rowOff>
    </xdr:to>
    <xdr:sp macro="" textlink="">
      <xdr:nvSpPr>
        <xdr:cNvPr id="867" name="WIDE emphasis">
          <a:extLst>
            <a:ext uri="{FF2B5EF4-FFF2-40B4-BE49-F238E27FC236}">
              <a16:creationId xmlns:a16="http://schemas.microsoft.com/office/drawing/2014/main" id="{00000000-0008-0000-0200-000063030000}"/>
            </a:ext>
          </a:extLst>
        </xdr:cNvPr>
        <xdr:cNvSpPr/>
      </xdr:nvSpPr>
      <xdr:spPr>
        <a:xfrm>
          <a:off x="114300" y="78556484"/>
          <a:ext cx="2878455" cy="108311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 must prioritize</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easing my </a:t>
          </a:r>
          <a:r>
            <a:rPr lang="en-US" sz="1600" b="1" kern="1200">
              <a:ln w="18415" cmpd="sng">
                <a:solidFill>
                  <a:srgbClr val="EBDCFF"/>
                </a:solidFill>
                <a:prstDash val="solid"/>
              </a:ln>
              <a:solidFill>
                <a:srgbClr val="CC66FF"/>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while guarding my more resolved </a:t>
          </a:r>
          <a:r>
            <a:rPr lang="en-US" sz="1600" b="1" kern="1200">
              <a:ln w="18415" cmpd="sng">
                <a:solidFill>
                  <a:srgbClr val="E1FFEB"/>
                </a:solidFill>
                <a:prstDash val="solid"/>
              </a:ln>
              <a:solidFill>
                <a:srgbClr val="00F587"/>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endPar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198727</xdr:colOff>
      <xdr:row>405</xdr:row>
      <xdr:rowOff>48176</xdr:rowOff>
    </xdr:from>
    <xdr:to>
      <xdr:col>12</xdr:col>
      <xdr:colOff>465427</xdr:colOff>
      <xdr:row>410</xdr:row>
      <xdr:rowOff>55796</xdr:rowOff>
    </xdr:to>
    <xdr:sp macro="" textlink="">
      <xdr:nvSpPr>
        <xdr:cNvPr id="870" name="DEEP - opposite">
          <a:extLst>
            <a:ext uri="{FF2B5EF4-FFF2-40B4-BE49-F238E27FC236}">
              <a16:creationId xmlns:a16="http://schemas.microsoft.com/office/drawing/2014/main" id="{00000000-0008-0000-0200-000066030000}"/>
            </a:ext>
          </a:extLst>
        </xdr:cNvPr>
        <xdr:cNvSpPr/>
      </xdr:nvSpPr>
      <xdr:spPr>
        <a:xfrm>
          <a:off x="3292447" y="75067076"/>
          <a:ext cx="2743200" cy="91440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Because our opposite set of affected needs priortize </a:t>
          </a:r>
          <a:r>
            <a:rPr lang="en-US" sz="1600" b="1" kern="1200">
              <a:ln w="18415" cmpd="sng">
                <a:solidFill>
                  <a:srgbClr val="FFFFFF"/>
                </a:solidFill>
                <a:prstDash val="solid"/>
              </a:ln>
              <a:solidFill>
                <a:srgbClr val="FFFF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our beliefs</a:t>
          </a:r>
          <a:r>
            <a:rPr lang="en-US" sz="1600" b="1" kern="1200">
              <a:ln w="18415" cmpd="sng">
                <a:solidFill>
                  <a:srgbClr val="FFFFFF"/>
                </a:solidFill>
                <a:prstDash val="solid"/>
              </a:ln>
              <a:solidFill>
                <a:srgbClr val="FFFFFF"/>
              </a:solidFill>
              <a:effectLst>
                <a:glow rad="76200">
                  <a:schemeClr val="bg1">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405</xdr:row>
      <xdr:rowOff>48176</xdr:rowOff>
    </xdr:from>
    <xdr:to>
      <xdr:col>6</xdr:col>
      <xdr:colOff>266700</xdr:colOff>
      <xdr:row>410</xdr:row>
      <xdr:rowOff>7298</xdr:rowOff>
    </xdr:to>
    <xdr:sp macro="" textlink="">
      <xdr:nvSpPr>
        <xdr:cNvPr id="871" name="WIDE - opposite">
          <a:extLst>
            <a:ext uri="{FF2B5EF4-FFF2-40B4-BE49-F238E27FC236}">
              <a16:creationId xmlns:a16="http://schemas.microsoft.com/office/drawing/2014/main" id="{00000000-0008-0000-0200-000067030000}"/>
            </a:ext>
          </a:extLst>
        </xdr:cNvPr>
        <xdr:cNvSpPr/>
      </xdr:nvSpPr>
      <xdr:spPr>
        <a:xfrm>
          <a:off x="114300" y="80467751"/>
          <a:ext cx="2695575" cy="835422"/>
        </a:xfrm>
        <a:prstGeom prst="rect">
          <a:avLst/>
        </a:prstGeom>
        <a:noFill/>
        <a:effectLst>
          <a:glow rad="127000">
            <a:srgbClr val="002060"/>
          </a:glow>
        </a:effectLst>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Because our opposite set of affected needs priortize </a:t>
          </a:r>
          <a:r>
            <a:rPr lang="en-US" sz="1600" b="1" kern="1200" baseline="0">
              <a:ln w="18415" cmpd="sng">
                <a:solidFill>
                  <a:srgbClr val="FFFFFF"/>
                </a:solidFill>
                <a:prstDash val="solid"/>
              </a:ln>
              <a:solidFill>
                <a:srgbClr val="FFFFFF"/>
              </a:solidFill>
              <a:effectLst>
                <a:glow rad="63500">
                  <a:schemeClr val="accent1">
                    <a:satMod val="175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our beliefs</a:t>
          </a:r>
          <a:r>
            <a:rPr lang="en-US" sz="1600" b="1" kern="1200">
              <a:ln w="18415" cmpd="sng">
                <a:solidFill>
                  <a:srgbClr val="FFFFFF"/>
                </a:solidFill>
                <a:prstDash val="solid"/>
              </a:ln>
              <a:solidFill>
                <a:srgbClr val="FFFFFF"/>
              </a:solidFill>
              <a:effectLst>
                <a:glow rad="76200">
                  <a:schemeClr val="bg1">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5</xdr:col>
      <xdr:colOff>457558</xdr:colOff>
      <xdr:row>58</xdr:row>
      <xdr:rowOff>151851</xdr:rowOff>
    </xdr:from>
    <xdr:to>
      <xdr:col>6</xdr:col>
      <xdr:colOff>189515</xdr:colOff>
      <xdr:row>60</xdr:row>
      <xdr:rowOff>54693</xdr:rowOff>
    </xdr:to>
    <xdr:sp macro="" textlink="">
      <xdr:nvSpPr>
        <xdr:cNvPr id="953" name="Freeform: Shape 952">
          <a:extLst>
            <a:ext uri="{FF2B5EF4-FFF2-40B4-BE49-F238E27FC236}">
              <a16:creationId xmlns:a16="http://schemas.microsoft.com/office/drawing/2014/main" id="{00000000-0008-0000-0200-0000B9030000}"/>
            </a:ext>
          </a:extLst>
        </xdr:cNvPr>
        <xdr:cNvSpPr/>
      </xdr:nvSpPr>
      <xdr:spPr>
        <a:xfrm>
          <a:off x="2560678"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F0CD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295852</xdr:colOff>
      <xdr:row>58</xdr:row>
      <xdr:rowOff>151851</xdr:rowOff>
    </xdr:from>
    <xdr:to>
      <xdr:col>8</xdr:col>
      <xdr:colOff>27809</xdr:colOff>
      <xdr:row>60</xdr:row>
      <xdr:rowOff>54693</xdr:rowOff>
    </xdr:to>
    <xdr:sp macro="" textlink="">
      <xdr:nvSpPr>
        <xdr:cNvPr id="954" name="Freeform: Shape 953">
          <a:extLst>
            <a:ext uri="{FF2B5EF4-FFF2-40B4-BE49-F238E27FC236}">
              <a16:creationId xmlns:a16="http://schemas.microsoft.com/office/drawing/2014/main" id="{00000000-0008-0000-0200-0000BA030000}"/>
            </a:ext>
          </a:extLst>
        </xdr:cNvPr>
        <xdr:cNvSpPr/>
      </xdr:nvSpPr>
      <xdr:spPr>
        <a:xfrm flipH="1">
          <a:off x="3389572"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94615</xdr:colOff>
      <xdr:row>54</xdr:row>
      <xdr:rowOff>108400</xdr:rowOff>
    </xdr:from>
    <xdr:to>
      <xdr:col>13</xdr:col>
      <xdr:colOff>7239</xdr:colOff>
      <xdr:row>61</xdr:row>
      <xdr:rowOff>46084</xdr:rowOff>
    </xdr:to>
    <xdr:grpSp>
      <xdr:nvGrpSpPr>
        <xdr:cNvPr id="39" name="Group 38">
          <a:extLst>
            <a:ext uri="{FF2B5EF4-FFF2-40B4-BE49-F238E27FC236}">
              <a16:creationId xmlns:a16="http://schemas.microsoft.com/office/drawing/2014/main" id="{00000000-0008-0000-0200-000027000000}"/>
            </a:ext>
          </a:extLst>
        </xdr:cNvPr>
        <xdr:cNvGrpSpPr/>
      </xdr:nvGrpSpPr>
      <xdr:grpSpPr>
        <a:xfrm>
          <a:off x="94615" y="11408860"/>
          <a:ext cx="6061964" cy="1149264"/>
          <a:chOff x="104140" y="2857315"/>
          <a:chExt cx="5978144" cy="1134024"/>
        </a:xfrm>
      </xdr:grpSpPr>
      <xdr:sp macro="" textlink="">
        <xdr:nvSpPr>
          <xdr:cNvPr id="22" name="Rectangle 21">
            <a:extLst>
              <a:ext uri="{FF2B5EF4-FFF2-40B4-BE49-F238E27FC236}">
                <a16:creationId xmlns:a16="http://schemas.microsoft.com/office/drawing/2014/main" id="{00000000-0008-0000-0200-000016000000}"/>
              </a:ext>
            </a:extLst>
          </xdr:cNvPr>
          <xdr:cNvSpPr/>
        </xdr:nvSpPr>
        <xdr:spPr>
          <a:xfrm>
            <a:off x="2655558" y="2857315"/>
            <a:ext cx="931916" cy="1134024"/>
          </a:xfrm>
          <a:prstGeom prst="rect">
            <a:avLst/>
          </a:prstGeom>
          <a:noFill/>
        </xdr:spPr>
        <xdr:txBody>
          <a:bodyPr wrap="none" lIns="91440" tIns="45720" rIns="91440" bIns="45720">
            <a:noAutofit/>
          </a:bodyPr>
          <a:lstStyle/>
          <a:p>
            <a:pPr algn="ctr">
              <a:lnSpc>
                <a:spcPts val="9600"/>
              </a:lnSpc>
            </a:pPr>
            <a:r>
              <a:rPr lang="en-US" sz="9600" b="1" cap="none" spc="0">
                <a:ln w="10160">
                  <a:solidFill>
                    <a:schemeClr val="accent5"/>
                  </a:solidFill>
                  <a:prstDash val="solid"/>
                </a:ln>
                <a:noFill/>
                <a:effectLst>
                  <a:outerShdw blurRad="38100" dist="22860" dir="5400000" algn="tl" rotWithShape="0">
                    <a:srgbClr val="000000">
                      <a:alpha val="30000"/>
                    </a:srgbClr>
                  </a:outerShdw>
                </a:effectLst>
                <a:latin typeface="Arial Black" panose="020B0A04020102020204" pitchFamily="34" charset="0"/>
              </a:rPr>
              <a:t>?</a:t>
            </a:r>
          </a:p>
        </xdr:txBody>
      </xdr:sp>
      <xdr:sp macro="" textlink="">
        <xdr:nvSpPr>
          <xdr:cNvPr id="661" name="Speech Bubble: Rectangle with Corners Rounded 660">
            <a:extLst>
              <a:ext uri="{FF2B5EF4-FFF2-40B4-BE49-F238E27FC236}">
                <a16:creationId xmlns:a16="http://schemas.microsoft.com/office/drawing/2014/main" id="{00000000-0008-0000-0200-000095020000}"/>
              </a:ext>
            </a:extLst>
          </xdr:cNvPr>
          <xdr:cNvSpPr/>
        </xdr:nvSpPr>
        <xdr:spPr>
          <a:xfrm flipH="1">
            <a:off x="3556180" y="3106362"/>
            <a:ext cx="2526104" cy="868102"/>
          </a:xfrm>
          <a:prstGeom prst="wedgeRoundRectCallout">
            <a:avLst>
              <a:gd name="adj1" fmla="val 57738"/>
              <a:gd name="adj2" fmla="val 2500"/>
              <a:gd name="adj3" fmla="val 16667"/>
            </a:avLst>
          </a:prstGeom>
          <a:noFill/>
          <a:ln w="57150">
            <a:solidFill>
              <a:srgbClr val="96FFC8">
                <a:alpha val="80000"/>
              </a:srgb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3" name="Speech Bubble: Rectangle with Corners Rounded 22">
            <a:extLst>
              <a:ext uri="{FF2B5EF4-FFF2-40B4-BE49-F238E27FC236}">
                <a16:creationId xmlns:a16="http://schemas.microsoft.com/office/drawing/2014/main" id="{00000000-0008-0000-0200-000017000000}"/>
              </a:ext>
            </a:extLst>
          </xdr:cNvPr>
          <xdr:cNvSpPr/>
        </xdr:nvSpPr>
        <xdr:spPr>
          <a:xfrm>
            <a:off x="104140" y="3106362"/>
            <a:ext cx="2522061" cy="868102"/>
          </a:xfrm>
          <a:prstGeom prst="wedgeRoundRectCallout">
            <a:avLst>
              <a:gd name="adj1" fmla="val 57738"/>
              <a:gd name="adj2" fmla="val 2500"/>
              <a:gd name="adj3" fmla="val 16667"/>
            </a:avLst>
          </a:prstGeom>
          <a:noFill/>
          <a:ln w="57150">
            <a:solidFill>
              <a:srgbClr val="D7B9FF">
                <a:alpha val="85098"/>
              </a:srgbClr>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0</xdr:col>
      <xdr:colOff>48195</xdr:colOff>
      <xdr:row>281</xdr:row>
      <xdr:rowOff>50978</xdr:rowOff>
    </xdr:from>
    <xdr:to>
      <xdr:col>8</xdr:col>
      <xdr:colOff>434340</xdr:colOff>
      <xdr:row>286</xdr:row>
      <xdr:rowOff>155753</xdr:rowOff>
    </xdr:to>
    <xdr:sp macro="" textlink="">
      <xdr:nvSpPr>
        <xdr:cNvPr id="956" name="TextBox 955">
          <a:extLst>
            <a:ext uri="{FF2B5EF4-FFF2-40B4-BE49-F238E27FC236}">
              <a16:creationId xmlns:a16="http://schemas.microsoft.com/office/drawing/2014/main" id="{00000000-0008-0000-0200-0000BC030000}"/>
            </a:ext>
          </a:extLst>
        </xdr:cNvPr>
        <xdr:cNvSpPr txBox="1"/>
      </xdr:nvSpPr>
      <xdr:spPr>
        <a:xfrm>
          <a:off x="48195" y="59677478"/>
          <a:ext cx="3900870" cy="914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50">
              <a:latin typeface="Tahoma" panose="020B0604030504040204" pitchFamily="34" charset="0"/>
              <a:ea typeface="Tahoma" panose="020B0604030504040204" pitchFamily="34" charset="0"/>
              <a:cs typeface="Tahoma" panose="020B0604030504040204" pitchFamily="34" charset="0"/>
            </a:rPr>
            <a:t>To paraprhase JFK, ask not how others can agree with you politically; ask how you can better respect their needs. The </a:t>
          </a:r>
          <a:r>
            <a:rPr lang="en-US" sz="1050" spc="-20" baseline="0">
              <a:latin typeface="Tahoma" panose="020B0604030504040204" pitchFamily="34" charset="0"/>
              <a:ea typeface="Tahoma" panose="020B0604030504040204" pitchFamily="34" charset="0"/>
              <a:cs typeface="Tahoma" panose="020B0604030504040204" pitchFamily="34" charset="0"/>
            </a:rPr>
            <a:t>more you respect their needs, the more you earn their respect </a:t>
          </a:r>
          <a:r>
            <a:rPr lang="en-US" sz="1050">
              <a:latin typeface="Tahoma" panose="020B0604030504040204" pitchFamily="34" charset="0"/>
              <a:ea typeface="Tahoma" panose="020B0604030504040204" pitchFamily="34" charset="0"/>
              <a:cs typeface="Tahoma" panose="020B0604030504040204" pitchFamily="34" charset="0"/>
            </a:rPr>
            <a:t>for yours. The standard applied sets the standard replied.</a:t>
          </a:r>
          <a:endParaRPr lang="en-US" sz="105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45720</xdr:colOff>
      <xdr:row>286</xdr:row>
      <xdr:rowOff>38101</xdr:rowOff>
    </xdr:from>
    <xdr:to>
      <xdr:col>14</xdr:col>
      <xdr:colOff>0</xdr:colOff>
      <xdr:row>288</xdr:row>
      <xdr:rowOff>152400</xdr:rowOff>
    </xdr:to>
    <xdr:sp macro="" textlink="">
      <xdr:nvSpPr>
        <xdr:cNvPr id="957" name="TextBox 956">
          <a:extLst>
            <a:ext uri="{FF2B5EF4-FFF2-40B4-BE49-F238E27FC236}">
              <a16:creationId xmlns:a16="http://schemas.microsoft.com/office/drawing/2014/main" id="{00000000-0008-0000-0200-0000BD030000}"/>
            </a:ext>
          </a:extLst>
        </xdr:cNvPr>
        <xdr:cNvSpPr txBox="1"/>
      </xdr:nvSpPr>
      <xdr:spPr>
        <a:xfrm>
          <a:off x="45720" y="53774341"/>
          <a:ext cx="6141720" cy="4648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400" b="1" spc="-20" baseline="0">
              <a:latin typeface="Tahoma" panose="020B0604030504040204" pitchFamily="34" charset="0"/>
              <a:ea typeface="Tahoma" panose="020B0604030504040204" pitchFamily="34" charset="0"/>
              <a:cs typeface="Tahoma" panose="020B0604030504040204" pitchFamily="34" charset="0"/>
            </a:rPr>
            <a:t>Let's stop hating on each other for what neither can easily change</a:t>
          </a:r>
          <a:r>
            <a:rPr lang="en-US" sz="1400" b="1">
              <a:latin typeface="Tahoma" panose="020B0604030504040204" pitchFamily="34" charset="0"/>
              <a:ea typeface="Tahoma" panose="020B0604030504040204" pitchFamily="34" charset="0"/>
              <a:cs typeface="Tahoma" panose="020B0604030504040204" pitchFamily="34" charset="0"/>
            </a:rPr>
            <a:t>. </a:t>
          </a:r>
          <a:endParaRPr lang="en-US" sz="1200" b="1"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81249</xdr:colOff>
      <xdr:row>276</xdr:row>
      <xdr:rowOff>4007</xdr:rowOff>
    </xdr:from>
    <xdr:to>
      <xdr:col>8</xdr:col>
      <xdr:colOff>41244</xdr:colOff>
      <xdr:row>281</xdr:row>
      <xdr:rowOff>108782</xdr:rowOff>
    </xdr:to>
    <xdr:sp macro="" textlink="">
      <xdr:nvSpPr>
        <xdr:cNvPr id="958" name="TextBox 957">
          <a:extLst>
            <a:ext uri="{FF2B5EF4-FFF2-40B4-BE49-F238E27FC236}">
              <a16:creationId xmlns:a16="http://schemas.microsoft.com/office/drawing/2014/main" id="{00000000-0008-0000-0200-0000BE030000}"/>
            </a:ext>
          </a:extLst>
        </xdr:cNvPr>
        <xdr:cNvSpPr txBox="1"/>
      </xdr:nvSpPr>
      <xdr:spPr>
        <a:xfrm>
          <a:off x="81249" y="58820882"/>
          <a:ext cx="3474720" cy="914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50">
              <a:latin typeface="Tahoma" panose="020B0604030504040204" pitchFamily="34" charset="0"/>
              <a:ea typeface="Tahoma" panose="020B0604030504040204" pitchFamily="34" charset="0"/>
              <a:cs typeface="Tahoma" panose="020B0604030504040204" pitchFamily="34" charset="0"/>
            </a:rPr>
            <a:t>Can you change your priority of pressing needs to fit the expectations of another's persuasive political arguments? If not, why try to change their priority of pressing needs to fit your expectations? Why set yourself up to hate them for not agreeing with you?</a:t>
          </a:r>
          <a:endParaRPr lang="en-US" sz="105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99060</xdr:colOff>
      <xdr:row>272</xdr:row>
      <xdr:rowOff>114300</xdr:rowOff>
    </xdr:from>
    <xdr:to>
      <xdr:col>8</xdr:col>
      <xdr:colOff>449580</xdr:colOff>
      <xdr:row>275</xdr:row>
      <xdr:rowOff>121920</xdr:rowOff>
    </xdr:to>
    <xdr:sp macro="" textlink="">
      <xdr:nvSpPr>
        <xdr:cNvPr id="959" name="TextBox 958">
          <a:extLst>
            <a:ext uri="{FF2B5EF4-FFF2-40B4-BE49-F238E27FC236}">
              <a16:creationId xmlns:a16="http://schemas.microsoft.com/office/drawing/2014/main" id="{00000000-0008-0000-0200-0000BF030000}"/>
            </a:ext>
          </a:extLst>
        </xdr:cNvPr>
        <xdr:cNvSpPr txBox="1"/>
      </xdr:nvSpPr>
      <xdr:spPr>
        <a:xfrm>
          <a:off x="99060" y="51396900"/>
          <a:ext cx="3939540" cy="533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100" b="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Your guarded political views outwardly express your inwardly vulnerable psychosocial orientation</a:t>
          </a:r>
          <a:r>
            <a:rPr lang="en-US" sz="11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a:t>
          </a:r>
        </a:p>
      </xdr:txBody>
    </xdr:sp>
    <xdr:clientData/>
  </xdr:twoCellAnchor>
  <xdr:twoCellAnchor>
    <xdr:from>
      <xdr:col>1</xdr:col>
      <xdr:colOff>132079</xdr:colOff>
      <xdr:row>236</xdr:row>
      <xdr:rowOff>78738</xdr:rowOff>
    </xdr:from>
    <xdr:to>
      <xdr:col>12</xdr:col>
      <xdr:colOff>411480</xdr:colOff>
      <xdr:row>240</xdr:row>
      <xdr:rowOff>101598</xdr:rowOff>
    </xdr:to>
    <xdr:sp macro="" textlink="">
      <xdr:nvSpPr>
        <xdr:cNvPr id="980" name="TextBox: Politics defined">
          <a:extLst>
            <a:ext uri="{FF2B5EF4-FFF2-40B4-BE49-F238E27FC236}">
              <a16:creationId xmlns:a16="http://schemas.microsoft.com/office/drawing/2014/main" id="{00000000-0008-0000-0200-0000D4030000}"/>
            </a:ext>
          </a:extLst>
        </xdr:cNvPr>
        <xdr:cNvSpPr txBox="1"/>
      </xdr:nvSpPr>
      <xdr:spPr>
        <a:xfrm>
          <a:off x="253999" y="42842178"/>
          <a:ext cx="5727701" cy="731520"/>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2000" b="1">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Your</a:t>
          </a:r>
          <a:r>
            <a:rPr lang="en-US" sz="2000" b="1" baseline="0">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 political outlook outwardly expresses your inward psychosocial orientation</a:t>
          </a:r>
          <a:r>
            <a:rPr lang="en-US" sz="2000" b="1">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 </a:t>
          </a:r>
        </a:p>
      </xdr:txBody>
    </xdr:sp>
    <xdr:clientData/>
  </xdr:twoCellAnchor>
  <xdr:twoCellAnchor>
    <xdr:from>
      <xdr:col>1</xdr:col>
      <xdr:colOff>0</xdr:colOff>
      <xdr:row>183</xdr:row>
      <xdr:rowOff>160020</xdr:rowOff>
    </xdr:from>
    <xdr:to>
      <xdr:col>6</xdr:col>
      <xdr:colOff>266700</xdr:colOff>
      <xdr:row>191</xdr:row>
      <xdr:rowOff>99060</xdr:rowOff>
    </xdr:to>
    <xdr:sp macro="" textlink="">
      <xdr:nvSpPr>
        <xdr:cNvPr id="982" name="WIDE oriented">
          <a:extLst>
            <a:ext uri="{FF2B5EF4-FFF2-40B4-BE49-F238E27FC236}">
              <a16:creationId xmlns:a16="http://schemas.microsoft.com/office/drawing/2014/main" id="{00000000-0008-0000-0200-0000D6030000}"/>
            </a:ext>
          </a:extLst>
        </xdr:cNvPr>
        <xdr:cNvSpPr/>
      </xdr:nvSpPr>
      <xdr:spPr>
        <a:xfrm>
          <a:off x="121920" y="31645860"/>
          <a:ext cx="2743200" cy="1371600"/>
        </a:xfrm>
        <a:prstGeom prst="rect">
          <a:avLst/>
        </a:prstGeom>
        <a:noFill/>
      </xdr:spPr>
      <xdr:txBody>
        <a:bodyPr spcFirstLastPara="1" wrap="square" lIns="91440" tIns="45720" rIns="91440" bIns="45720" numCol="1">
          <a:prstTxWarp prst="textButton">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WIDE</a:t>
          </a:r>
          <a:endParaRPr lang="en-US" sz="54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focus</a:t>
          </a:r>
          <a:endParaRPr lang="en-US" sz="54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100257</xdr:colOff>
      <xdr:row>183</xdr:row>
      <xdr:rowOff>187499</xdr:rowOff>
    </xdr:from>
    <xdr:to>
      <xdr:col>12</xdr:col>
      <xdr:colOff>366957</xdr:colOff>
      <xdr:row>191</xdr:row>
      <xdr:rowOff>126539</xdr:rowOff>
    </xdr:to>
    <xdr:sp macro="" textlink="">
      <xdr:nvSpPr>
        <xdr:cNvPr id="983" name="DEEP oriented">
          <a:extLst>
            <a:ext uri="{FF2B5EF4-FFF2-40B4-BE49-F238E27FC236}">
              <a16:creationId xmlns:a16="http://schemas.microsoft.com/office/drawing/2014/main" id="{00000000-0008-0000-0200-0000D7030000}"/>
            </a:ext>
          </a:extLst>
        </xdr:cNvPr>
        <xdr:cNvSpPr/>
      </xdr:nvSpPr>
      <xdr:spPr>
        <a:xfrm>
          <a:off x="3193977" y="31673339"/>
          <a:ext cx="2743200" cy="1371600"/>
        </a:xfrm>
        <a:prstGeom prst="rect">
          <a:avLst/>
        </a:prstGeom>
        <a:noFill/>
      </xdr:spPr>
      <xdr:txBody>
        <a:bodyPr spcFirstLastPara="1" wrap="square" lIns="91440" tIns="45720" rIns="91440" bIns="45720" numCol="1">
          <a:prstTxWarp prst="textButton">
            <a:avLst>
              <a:gd name="adj" fmla="val 10900490"/>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spc="30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DEEP</a:t>
          </a:r>
          <a:r>
            <a:rPr lang="en-US" sz="5400" b="1">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focus</a:t>
          </a:r>
        </a:p>
      </xdr:txBody>
    </xdr:sp>
    <xdr:clientData/>
  </xdr:twoCellAnchor>
  <xdr:twoCellAnchor>
    <xdr:from>
      <xdr:col>1</xdr:col>
      <xdr:colOff>7620</xdr:colOff>
      <xdr:row>148</xdr:row>
      <xdr:rowOff>22860</xdr:rowOff>
    </xdr:from>
    <xdr:to>
      <xdr:col>13</xdr:col>
      <xdr:colOff>7620</xdr:colOff>
      <xdr:row>155</xdr:row>
      <xdr:rowOff>167640</xdr:rowOff>
    </xdr:to>
    <xdr:sp macro="" textlink="">
      <xdr:nvSpPr>
        <xdr:cNvPr id="997" name="You believe whatever serves your needs.">
          <a:extLst>
            <a:ext uri="{FF2B5EF4-FFF2-40B4-BE49-F238E27FC236}">
              <a16:creationId xmlns:a16="http://schemas.microsoft.com/office/drawing/2014/main" id="{00000000-0008-0000-0200-0000E5030000}"/>
            </a:ext>
          </a:extLst>
        </xdr:cNvPr>
        <xdr:cNvSpPr txBox="1">
          <a:spLocks/>
        </xdr:cNvSpPr>
      </xdr:nvSpPr>
      <xdr:spPr>
        <a:xfrm>
          <a:off x="129540" y="32362140"/>
          <a:ext cx="5943600" cy="13716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In anankelogy, this is called the </a:t>
          </a:r>
          <a:r>
            <a:rPr lang="en-US" sz="1200" b="0" i="1">
              <a:solidFill>
                <a:sysClr val="windowText" lastClr="000000"/>
              </a:solidFill>
              <a:latin typeface="Tahoma" panose="020B0604030504040204" pitchFamily="34" charset="0"/>
              <a:ea typeface="Tahoma" panose="020B0604030504040204" pitchFamily="34" charset="0"/>
              <a:cs typeface="Tahoma" panose="020B0604030504040204" pitchFamily="34" charset="0"/>
            </a:rPr>
            <a:t>need-experience funnel</a:t>
          </a: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It sees a </a:t>
          </a:r>
          <a:r>
            <a:rPr lang="en-US" sz="1200" b="1">
              <a:solidFill>
                <a:sysClr val="windowText" lastClr="000000"/>
              </a:solidFill>
              <a:latin typeface="Tahoma" panose="020B0604030504040204" pitchFamily="34" charset="0"/>
              <a:ea typeface="Tahoma" panose="020B0604030504040204" pitchFamily="34" charset="0"/>
              <a:cs typeface="Tahoma" panose="020B0604030504040204" pitchFamily="34" charset="0"/>
            </a:rPr>
            <a:t>false comparison </a:t>
          </a: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when trying to contrast the</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more common needs shared by liberals and conservatives alike. It sees a </a:t>
          </a:r>
          <a:r>
            <a:rPr lang="en-US" sz="1200" b="1"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false equivalency </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when conflating liberal and conservative outlooks to serve these more common needs. </a:t>
          </a: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ct val="100000"/>
            </a:lnSpc>
            <a:buNone/>
          </a:pP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ct val="100000"/>
            </a:lnSpc>
            <a:buNone/>
          </a:pP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You</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can remember this need-experience funnel by its accidental acroynm. Can we now all agree that politics is full of CRAP?</a:t>
          </a: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45720</xdr:colOff>
      <xdr:row>99</xdr:row>
      <xdr:rowOff>60963</xdr:rowOff>
    </xdr:from>
    <xdr:to>
      <xdr:col>14</xdr:col>
      <xdr:colOff>0</xdr:colOff>
      <xdr:row>105</xdr:row>
      <xdr:rowOff>4575</xdr:rowOff>
    </xdr:to>
    <xdr:grpSp>
      <xdr:nvGrpSpPr>
        <xdr:cNvPr id="3" name="Group 2">
          <a:extLst>
            <a:ext uri="{FF2B5EF4-FFF2-40B4-BE49-F238E27FC236}">
              <a16:creationId xmlns:a16="http://schemas.microsoft.com/office/drawing/2014/main" id="{00000000-0008-0000-0200-000003000000}"/>
            </a:ext>
          </a:extLst>
        </xdr:cNvPr>
        <xdr:cNvGrpSpPr/>
      </xdr:nvGrpSpPr>
      <xdr:grpSpPr>
        <a:xfrm>
          <a:off x="45720" y="20505423"/>
          <a:ext cx="6217920" cy="1429512"/>
          <a:chOff x="91440" y="12268201"/>
          <a:chExt cx="6134100" cy="1464644"/>
        </a:xfrm>
      </xdr:grpSpPr>
      <xdr:sp macro="" textlink="">
        <xdr:nvSpPr>
          <xdr:cNvPr id="992" name="TextBox 991">
            <a:extLst>
              <a:ext uri="{FF2B5EF4-FFF2-40B4-BE49-F238E27FC236}">
                <a16:creationId xmlns:a16="http://schemas.microsoft.com/office/drawing/2014/main" id="{00000000-0008-0000-0200-0000E0030000}"/>
              </a:ext>
            </a:extLst>
          </xdr:cNvPr>
          <xdr:cNvSpPr txBox="1"/>
        </xdr:nvSpPr>
        <xdr:spPr>
          <a:xfrm>
            <a:off x="91440" y="12481561"/>
            <a:ext cx="350520" cy="11887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baseline="0">
                <a:latin typeface="Tahoma" panose="020B0604030504040204" pitchFamily="34" charset="0"/>
                <a:ea typeface="Tahoma" panose="020B0604030504040204" pitchFamily="34" charset="0"/>
                <a:cs typeface="Tahoma" panose="020B0604030504040204" pitchFamily="34" charset="0"/>
              </a:rPr>
              <a:t>1.</a:t>
            </a:r>
          </a:p>
          <a:p>
            <a:pPr algn="l"/>
            <a:endPar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endParaRPr>
          </a:p>
          <a:p>
            <a:pPr algn="l"/>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2.</a:t>
            </a:r>
          </a:p>
          <a:p>
            <a:pPr algn="l"/>
            <a:endPar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endParaRPr>
          </a:p>
          <a:p>
            <a:pPr algn="l"/>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3.</a:t>
            </a:r>
          </a:p>
          <a:p>
            <a:pPr algn="l"/>
            <a:endParaRPr lang="en-US" sz="110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998" name="TextBox 997">
            <a:extLst>
              <a:ext uri="{FF2B5EF4-FFF2-40B4-BE49-F238E27FC236}">
                <a16:creationId xmlns:a16="http://schemas.microsoft.com/office/drawing/2014/main" id="{00000000-0008-0000-0200-0000E6030000}"/>
              </a:ext>
            </a:extLst>
          </xdr:cNvPr>
          <xdr:cNvSpPr txBox="1"/>
        </xdr:nvSpPr>
        <xdr:spPr>
          <a:xfrm>
            <a:off x="281940" y="12481561"/>
            <a:ext cx="5943600" cy="12512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50" baseline="0">
                <a:ln>
                  <a:solidFill>
                    <a:schemeClr val="tx1"/>
                  </a:solidFill>
                </a:ln>
                <a:latin typeface="Tahoma" panose="020B0604030504040204" pitchFamily="34" charset="0"/>
                <a:ea typeface="Tahoma" panose="020B0604030504040204" pitchFamily="34" charset="0"/>
                <a:cs typeface="Tahoma" panose="020B0604030504040204" pitchFamily="34" charset="0"/>
              </a:rPr>
              <a:t>Politics favors broad generalizations over your specific needs</a:t>
            </a:r>
            <a:r>
              <a:rPr lang="en-US" sz="1150" baseline="0">
                <a:latin typeface="Tahoma" panose="020B0604030504040204" pitchFamily="34" charset="0"/>
                <a:ea typeface="Tahoma" panose="020B0604030504040204" pitchFamily="34" charset="0"/>
                <a:cs typeface="Tahoma" panose="020B0604030504040204" pitchFamily="34" charset="0"/>
              </a:rPr>
              <a:t>. We become easily polarized over generalizations that poorly fit our specific needs.</a:t>
            </a:r>
          </a:p>
          <a:p>
            <a:pPr marL="0" marR="0" lvl="0" indent="0" algn="l" defTabSz="914400" eaLnBrk="1" fontAlgn="auto" latinLnBrk="0" hangingPunct="1">
              <a:lnSpc>
                <a:spcPct val="100000"/>
              </a:lnSpc>
              <a:spcBef>
                <a:spcPts val="0"/>
              </a:spcBef>
              <a:spcAft>
                <a:spcPts val="0"/>
              </a:spcAft>
              <a:buClrTx/>
              <a:buSzTx/>
              <a:buFontTx/>
              <a:buNone/>
              <a:tabLst/>
              <a:defRPr/>
            </a:pPr>
            <a:r>
              <a:rPr lang="en-US" sz="1150" baseline="0">
                <a:ln>
                  <a:solidFill>
                    <a:schemeClr val="tx1"/>
                  </a:solidFill>
                </a:ln>
                <a:latin typeface="Tahoma" panose="020B0604030504040204" pitchFamily="34" charset="0"/>
                <a:ea typeface="Tahoma" panose="020B0604030504040204" pitchFamily="34" charset="0"/>
                <a:cs typeface="Tahoma" panose="020B0604030504040204" pitchFamily="34" charset="0"/>
              </a:rPr>
              <a:t>Politics shapes legal agreements to address public-facing </a:t>
            </a:r>
            <a:r>
              <a:rPr lang="en-US" sz="115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needs</a:t>
            </a:r>
            <a:r>
              <a:rPr lang="en-US" sz="1150" baseline="0">
                <a:solidFill>
                  <a:schemeClr val="dk1"/>
                </a:solidFill>
                <a:latin typeface="Tahoma" panose="020B0604030504040204" pitchFamily="34" charset="0"/>
                <a:ea typeface="Tahoma" panose="020B0604030504040204" pitchFamily="34" charset="0"/>
                <a:cs typeface="Tahoma" panose="020B0604030504040204" pitchFamily="34" charset="0"/>
              </a:rPr>
              <a:t>. We become easily polarized by alienating laws, as they coerce compliance against our priority of needs.</a:t>
            </a:r>
          </a:p>
          <a:p>
            <a:pPr marL="0" marR="0" lvl="0" indent="0" algn="l" defTabSz="914400" eaLnBrk="1" fontAlgn="auto" latinLnBrk="0" hangingPunct="1">
              <a:lnSpc>
                <a:spcPct val="100000"/>
              </a:lnSpc>
              <a:spcBef>
                <a:spcPts val="0"/>
              </a:spcBef>
              <a:spcAft>
                <a:spcPts val="0"/>
              </a:spcAft>
              <a:buClrTx/>
              <a:buSzTx/>
              <a:buFontTx/>
              <a:buNone/>
              <a:tabLst/>
              <a:defRPr/>
            </a:pPr>
            <a:r>
              <a:rPr lang="en-US" sz="115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Politics mitigates between contrasting situationally-prioritized needs</a:t>
            </a:r>
            <a:r>
              <a:rPr lang="en-US" sz="1150" baseline="0">
                <a:solidFill>
                  <a:schemeClr val="dk1"/>
                </a:solidFill>
                <a:latin typeface="Tahoma" panose="020B0604030504040204" pitchFamily="34" charset="0"/>
                <a:ea typeface="Tahoma" panose="020B0604030504040204" pitchFamily="34" charset="0"/>
                <a:cs typeface="Tahoma" panose="020B0604030504040204" pitchFamily="34" charset="0"/>
              </a:rPr>
              <a:t>. We become easily polarized by mutual defensiveness toward each other's situational needs.</a:t>
            </a:r>
          </a:p>
          <a:p>
            <a:pPr algn="l"/>
            <a:endParaRPr lang="en-US" sz="115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999" name="TextBox 998">
            <a:extLst>
              <a:ext uri="{FF2B5EF4-FFF2-40B4-BE49-F238E27FC236}">
                <a16:creationId xmlns:a16="http://schemas.microsoft.com/office/drawing/2014/main" id="{00000000-0008-0000-0200-0000E7030000}"/>
              </a:ext>
            </a:extLst>
          </xdr:cNvPr>
          <xdr:cNvSpPr txBox="1"/>
        </xdr:nvSpPr>
        <xdr:spPr>
          <a:xfrm>
            <a:off x="99060" y="12268201"/>
            <a:ext cx="6035040" cy="2971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a:solidFill>
                  <a:schemeClr val="dk1"/>
                </a:solidFill>
                <a:latin typeface="Tahoma" panose="020B0604030504040204" pitchFamily="34" charset="0"/>
                <a:ea typeface="Tahoma" panose="020B0604030504040204" pitchFamily="34" charset="0"/>
                <a:cs typeface="Tahoma" panose="020B0604030504040204" pitchFamily="34" charset="0"/>
              </a:rPr>
              <a:t>This</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 packs three dynamics fueling polarized politics.</a:t>
            </a:r>
            <a:endParaRPr lang="en-US" sz="1200">
              <a:solidFill>
                <a:schemeClr val="dk1"/>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7620</xdr:colOff>
      <xdr:row>188</xdr:row>
      <xdr:rowOff>68580</xdr:rowOff>
    </xdr:from>
    <xdr:to>
      <xdr:col>6</xdr:col>
      <xdr:colOff>365760</xdr:colOff>
      <xdr:row>194</xdr:row>
      <xdr:rowOff>114300</xdr:rowOff>
    </xdr:to>
    <xdr:sp macro="" textlink="">
      <xdr:nvSpPr>
        <xdr:cNvPr id="1002" name="You believe whatever serves your needs.">
          <a:extLst>
            <a:ext uri="{FF2B5EF4-FFF2-40B4-BE49-F238E27FC236}">
              <a16:creationId xmlns:a16="http://schemas.microsoft.com/office/drawing/2014/main" id="{00000000-0008-0000-0200-0000EA030000}"/>
            </a:ext>
          </a:extLst>
        </xdr:cNvPr>
        <xdr:cNvSpPr txBox="1">
          <a:spLocks/>
        </xdr:cNvSpPr>
      </xdr:nvSpPr>
      <xdr:spPr>
        <a:xfrm>
          <a:off x="129540" y="32461200"/>
          <a:ext cx="2834640" cy="10972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If your </a:t>
          </a:r>
          <a:r>
            <a:rPr lang="en-US" sz="1050" b="0" i="1">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self-needs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resolve</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more than your </a:t>
          </a:r>
          <a:r>
            <a:rPr lang="en-US" sz="1050" b="0" i="1" baseline="0">
              <a:ln>
                <a:solidFill>
                  <a:srgbClr val="2D143C"/>
                </a:solidFill>
              </a:ln>
              <a:solidFill>
                <a:srgbClr val="2D143C"/>
              </a:solidFill>
              <a:latin typeface="Tahoma" panose="020B0604030504040204" pitchFamily="34" charset="0"/>
              <a:ea typeface="Tahoma" panose="020B0604030504040204" pitchFamily="34" charset="0"/>
              <a:cs typeface="Tahoma" panose="020B0604030504040204" pitchFamily="34" charset="0"/>
            </a:rPr>
            <a:t>social-needs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tend to </a:t>
          </a:r>
          <a:r>
            <a:rPr lang="en-US" sz="1050" b="1"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focus wide</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 naturally focus more toward the needs of the disadvantaged. You yearn for inclusiveness, for what we can do more for each other, and for social equality for better lives.</a:t>
          </a:r>
          <a:endPar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137160</xdr:colOff>
      <xdr:row>188</xdr:row>
      <xdr:rowOff>68580</xdr:rowOff>
    </xdr:from>
    <xdr:to>
      <xdr:col>13</xdr:col>
      <xdr:colOff>0</xdr:colOff>
      <xdr:row>194</xdr:row>
      <xdr:rowOff>114300</xdr:rowOff>
    </xdr:to>
    <xdr:sp macro="" textlink="">
      <xdr:nvSpPr>
        <xdr:cNvPr id="1003" name="You believe whatever serves your needs.">
          <a:extLst>
            <a:ext uri="{FF2B5EF4-FFF2-40B4-BE49-F238E27FC236}">
              <a16:creationId xmlns:a16="http://schemas.microsoft.com/office/drawing/2014/main" id="{00000000-0008-0000-0200-0000EB030000}"/>
            </a:ext>
          </a:extLst>
        </xdr:cNvPr>
        <xdr:cNvSpPr txBox="1">
          <a:spLocks/>
        </xdr:cNvSpPr>
      </xdr:nvSpPr>
      <xdr:spPr>
        <a:xfrm>
          <a:off x="3230880" y="32461200"/>
          <a:ext cx="2834640" cy="10972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If your </a:t>
          </a:r>
          <a:r>
            <a:rPr lang="en-US" sz="1050" b="0" i="1">
              <a:ln>
                <a:solidFill>
                  <a:srgbClr val="2D143C"/>
                </a:solidFill>
              </a:ln>
              <a:solidFill>
                <a:srgbClr val="7030A0"/>
              </a:solidFill>
              <a:latin typeface="Tahoma" panose="020B0604030504040204" pitchFamily="34" charset="0"/>
              <a:ea typeface="Tahoma" panose="020B0604030504040204" pitchFamily="34" charset="0"/>
              <a:cs typeface="Tahoma" panose="020B0604030504040204" pitchFamily="34" charset="0"/>
            </a:rPr>
            <a:t>social-needs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resolve more than your </a:t>
          </a:r>
          <a:r>
            <a:rPr lang="en-US" sz="1050" b="0" i="1">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self-needs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tend to </a:t>
          </a:r>
          <a:r>
            <a:rPr lang="en-US" sz="1050" b="1"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focus deep</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 naturally focus more towards the needs of the resourceful. You yearn for cohesiveness, for what we can do more for ourselves, and for personal responsibility for better lives.</a:t>
          </a:r>
          <a:endPar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22860</xdr:colOff>
      <xdr:row>194</xdr:row>
      <xdr:rowOff>152400</xdr:rowOff>
    </xdr:from>
    <xdr:to>
      <xdr:col>12</xdr:col>
      <xdr:colOff>441960</xdr:colOff>
      <xdr:row>196</xdr:row>
      <xdr:rowOff>76200</xdr:rowOff>
    </xdr:to>
    <xdr:sp macro="" textlink="">
      <xdr:nvSpPr>
        <xdr:cNvPr id="1004" name="You believe whatever serves your needs.">
          <a:extLst>
            <a:ext uri="{FF2B5EF4-FFF2-40B4-BE49-F238E27FC236}">
              <a16:creationId xmlns:a16="http://schemas.microsoft.com/office/drawing/2014/main" id="{00000000-0008-0000-0200-0000EC030000}"/>
            </a:ext>
          </a:extLst>
        </xdr:cNvPr>
        <xdr:cNvSpPr txBox="1">
          <a:spLocks/>
        </xdr:cNvSpPr>
      </xdr:nvSpPr>
      <xdr:spPr>
        <a:xfrm>
          <a:off x="144780" y="33596580"/>
          <a:ext cx="5867400" cy="27432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050" b="0" spc="-10">
              <a:solidFill>
                <a:sysClr val="windowText" lastClr="000000"/>
              </a:solidFill>
              <a:latin typeface="Tahoma" panose="020B0604030504040204" pitchFamily="34" charset="0"/>
              <a:ea typeface="Tahoma" panose="020B0604030504040204" pitchFamily="34" charset="0"/>
              <a:cs typeface="Tahoma" panose="020B0604030504040204" pitchFamily="34" charset="0"/>
            </a:rPr>
            <a:t>Your situation first focuses your needs. Your</a:t>
          </a:r>
          <a:r>
            <a:rPr lang="en-US" sz="1050" b="0" spc="-1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politics arrive after, to give them shared expression.</a:t>
          </a:r>
          <a:endParaRPr lang="en-US" sz="1050" b="0" spc="-1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228600</xdr:colOff>
      <xdr:row>273</xdr:row>
      <xdr:rowOff>15240</xdr:rowOff>
    </xdr:from>
    <xdr:to>
      <xdr:col>12</xdr:col>
      <xdr:colOff>487680</xdr:colOff>
      <xdr:row>285</xdr:row>
      <xdr:rowOff>152400</xdr:rowOff>
    </xdr:to>
    <xdr:grpSp>
      <xdr:nvGrpSpPr>
        <xdr:cNvPr id="1006" name="Group 1005">
          <a:extLst>
            <a:ext uri="{FF2B5EF4-FFF2-40B4-BE49-F238E27FC236}">
              <a16:creationId xmlns:a16="http://schemas.microsoft.com/office/drawing/2014/main" id="{00000000-0008-0000-0200-0000EE030000}"/>
            </a:ext>
          </a:extLst>
        </xdr:cNvPr>
        <xdr:cNvGrpSpPr/>
      </xdr:nvGrpSpPr>
      <xdr:grpSpPr>
        <a:xfrm>
          <a:off x="3863340" y="59946540"/>
          <a:ext cx="2270760" cy="2240280"/>
          <a:chOff x="7452360" y="100683060"/>
          <a:chExt cx="2240280" cy="2240280"/>
        </a:xfrm>
      </xdr:grpSpPr>
      <xdr:sp macro="" textlink="">
        <xdr:nvSpPr>
          <xdr:cNvPr id="1007" name="Oval 1006">
            <a:extLst>
              <a:ext uri="{FF2B5EF4-FFF2-40B4-BE49-F238E27FC236}">
                <a16:creationId xmlns:a16="http://schemas.microsoft.com/office/drawing/2014/main" id="{00000000-0008-0000-0200-0000EF030000}"/>
              </a:ext>
            </a:extLst>
          </xdr:cNvPr>
          <xdr:cNvSpPr>
            <a:spLocks noChangeAspect="1"/>
          </xdr:cNvSpPr>
        </xdr:nvSpPr>
        <xdr:spPr>
          <a:xfrm>
            <a:off x="7452360" y="100683060"/>
            <a:ext cx="2240280" cy="2240280"/>
          </a:xfrm>
          <a:prstGeom prst="ellipse">
            <a:avLst/>
          </a:prstGeom>
          <a:gradFill flip="none" rotWithShape="1">
            <a:gsLst>
              <a:gs pos="79000">
                <a:srgbClr val="4B1E64">
                  <a:shade val="30000"/>
                  <a:satMod val="115000"/>
                </a:srgbClr>
              </a:gs>
              <a:gs pos="0">
                <a:srgbClr val="F0CDFF"/>
              </a:gs>
              <a:gs pos="100000">
                <a:srgbClr val="7030A0"/>
              </a:gs>
            </a:gsLst>
            <a:path path="circle">
              <a:fillToRect l="50000" t="50000" r="50000" b="50000"/>
            </a:path>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08" name="Oval 1007">
            <a:extLst>
              <a:ext uri="{FF2B5EF4-FFF2-40B4-BE49-F238E27FC236}">
                <a16:creationId xmlns:a16="http://schemas.microsoft.com/office/drawing/2014/main" id="{00000000-0008-0000-0200-0000F0030000}"/>
              </a:ext>
            </a:extLst>
          </xdr:cNvPr>
          <xdr:cNvSpPr>
            <a:spLocks noChangeAspect="1"/>
          </xdr:cNvSpPr>
        </xdr:nvSpPr>
        <xdr:spPr>
          <a:xfrm rot="328935">
            <a:off x="7744972" y="100985088"/>
            <a:ext cx="1645920" cy="1645920"/>
          </a:xfrm>
          <a:prstGeom prst="ellipse">
            <a:avLst/>
          </a:prstGeom>
          <a:gradFill>
            <a:gsLst>
              <a:gs pos="0">
                <a:srgbClr val="D2FFE6"/>
              </a:gs>
              <a:gs pos="100000">
                <a:srgbClr val="96FFC8"/>
              </a:gs>
            </a:gsLst>
            <a:path path="circle">
              <a:fillToRect l="50000" t="50000" r="50000" b="50000"/>
            </a:path>
          </a:gra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t"/>
          <a:lstStyle/>
          <a:p>
            <a:pPr algn="l"/>
            <a:endParaRPr lang="en-US" sz="1100"/>
          </a:p>
        </xdr:txBody>
      </xdr:sp>
      <xdr:sp macro="" textlink="">
        <xdr:nvSpPr>
          <xdr:cNvPr id="1009" name="Rectangle 1008">
            <a:extLst>
              <a:ext uri="{FF2B5EF4-FFF2-40B4-BE49-F238E27FC236}">
                <a16:creationId xmlns:a16="http://schemas.microsoft.com/office/drawing/2014/main" id="{00000000-0008-0000-0200-0000F1030000}"/>
              </a:ext>
            </a:extLst>
          </xdr:cNvPr>
          <xdr:cNvSpPr>
            <a:spLocks noChangeAspect="1"/>
          </xdr:cNvSpPr>
        </xdr:nvSpPr>
        <xdr:spPr>
          <a:xfrm rot="16200000">
            <a:off x="7907694" y="101139770"/>
            <a:ext cx="1325880" cy="1325880"/>
          </a:xfrm>
          <a:prstGeom prst="rect">
            <a:avLst/>
          </a:prstGeom>
          <a:noFill/>
        </xdr:spPr>
        <xdr:txBody>
          <a:bodyPr wrap="none" lIns="91440" tIns="45720" rIns="91440" bIns="45720">
            <a:prstTxWarp prst="textCircle">
              <a:avLst>
                <a:gd name="adj" fmla="val 12144837"/>
              </a:avLst>
            </a:prstTxWarp>
            <a:noAutofit/>
            <a:scene3d>
              <a:camera prst="orthographicFront"/>
              <a:lightRig rig="threePt" dir="t"/>
            </a:scene3d>
            <a:sp3d extrusionH="57150">
              <a:bevelT w="50800" h="38100" prst="riblet"/>
            </a:sp3d>
          </a:bodyPr>
          <a:lstStyle/>
          <a:p>
            <a:pPr algn="ctr"/>
            <a:r>
              <a:rPr lang="en-US" sz="1800" b="1" cap="none" spc="0">
                <a:ln w="0">
                  <a:solidFill>
                    <a:srgbClr val="C00000"/>
                  </a:solidFill>
                </a:ln>
                <a:solidFill>
                  <a:srgbClr val="C80000"/>
                </a:solidFill>
                <a:effectLst>
                  <a:glow rad="12700">
                    <a:schemeClr val="bg1">
                      <a:alpha val="65000"/>
                    </a:schemeClr>
                  </a:glow>
                  <a:outerShdw blurRad="25400" dir="5400000" sx="102000" sy="102000" algn="ctr" rotWithShape="0">
                    <a:prstClr val="black"/>
                  </a:outerShdw>
                </a:effectLst>
                <a:latin typeface="Arial Black" panose="020B0A04020102020204" pitchFamily="34" charset="0"/>
              </a:rPr>
              <a:t>YOUR VULNERABLY FELT NEEDS</a:t>
            </a:r>
          </a:p>
        </xdr:txBody>
      </xdr:sp>
      <xdr:sp macro="" textlink="">
        <xdr:nvSpPr>
          <xdr:cNvPr id="1010" name="Rectangle 1009">
            <a:extLst>
              <a:ext uri="{FF2B5EF4-FFF2-40B4-BE49-F238E27FC236}">
                <a16:creationId xmlns:a16="http://schemas.microsoft.com/office/drawing/2014/main" id="{00000000-0008-0000-0200-0000F2030000}"/>
              </a:ext>
            </a:extLst>
          </xdr:cNvPr>
          <xdr:cNvSpPr>
            <a:spLocks noChangeAspect="1"/>
          </xdr:cNvSpPr>
        </xdr:nvSpPr>
        <xdr:spPr>
          <a:xfrm rot="16200000">
            <a:off x="7649649" y="100882915"/>
            <a:ext cx="1828800" cy="1828800"/>
          </a:xfrm>
          <a:prstGeom prst="rect">
            <a:avLst/>
          </a:prstGeom>
          <a:noFill/>
        </xdr:spPr>
        <xdr:txBody>
          <a:bodyPr wrap="none" lIns="91440" tIns="45720" rIns="91440" bIns="45720">
            <a:prstTxWarp prst="textCircle">
              <a:avLst>
                <a:gd name="adj" fmla="val 11057429"/>
              </a:avLst>
            </a:prstTxWarp>
            <a:noAutofit/>
          </a:bodyPr>
          <a:lstStyle/>
          <a:p>
            <a:pPr algn="ctr"/>
            <a:r>
              <a:rPr lang="en-US" sz="1800" b="0" cap="none" spc="0">
                <a:ln w="0">
                  <a:solidFill>
                    <a:schemeClr val="bg1"/>
                  </a:solidFill>
                </a:ln>
                <a:solidFill>
                  <a:schemeClr val="bg1"/>
                </a:solidFill>
                <a:effectLst>
                  <a:glow rad="25400">
                    <a:srgbClr val="7030A0"/>
                  </a:glow>
                  <a:outerShdw blurRad="25400" dist="12700" dir="5400000" algn="tl" rotWithShape="0">
                    <a:schemeClr val="dk1"/>
                  </a:outerShdw>
                </a:effectLst>
                <a:latin typeface="Arial Black" panose="020B0A04020102020204" pitchFamily="34" charset="0"/>
              </a:rPr>
              <a:t>YOUR GUARDED POLITICAL OPINIONS</a:t>
            </a:r>
          </a:p>
        </xdr:txBody>
      </xdr:sp>
    </xdr:grpSp>
    <xdr:clientData/>
  </xdr:twoCellAnchor>
  <xdr:twoCellAnchor>
    <xdr:from>
      <xdr:col>0</xdr:col>
      <xdr:colOff>43148</xdr:colOff>
      <xdr:row>288</xdr:row>
      <xdr:rowOff>1</xdr:rowOff>
    </xdr:from>
    <xdr:to>
      <xdr:col>12</xdr:col>
      <xdr:colOff>346043</xdr:colOff>
      <xdr:row>289</xdr:row>
      <xdr:rowOff>160020</xdr:rowOff>
    </xdr:to>
    <xdr:sp macro="" textlink="">
      <xdr:nvSpPr>
        <xdr:cNvPr id="1012" name="TextBox 1011">
          <a:extLst>
            <a:ext uri="{FF2B5EF4-FFF2-40B4-BE49-F238E27FC236}">
              <a16:creationId xmlns:a16="http://schemas.microsoft.com/office/drawing/2014/main" id="{00000000-0008-0000-0200-0000F4030000}"/>
            </a:ext>
          </a:extLst>
        </xdr:cNvPr>
        <xdr:cNvSpPr txBox="1"/>
      </xdr:nvSpPr>
      <xdr:spPr>
        <a:xfrm>
          <a:off x="43148" y="60759976"/>
          <a:ext cx="5760720" cy="3219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400" b="1">
              <a:latin typeface="Tahoma" panose="020B0604030504040204" pitchFamily="34" charset="0"/>
              <a:ea typeface="Tahoma" panose="020B0604030504040204" pitchFamily="34" charset="0"/>
              <a:cs typeface="Tahoma" panose="020B0604030504040204" pitchFamily="34" charset="0"/>
            </a:rPr>
            <a:t>Let's understand others as</a:t>
          </a:r>
          <a:r>
            <a:rPr lang="en-US" sz="1400" b="1" baseline="0">
              <a:latin typeface="Tahoma" panose="020B0604030504040204" pitchFamily="34" charset="0"/>
              <a:ea typeface="Tahoma" panose="020B0604030504040204" pitchFamily="34" charset="0"/>
              <a:cs typeface="Tahoma" panose="020B0604030504040204" pitchFamily="34" charset="0"/>
            </a:rPr>
            <a:t> we expect others to understand us</a:t>
          </a:r>
          <a:r>
            <a:rPr lang="en-US" sz="1400" b="1">
              <a:latin typeface="Tahoma" panose="020B0604030504040204" pitchFamily="34" charset="0"/>
              <a:ea typeface="Tahoma" panose="020B0604030504040204" pitchFamily="34" charset="0"/>
              <a:cs typeface="Tahoma" panose="020B0604030504040204" pitchFamily="34" charset="0"/>
            </a:rPr>
            <a:t>. </a:t>
          </a:r>
          <a:endParaRPr lang="en-US" sz="1200" b="1"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15240</xdr:colOff>
      <xdr:row>372</xdr:row>
      <xdr:rowOff>129540</xdr:rowOff>
    </xdr:from>
    <xdr:to>
      <xdr:col>12</xdr:col>
      <xdr:colOff>438150</xdr:colOff>
      <xdr:row>388</xdr:row>
      <xdr:rowOff>60969</xdr:rowOff>
    </xdr:to>
    <xdr:grpSp>
      <xdr:nvGrpSpPr>
        <xdr:cNvPr id="43" name="Group 42">
          <a:extLst>
            <a:ext uri="{FF2B5EF4-FFF2-40B4-BE49-F238E27FC236}">
              <a16:creationId xmlns:a16="http://schemas.microsoft.com/office/drawing/2014/main" id="{00000000-0008-0000-0200-00002B000000}"/>
            </a:ext>
          </a:extLst>
        </xdr:cNvPr>
        <xdr:cNvGrpSpPr/>
      </xdr:nvGrpSpPr>
      <xdr:grpSpPr>
        <a:xfrm>
          <a:off x="129540" y="77838300"/>
          <a:ext cx="5955030" cy="2727969"/>
          <a:chOff x="137160" y="69364860"/>
          <a:chExt cx="5871210" cy="2727969"/>
        </a:xfrm>
      </xdr:grpSpPr>
      <xdr:sp macro="" textlink="">
        <xdr:nvSpPr>
          <xdr:cNvPr id="860" name="WIDE oriented">
            <a:extLst>
              <a:ext uri="{FF2B5EF4-FFF2-40B4-BE49-F238E27FC236}">
                <a16:creationId xmlns:a16="http://schemas.microsoft.com/office/drawing/2014/main" id="{00000000-0008-0000-0200-00005C030000}"/>
              </a:ext>
            </a:extLst>
          </xdr:cNvPr>
          <xdr:cNvSpPr/>
        </xdr:nvSpPr>
        <xdr:spPr>
          <a:xfrm>
            <a:off x="144780" y="69364860"/>
            <a:ext cx="2743200" cy="1371600"/>
          </a:xfrm>
          <a:prstGeom prst="rect">
            <a:avLst/>
          </a:prstGeom>
          <a:noFill/>
        </xdr:spPr>
        <xdr:txBody>
          <a:bodyPr spcFirstLastPara="1" wrap="square" lIns="91440" tIns="45720" rIns="91440" bIns="45720" numCol="1">
            <a:prstTxWarp prst="textButton">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WIDE</a:t>
            </a:r>
            <a:endParaRPr lang="en-US" sz="54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oriented</a:t>
            </a:r>
            <a:endParaRPr lang="en-US" sz="54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861" name="DEEP oriented">
            <a:extLst>
              <a:ext uri="{FF2B5EF4-FFF2-40B4-BE49-F238E27FC236}">
                <a16:creationId xmlns:a16="http://schemas.microsoft.com/office/drawing/2014/main" id="{00000000-0008-0000-0200-00005D030000}"/>
              </a:ext>
            </a:extLst>
          </xdr:cNvPr>
          <xdr:cNvSpPr/>
        </xdr:nvSpPr>
        <xdr:spPr>
          <a:xfrm>
            <a:off x="3262557" y="69369479"/>
            <a:ext cx="2743200" cy="1371600"/>
          </a:xfrm>
          <a:prstGeom prst="rect">
            <a:avLst/>
          </a:prstGeom>
          <a:noFill/>
        </xdr:spPr>
        <xdr:txBody>
          <a:bodyPr spcFirstLastPara="1" wrap="square" lIns="91440" tIns="45720" rIns="91440" bIns="45720" numCol="1">
            <a:prstTxWarp prst="textButton">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spc="30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DEEP</a:t>
            </a:r>
            <a:r>
              <a:rPr lang="en-US" sz="5400" b="1">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oriented</a:t>
            </a:r>
          </a:p>
        </xdr:txBody>
      </xdr:sp>
      <xdr:grpSp>
        <xdr:nvGrpSpPr>
          <xdr:cNvPr id="1250" name="Group 1249">
            <a:extLst>
              <a:ext uri="{FF2B5EF4-FFF2-40B4-BE49-F238E27FC236}">
                <a16:creationId xmlns:a16="http://schemas.microsoft.com/office/drawing/2014/main" id="{00000000-0008-0000-0200-0000E2040000}"/>
              </a:ext>
            </a:extLst>
          </xdr:cNvPr>
          <xdr:cNvGrpSpPr/>
        </xdr:nvGrpSpPr>
        <xdr:grpSpPr>
          <a:xfrm>
            <a:off x="137160" y="70264029"/>
            <a:ext cx="2743200" cy="1828800"/>
            <a:chOff x="167640" y="48415786"/>
            <a:chExt cx="2743200" cy="1977081"/>
          </a:xfrm>
        </xdr:grpSpPr>
        <xdr:grpSp>
          <xdr:nvGrpSpPr>
            <xdr:cNvPr id="1251" name="Group 1250">
              <a:extLst>
                <a:ext uri="{FF2B5EF4-FFF2-40B4-BE49-F238E27FC236}">
                  <a16:creationId xmlns:a16="http://schemas.microsoft.com/office/drawing/2014/main" id="{00000000-0008-0000-0200-0000E3040000}"/>
                </a:ext>
              </a:extLst>
            </xdr:cNvPr>
            <xdr:cNvGrpSpPr>
              <a:grpSpLocks noChangeAspect="1"/>
            </xdr:cNvGrpSpPr>
          </xdr:nvGrpSpPr>
          <xdr:grpSpPr>
            <a:xfrm>
              <a:off x="167640" y="48415786"/>
              <a:ext cx="2743200" cy="1977081"/>
              <a:chOff x="0" y="-1"/>
              <a:chExt cx="3200400" cy="2240695"/>
            </a:xfrm>
          </xdr:grpSpPr>
          <xdr:sp macro="" textlink="">
            <xdr:nvSpPr>
              <xdr:cNvPr id="1256" name="Rectangle 1255">
                <a:extLst>
                  <a:ext uri="{FF2B5EF4-FFF2-40B4-BE49-F238E27FC236}">
                    <a16:creationId xmlns:a16="http://schemas.microsoft.com/office/drawing/2014/main" id="{00000000-0008-0000-0200-0000E8040000}"/>
                  </a:ext>
                </a:extLst>
              </xdr:cNvPr>
              <xdr:cNvSpPr/>
            </xdr:nvSpPr>
            <xdr:spPr>
              <a:xfrm>
                <a:off x="0" y="-1"/>
                <a:ext cx="3200400" cy="2240695"/>
              </a:xfrm>
              <a:prstGeom prst="rect">
                <a:avLst/>
              </a:prstGeom>
              <a:solidFill>
                <a:srgbClr val="C2DAF0">
                  <a:alpha val="84706"/>
                </a:srgbClr>
              </a:solidFill>
              <a:ln w="28575">
                <a:solidFill>
                  <a:srgbClr val="0070C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1257" name="Group 1256">
                <a:extLst>
                  <a:ext uri="{FF2B5EF4-FFF2-40B4-BE49-F238E27FC236}">
                    <a16:creationId xmlns:a16="http://schemas.microsoft.com/office/drawing/2014/main" id="{00000000-0008-0000-0200-0000E9040000}"/>
                  </a:ext>
                </a:extLst>
              </xdr:cNvPr>
              <xdr:cNvGrpSpPr/>
            </xdr:nvGrpSpPr>
            <xdr:grpSpPr>
              <a:xfrm>
                <a:off x="88900" y="99060"/>
                <a:ext cx="1112520" cy="1371600"/>
                <a:chOff x="-124460" y="0"/>
                <a:chExt cx="1112520" cy="1371600"/>
              </a:xfrm>
            </xdr:grpSpPr>
            <xdr:sp macro="" textlink="">
              <xdr:nvSpPr>
                <xdr:cNvPr id="1258" name="Rectangle 1257">
                  <a:extLst>
                    <a:ext uri="{FF2B5EF4-FFF2-40B4-BE49-F238E27FC236}">
                      <a16:creationId xmlns:a16="http://schemas.microsoft.com/office/drawing/2014/main" id="{00000000-0008-0000-0200-0000EA040000}"/>
                    </a:ext>
                  </a:extLst>
                </xdr:cNvPr>
                <xdr:cNvSpPr/>
              </xdr:nvSpPr>
              <xdr:spPr>
                <a:xfrm>
                  <a:off x="-124460" y="0"/>
                  <a:ext cx="457200" cy="1371600"/>
                </a:xfrm>
                <a:prstGeom prst="rect">
                  <a:avLst/>
                </a:prstGeom>
                <a:gradFill>
                  <a:gsLst>
                    <a:gs pos="0">
                      <a:schemeClr val="accent4">
                        <a:lumMod val="20000"/>
                        <a:lumOff val="80000"/>
                      </a:schemeClr>
                    </a:gs>
                    <a:gs pos="69000">
                      <a:schemeClr val="accent4">
                        <a:lumMod val="20000"/>
                        <a:lumOff val="80000"/>
                      </a:schemeClr>
                    </a:gs>
                    <a:gs pos="70000">
                      <a:schemeClr val="accent6">
                        <a:lumMod val="40000"/>
                        <a:lumOff val="60000"/>
                      </a:schemeClr>
                    </a:gs>
                    <a:gs pos="100000">
                      <a:schemeClr val="accent6">
                        <a:lumMod val="60000"/>
                        <a:lumOff val="40000"/>
                      </a:schemeClr>
                    </a:gs>
                  </a:gsLst>
                  <a:lin ang="5400000" scaled="1"/>
                </a:gradFill>
                <a:ln>
                  <a:solidFill>
                    <a:srgbClr val="00B050"/>
                  </a:solidFill>
                </a:ln>
                <a:effectLst>
                  <a:glow rad="63500">
                    <a:schemeClr val="accent5">
                      <a:satMod val="175000"/>
                      <a:alpha val="40000"/>
                    </a:schemeClr>
                  </a:glow>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1259" name="Rectangle 1258">
                  <a:extLst>
                    <a:ext uri="{FF2B5EF4-FFF2-40B4-BE49-F238E27FC236}">
                      <a16:creationId xmlns:a16="http://schemas.microsoft.com/office/drawing/2014/main" id="{00000000-0008-0000-0200-0000EB040000}"/>
                    </a:ext>
                  </a:extLst>
                </xdr:cNvPr>
                <xdr:cNvSpPr/>
              </xdr:nvSpPr>
              <xdr:spPr>
                <a:xfrm>
                  <a:off x="530860" y="0"/>
                  <a:ext cx="457200" cy="1371600"/>
                </a:xfrm>
                <a:prstGeom prst="rect">
                  <a:avLst/>
                </a:prstGeom>
                <a:gradFill>
                  <a:gsLst>
                    <a:gs pos="0">
                      <a:schemeClr val="accent4">
                        <a:lumMod val="20000"/>
                        <a:lumOff val="80000"/>
                      </a:schemeClr>
                    </a:gs>
                    <a:gs pos="79000">
                      <a:schemeClr val="accent4">
                        <a:lumMod val="20000"/>
                        <a:lumOff val="80000"/>
                      </a:schemeClr>
                    </a:gs>
                    <a:gs pos="80000">
                      <a:srgbClr val="F0CDFF"/>
                    </a:gs>
                    <a:gs pos="100000">
                      <a:srgbClr val="D7B9FF"/>
                    </a:gs>
                  </a:gsLst>
                  <a:lin ang="5400000" scaled="1"/>
                </a:gradFill>
                <a:ln>
                  <a:solidFill>
                    <a:srgbClr val="7030A0"/>
                  </a:solidFill>
                </a:ln>
                <a:effectLst>
                  <a:glow rad="63500">
                    <a:schemeClr val="accent5">
                      <a:satMod val="175000"/>
                      <a:alpha val="40000"/>
                    </a:schemeClr>
                  </a:glow>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1260" name="Straight Connector 1259">
                  <a:extLst>
                    <a:ext uri="{FF2B5EF4-FFF2-40B4-BE49-F238E27FC236}">
                      <a16:creationId xmlns:a16="http://schemas.microsoft.com/office/drawing/2014/main" id="{00000000-0008-0000-0200-0000EC040000}"/>
                    </a:ext>
                  </a:extLst>
                </xdr:cNvPr>
                <xdr:cNvCxnSpPr/>
              </xdr:nvCxnSpPr>
              <xdr:spPr>
                <a:xfrm flipH="1" flipV="1">
                  <a:off x="332740" y="968564"/>
                  <a:ext cx="198120" cy="129740"/>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52" name="TextBox 1251">
              <a:extLst>
                <a:ext uri="{FF2B5EF4-FFF2-40B4-BE49-F238E27FC236}">
                  <a16:creationId xmlns:a16="http://schemas.microsoft.com/office/drawing/2014/main" id="{00000000-0008-0000-0200-0000E4040000}"/>
                </a:ext>
              </a:extLst>
            </xdr:cNvPr>
            <xdr:cNvSpPr txBox="1"/>
          </xdr:nvSpPr>
          <xdr:spPr>
            <a:xfrm>
              <a:off x="228600" y="48626516"/>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1253" name="TextBox 1252">
              <a:extLst>
                <a:ext uri="{FF2B5EF4-FFF2-40B4-BE49-F238E27FC236}">
                  <a16:creationId xmlns:a16="http://schemas.microsoft.com/office/drawing/2014/main" id="{00000000-0008-0000-0200-0000E5040000}"/>
                </a:ext>
              </a:extLst>
            </xdr:cNvPr>
            <xdr:cNvSpPr txBox="1"/>
          </xdr:nvSpPr>
          <xdr:spPr>
            <a:xfrm>
              <a:off x="792480" y="48626516"/>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1254" name="TextBox 1253">
              <a:extLst>
                <a:ext uri="{FF2B5EF4-FFF2-40B4-BE49-F238E27FC236}">
                  <a16:creationId xmlns:a16="http://schemas.microsoft.com/office/drawing/2014/main" id="{00000000-0008-0000-0200-0000E6040000}"/>
                </a:ext>
              </a:extLst>
            </xdr:cNvPr>
            <xdr:cNvSpPr txBox="1"/>
          </xdr:nvSpPr>
          <xdr:spPr>
            <a:xfrm>
              <a:off x="1333500" y="49096072"/>
              <a:ext cx="1417320"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00" b="0" i="0">
                  <a:latin typeface="Arial Narrow" panose="020B0606020202030204" pitchFamily="34" charset="0"/>
                </a:rPr>
                <a:t>Your</a:t>
              </a:r>
              <a:r>
                <a:rPr lang="en-US" sz="1000" baseline="0">
                  <a:latin typeface="Arial Narrow" panose="020B0606020202030204" pitchFamily="34" charset="0"/>
                </a:rPr>
                <a:t> relatively more </a:t>
              </a:r>
              <a:r>
                <a:rPr lang="en-US" sz="1000">
                  <a:latin typeface="Arial Narrow" panose="020B0606020202030204" pitchFamily="34" charset="0"/>
                </a:rPr>
                <a:t>resolved </a:t>
              </a:r>
              <a:r>
                <a:rPr lang="en-US" sz="1000" b="1" i="1">
                  <a:latin typeface="Arial Narrow" panose="020B0606020202030204" pitchFamily="34" charset="0"/>
                </a:rPr>
                <a:t>self-needs</a:t>
              </a:r>
              <a:r>
                <a:rPr lang="en-US" sz="1000">
                  <a:latin typeface="Arial Narrow" panose="020B0606020202030204" pitchFamily="34" charset="0"/>
                </a:rPr>
                <a:t> </a:t>
              </a:r>
              <a:r>
                <a:rPr lang="en-US" sz="1000" b="1">
                  <a:latin typeface="Arial Narrow" panose="020B0606020202030204" pitchFamily="34" charset="0"/>
                </a:rPr>
                <a:t>prioritize</a:t>
              </a:r>
              <a:r>
                <a:rPr lang="en-US" sz="1000">
                  <a:latin typeface="Arial Narrow" panose="020B0606020202030204" pitchFamily="34" charset="0"/>
                </a:rPr>
                <a:t> your defenses to remain painless.</a:t>
              </a:r>
            </a:p>
          </xdr:txBody>
        </xdr:sp>
        <xdr:sp macro="" textlink="">
          <xdr:nvSpPr>
            <xdr:cNvPr id="1255" name="TextBox 1254">
              <a:extLst>
                <a:ext uri="{FF2B5EF4-FFF2-40B4-BE49-F238E27FC236}">
                  <a16:creationId xmlns:a16="http://schemas.microsoft.com/office/drawing/2014/main" id="{00000000-0008-0000-0200-0000E7040000}"/>
                </a:ext>
              </a:extLst>
            </xdr:cNvPr>
            <xdr:cNvSpPr txBox="1"/>
          </xdr:nvSpPr>
          <xdr:spPr>
            <a:xfrm>
              <a:off x="1318260" y="48494710"/>
              <a:ext cx="1417320"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0" i="0">
                  <a:latin typeface="Arial Narrow" panose="020B0606020202030204" pitchFamily="34" charset="0"/>
                </a:rPr>
                <a:t>Your</a:t>
              </a:r>
              <a:r>
                <a:rPr lang="en-US" sz="1100" baseline="0">
                  <a:latin typeface="Arial Narrow" panose="020B0606020202030204" pitchFamily="34" charset="0"/>
                </a:rPr>
                <a:t> less</a:t>
              </a:r>
              <a:r>
                <a:rPr lang="en-US" sz="1100">
                  <a:latin typeface="Arial Narrow" panose="020B0606020202030204" pitchFamily="34" charset="0"/>
                </a:rPr>
                <a:t> resolved </a:t>
              </a:r>
              <a:r>
                <a:rPr lang="en-US" sz="1100" b="1" i="1" spc="-30" baseline="0">
                  <a:latin typeface="Arial Narrow" panose="020B0606020202030204" pitchFamily="34" charset="0"/>
                </a:rPr>
                <a:t>social-needs</a:t>
              </a:r>
              <a:r>
                <a:rPr lang="en-US" sz="1100" spc="-30" baseline="0">
                  <a:latin typeface="Arial Narrow" panose="020B0606020202030204" pitchFamily="34" charset="0"/>
                </a:rPr>
                <a:t> </a:t>
              </a:r>
              <a:r>
                <a:rPr lang="en-US" sz="1100" b="1" spc="-30" baseline="0">
                  <a:latin typeface="Arial Narrow" panose="020B0606020202030204" pitchFamily="34" charset="0"/>
                </a:rPr>
                <a:t>prioritize</a:t>
              </a:r>
              <a:r>
                <a:rPr lang="en-US" sz="1100" spc="-30" baseline="0">
                  <a:latin typeface="Arial Narrow" panose="020B0606020202030204" pitchFamily="34" charset="0"/>
                </a:rPr>
                <a:t> your beliefs and actions for their relief.</a:t>
              </a:r>
            </a:p>
          </xdr:txBody>
        </xdr:sp>
        <xdr:sp macro="" textlink="">
          <xdr:nvSpPr>
            <xdr:cNvPr id="1272" name="TextBox 1271">
              <a:extLst>
                <a:ext uri="{FF2B5EF4-FFF2-40B4-BE49-F238E27FC236}">
                  <a16:creationId xmlns:a16="http://schemas.microsoft.com/office/drawing/2014/main" id="{00000000-0008-0000-0200-0000F8040000}"/>
                </a:ext>
              </a:extLst>
            </xdr:cNvPr>
            <xdr:cNvSpPr txBox="1"/>
          </xdr:nvSpPr>
          <xdr:spPr>
            <a:xfrm>
              <a:off x="213360" y="49766784"/>
              <a:ext cx="2606040"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50" b="0" i="0">
                  <a:latin typeface="Arial" panose="020B0604020202020204" pitchFamily="34" charset="0"/>
                  <a:cs typeface="Arial" panose="020B0604020202020204" pitchFamily="34" charset="0"/>
                </a:rPr>
                <a:t>These priorities </a:t>
              </a:r>
              <a:r>
                <a:rPr lang="en-US" sz="1050" b="1" i="1">
                  <a:latin typeface="Arial" panose="020B0604020202020204" pitchFamily="34" charset="0"/>
                  <a:cs typeface="Arial" panose="020B0604020202020204" pitchFamily="34" charset="0"/>
                </a:rPr>
                <a:t>orient</a:t>
              </a:r>
              <a:r>
                <a:rPr lang="en-US" sz="1050" b="0" i="0">
                  <a:latin typeface="Arial" panose="020B0604020202020204" pitchFamily="34" charset="0"/>
                  <a:cs typeface="Arial" panose="020B0604020202020204" pitchFamily="34" charset="0"/>
                </a:rPr>
                <a:t> you toward </a:t>
              </a:r>
              <a:r>
                <a:rPr lang="en-US" sz="1050" b="1" i="0">
                  <a:latin typeface="Arial" panose="020B0604020202020204" pitchFamily="34" charset="0"/>
                  <a:cs typeface="Arial" panose="020B0604020202020204" pitchFamily="34" charset="0"/>
                </a:rPr>
                <a:t>wider</a:t>
              </a:r>
              <a:r>
                <a:rPr lang="en-US" sz="1050" b="0" i="0">
                  <a:latin typeface="Arial" panose="020B0604020202020204" pitchFamily="34" charset="0"/>
                  <a:cs typeface="Arial" panose="020B0604020202020204" pitchFamily="34" charset="0"/>
                </a:rPr>
                <a:t> relating to ease your psychosocial needs. </a:t>
              </a:r>
              <a:r>
                <a:rPr lang="en-US" sz="1050" b="1" i="0">
                  <a:solidFill>
                    <a:schemeClr val="accent5">
                      <a:lumMod val="50000"/>
                    </a:schemeClr>
                  </a:solidFill>
                  <a:effectLst>
                    <a:glow rad="63500">
                      <a:schemeClr val="accent5">
                        <a:lumMod val="20000"/>
                        <a:lumOff val="80000"/>
                      </a:schemeClr>
                    </a:glow>
                  </a:effectLst>
                  <a:latin typeface="Verdana" panose="020B0604030504040204" pitchFamily="34" charset="0"/>
                  <a:ea typeface="Verdana" panose="020B0604030504040204" pitchFamily="34" charset="0"/>
                  <a:cs typeface="Arial" panose="020B0604020202020204" pitchFamily="34" charset="0"/>
                </a:rPr>
                <a:t>Liberalism</a:t>
              </a:r>
              <a:r>
                <a:rPr lang="en-US" sz="1050" b="0" i="0" baseline="0">
                  <a:latin typeface="Arial" panose="020B0604020202020204" pitchFamily="34" charset="0"/>
                  <a:cs typeface="Arial" panose="020B0604020202020204" pitchFamily="34" charset="0"/>
                </a:rPr>
                <a:t> emerged to express it.</a:t>
              </a:r>
              <a:r>
                <a:rPr lang="en-US" sz="1050" b="0" i="0">
                  <a:latin typeface="Arial" panose="020B0604020202020204" pitchFamily="34" charset="0"/>
                  <a:cs typeface="Arial" panose="020B0604020202020204" pitchFamily="34" charset="0"/>
                </a:rPr>
                <a:t> </a:t>
              </a:r>
              <a:endParaRPr lang="en-US" sz="1050">
                <a:latin typeface="Arial" panose="020B0604020202020204" pitchFamily="34" charset="0"/>
                <a:cs typeface="Arial" panose="020B0604020202020204" pitchFamily="34" charset="0"/>
              </a:endParaRPr>
            </a:p>
          </xdr:txBody>
        </xdr:sp>
      </xdr:grpSp>
      <xdr:grpSp>
        <xdr:nvGrpSpPr>
          <xdr:cNvPr id="1261" name="Group 1260">
            <a:extLst>
              <a:ext uri="{FF2B5EF4-FFF2-40B4-BE49-F238E27FC236}">
                <a16:creationId xmlns:a16="http://schemas.microsoft.com/office/drawing/2014/main" id="{00000000-0008-0000-0200-0000ED040000}"/>
              </a:ext>
            </a:extLst>
          </xdr:cNvPr>
          <xdr:cNvGrpSpPr/>
        </xdr:nvGrpSpPr>
        <xdr:grpSpPr>
          <a:xfrm>
            <a:off x="3268980" y="70264029"/>
            <a:ext cx="2739390" cy="1828800"/>
            <a:chOff x="3299460" y="48415786"/>
            <a:chExt cx="2743200" cy="1977081"/>
          </a:xfrm>
        </xdr:grpSpPr>
        <xdr:grpSp>
          <xdr:nvGrpSpPr>
            <xdr:cNvPr id="1262" name="Group 1261">
              <a:extLst>
                <a:ext uri="{FF2B5EF4-FFF2-40B4-BE49-F238E27FC236}">
                  <a16:creationId xmlns:a16="http://schemas.microsoft.com/office/drawing/2014/main" id="{00000000-0008-0000-0200-0000EE040000}"/>
                </a:ext>
              </a:extLst>
            </xdr:cNvPr>
            <xdr:cNvGrpSpPr>
              <a:grpSpLocks noChangeAspect="1"/>
            </xdr:cNvGrpSpPr>
          </xdr:nvGrpSpPr>
          <xdr:grpSpPr>
            <a:xfrm>
              <a:off x="3299460" y="48415786"/>
              <a:ext cx="2743200" cy="1977081"/>
              <a:chOff x="0" y="-1"/>
              <a:chExt cx="3200400" cy="2240695"/>
            </a:xfrm>
          </xdr:grpSpPr>
          <xdr:sp macro="" textlink="">
            <xdr:nvSpPr>
              <xdr:cNvPr id="1267" name="Rectangle 1266">
                <a:extLst>
                  <a:ext uri="{FF2B5EF4-FFF2-40B4-BE49-F238E27FC236}">
                    <a16:creationId xmlns:a16="http://schemas.microsoft.com/office/drawing/2014/main" id="{00000000-0008-0000-0200-0000F3040000}"/>
                  </a:ext>
                </a:extLst>
              </xdr:cNvPr>
              <xdr:cNvSpPr/>
            </xdr:nvSpPr>
            <xdr:spPr>
              <a:xfrm>
                <a:off x="0" y="-1"/>
                <a:ext cx="3200400" cy="2240695"/>
              </a:xfrm>
              <a:prstGeom prst="rect">
                <a:avLst/>
              </a:prstGeom>
              <a:solidFill>
                <a:srgbClr val="FFC1C1">
                  <a:alpha val="80000"/>
                </a:srgbClr>
              </a:solidFill>
              <a:ln w="28575">
                <a:solidFill>
                  <a:srgbClr val="C0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1268" name="Group 1267">
                <a:extLst>
                  <a:ext uri="{FF2B5EF4-FFF2-40B4-BE49-F238E27FC236}">
                    <a16:creationId xmlns:a16="http://schemas.microsoft.com/office/drawing/2014/main" id="{00000000-0008-0000-0200-0000F4040000}"/>
                  </a:ext>
                </a:extLst>
              </xdr:cNvPr>
              <xdr:cNvGrpSpPr/>
            </xdr:nvGrpSpPr>
            <xdr:grpSpPr>
              <a:xfrm>
                <a:off x="1993832" y="99060"/>
                <a:ext cx="1112521" cy="1371600"/>
                <a:chOff x="1780472" y="0"/>
                <a:chExt cx="1112521" cy="1371600"/>
              </a:xfrm>
            </xdr:grpSpPr>
            <xdr:sp macro="" textlink="">
              <xdr:nvSpPr>
                <xdr:cNvPr id="1269" name="Rectangle 1268">
                  <a:extLst>
                    <a:ext uri="{FF2B5EF4-FFF2-40B4-BE49-F238E27FC236}">
                      <a16:creationId xmlns:a16="http://schemas.microsoft.com/office/drawing/2014/main" id="{00000000-0008-0000-0200-0000F5040000}"/>
                    </a:ext>
                  </a:extLst>
                </xdr:cNvPr>
                <xdr:cNvSpPr/>
              </xdr:nvSpPr>
              <xdr:spPr>
                <a:xfrm>
                  <a:off x="1780472" y="0"/>
                  <a:ext cx="457201" cy="1371600"/>
                </a:xfrm>
                <a:prstGeom prst="rect">
                  <a:avLst/>
                </a:prstGeom>
                <a:gradFill>
                  <a:gsLst>
                    <a:gs pos="0">
                      <a:schemeClr val="accent4">
                        <a:lumMod val="20000"/>
                        <a:lumOff val="80000"/>
                      </a:schemeClr>
                    </a:gs>
                    <a:gs pos="79000">
                      <a:schemeClr val="accent4">
                        <a:lumMod val="20000"/>
                        <a:lumOff val="80000"/>
                      </a:schemeClr>
                    </a:gs>
                    <a:gs pos="80000">
                      <a:schemeClr val="accent6">
                        <a:lumMod val="40000"/>
                        <a:lumOff val="60000"/>
                      </a:schemeClr>
                    </a:gs>
                    <a:gs pos="100000">
                      <a:schemeClr val="accent6">
                        <a:lumMod val="60000"/>
                        <a:lumOff val="40000"/>
                      </a:schemeClr>
                    </a:gs>
                  </a:gsLst>
                  <a:lin ang="5400000" scaled="1"/>
                </a:gradFill>
                <a:ln>
                  <a:solidFill>
                    <a:srgbClr val="00B050"/>
                  </a:solidFill>
                </a:ln>
                <a:effectLst>
                  <a:glow rad="63500">
                    <a:srgbClr val="FF3C3C">
                      <a:alpha val="40000"/>
                    </a:srgbClr>
                  </a:glow>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1270" name="Rectangle 1269">
                  <a:extLst>
                    <a:ext uri="{FF2B5EF4-FFF2-40B4-BE49-F238E27FC236}">
                      <a16:creationId xmlns:a16="http://schemas.microsoft.com/office/drawing/2014/main" id="{00000000-0008-0000-0200-0000F6040000}"/>
                    </a:ext>
                  </a:extLst>
                </xdr:cNvPr>
                <xdr:cNvSpPr/>
              </xdr:nvSpPr>
              <xdr:spPr>
                <a:xfrm>
                  <a:off x="2435793" y="0"/>
                  <a:ext cx="457200" cy="1371600"/>
                </a:xfrm>
                <a:prstGeom prst="rect">
                  <a:avLst/>
                </a:prstGeom>
                <a:gradFill>
                  <a:gsLst>
                    <a:gs pos="0">
                      <a:schemeClr val="accent4">
                        <a:lumMod val="20000"/>
                        <a:lumOff val="80000"/>
                      </a:schemeClr>
                    </a:gs>
                    <a:gs pos="69000">
                      <a:schemeClr val="accent4">
                        <a:lumMod val="20000"/>
                        <a:lumOff val="80000"/>
                      </a:schemeClr>
                    </a:gs>
                    <a:gs pos="70000">
                      <a:srgbClr val="F0CDFF"/>
                    </a:gs>
                    <a:gs pos="100000">
                      <a:srgbClr val="D7B9FF"/>
                    </a:gs>
                  </a:gsLst>
                  <a:lin ang="5400000" scaled="1"/>
                </a:gradFill>
                <a:ln>
                  <a:solidFill>
                    <a:srgbClr val="7030A0"/>
                  </a:solidFill>
                </a:ln>
                <a:effectLst>
                  <a:glow rad="63500">
                    <a:srgbClr val="FF3C3C">
                      <a:alpha val="40000"/>
                    </a:srgbClr>
                  </a:glow>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1271" name="Straight Connector 1270">
                  <a:extLst>
                    <a:ext uri="{FF2B5EF4-FFF2-40B4-BE49-F238E27FC236}">
                      <a16:creationId xmlns:a16="http://schemas.microsoft.com/office/drawing/2014/main" id="{00000000-0008-0000-0200-0000F7040000}"/>
                    </a:ext>
                  </a:extLst>
                </xdr:cNvPr>
                <xdr:cNvCxnSpPr/>
              </xdr:nvCxnSpPr>
              <xdr:spPr>
                <a:xfrm flipV="1">
                  <a:off x="2237673" y="967135"/>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63" name="TextBox 1262">
              <a:extLst>
                <a:ext uri="{FF2B5EF4-FFF2-40B4-BE49-F238E27FC236}">
                  <a16:creationId xmlns:a16="http://schemas.microsoft.com/office/drawing/2014/main" id="{00000000-0008-0000-0200-0000EF040000}"/>
                </a:ext>
              </a:extLst>
            </xdr:cNvPr>
            <xdr:cNvSpPr txBox="1"/>
          </xdr:nvSpPr>
          <xdr:spPr>
            <a:xfrm>
              <a:off x="5000840" y="48610040"/>
              <a:ext cx="411481"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1264" name="TextBox 1263">
              <a:extLst>
                <a:ext uri="{FF2B5EF4-FFF2-40B4-BE49-F238E27FC236}">
                  <a16:creationId xmlns:a16="http://schemas.microsoft.com/office/drawing/2014/main" id="{00000000-0008-0000-0200-0000F0040000}"/>
                </a:ext>
              </a:extLst>
            </xdr:cNvPr>
            <xdr:cNvSpPr txBox="1"/>
          </xdr:nvSpPr>
          <xdr:spPr>
            <a:xfrm>
              <a:off x="5564719" y="48610040"/>
              <a:ext cx="411481"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1265" name="TextBox 1264">
              <a:extLst>
                <a:ext uri="{FF2B5EF4-FFF2-40B4-BE49-F238E27FC236}">
                  <a16:creationId xmlns:a16="http://schemas.microsoft.com/office/drawing/2014/main" id="{00000000-0008-0000-0200-0000F1040000}"/>
                </a:ext>
              </a:extLst>
            </xdr:cNvPr>
            <xdr:cNvSpPr txBox="1"/>
          </xdr:nvSpPr>
          <xdr:spPr>
            <a:xfrm>
              <a:off x="3505242" y="48511186"/>
              <a:ext cx="1419291"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50" b="0" i="0">
                  <a:latin typeface="Arial Narrow" panose="020B0606020202030204" pitchFamily="34" charset="0"/>
                </a:rPr>
                <a:t>Your</a:t>
              </a:r>
              <a:r>
                <a:rPr lang="en-US" sz="1050" baseline="0">
                  <a:latin typeface="Arial Narrow" panose="020B0606020202030204" pitchFamily="34" charset="0"/>
                </a:rPr>
                <a:t> less</a:t>
              </a:r>
              <a:r>
                <a:rPr lang="en-US" sz="1050">
                  <a:latin typeface="Arial Narrow" panose="020B0606020202030204" pitchFamily="34" charset="0"/>
                </a:rPr>
                <a:t> resolved </a:t>
              </a:r>
              <a:r>
                <a:rPr lang="en-US" sz="1050" b="1" i="1">
                  <a:latin typeface="Arial Narrow" panose="020B0606020202030204" pitchFamily="34" charset="0"/>
                </a:rPr>
                <a:t>self-needs</a:t>
              </a:r>
              <a:r>
                <a:rPr lang="en-US" sz="1050">
                  <a:latin typeface="Arial Narrow" panose="020B0606020202030204" pitchFamily="34" charset="0"/>
                </a:rPr>
                <a:t> </a:t>
              </a:r>
              <a:r>
                <a:rPr lang="en-US" sz="1050" b="1">
                  <a:latin typeface="Arial Narrow" panose="020B0606020202030204" pitchFamily="34" charset="0"/>
                </a:rPr>
                <a:t>priortize</a:t>
              </a:r>
              <a:r>
                <a:rPr lang="en-US" sz="1050" baseline="0">
                  <a:latin typeface="Arial Narrow" panose="020B0606020202030204" pitchFamily="34" charset="0"/>
                </a:rPr>
                <a:t> your beliefs and actions for their relief.</a:t>
              </a:r>
              <a:endParaRPr lang="en-US" sz="1050">
                <a:latin typeface="Arial Narrow" panose="020B0606020202030204" pitchFamily="34" charset="0"/>
              </a:endParaRPr>
            </a:p>
          </xdr:txBody>
        </xdr:sp>
        <xdr:sp macro="" textlink="">
          <xdr:nvSpPr>
            <xdr:cNvPr id="1266" name="TextBox 1265">
              <a:extLst>
                <a:ext uri="{FF2B5EF4-FFF2-40B4-BE49-F238E27FC236}">
                  <a16:creationId xmlns:a16="http://schemas.microsoft.com/office/drawing/2014/main" id="{00000000-0008-0000-0200-0000F2040000}"/>
                </a:ext>
              </a:extLst>
            </xdr:cNvPr>
            <xdr:cNvSpPr txBox="1"/>
          </xdr:nvSpPr>
          <xdr:spPr>
            <a:xfrm>
              <a:off x="3496826" y="49104310"/>
              <a:ext cx="1419291"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00" b="0" i="0">
                  <a:latin typeface="Arial Narrow" panose="020B0606020202030204" pitchFamily="34" charset="0"/>
                </a:rPr>
                <a:t>Your</a:t>
              </a:r>
              <a:r>
                <a:rPr lang="en-US" sz="1000" baseline="0">
                  <a:latin typeface="Arial Narrow" panose="020B0606020202030204" pitchFamily="34" charset="0"/>
                </a:rPr>
                <a:t> relatively more </a:t>
              </a:r>
              <a:r>
                <a:rPr lang="en-US" sz="1000">
                  <a:latin typeface="Arial Narrow" panose="020B0606020202030204" pitchFamily="34" charset="0"/>
                </a:rPr>
                <a:t>resolved </a:t>
              </a:r>
              <a:r>
                <a:rPr lang="en-US" sz="1000" b="1" i="1" spc="-30" baseline="0">
                  <a:latin typeface="Arial Narrow" panose="020B0606020202030204" pitchFamily="34" charset="0"/>
                </a:rPr>
                <a:t>social-needs</a:t>
              </a:r>
              <a:r>
                <a:rPr lang="en-US" sz="1000" spc="-30" baseline="0">
                  <a:latin typeface="Arial Narrow" panose="020B0606020202030204" pitchFamily="34" charset="0"/>
                </a:rPr>
                <a:t> </a:t>
              </a:r>
              <a:r>
                <a:rPr lang="en-US" sz="1000" b="1" spc="-30" baseline="0">
                  <a:latin typeface="Arial Narrow" panose="020B0606020202030204" pitchFamily="34" charset="0"/>
                </a:rPr>
                <a:t>prioritize</a:t>
              </a:r>
              <a:r>
                <a:rPr lang="en-US" sz="1000" spc="-30" baseline="0">
                  <a:latin typeface="Arial Narrow" panose="020B0606020202030204" pitchFamily="34" charset="0"/>
                </a:rPr>
                <a:t> your defenses to remain painless.</a:t>
              </a:r>
            </a:p>
          </xdr:txBody>
        </xdr:sp>
        <xdr:sp macro="" textlink="">
          <xdr:nvSpPr>
            <xdr:cNvPr id="1273" name="TextBox 1272">
              <a:extLst>
                <a:ext uri="{FF2B5EF4-FFF2-40B4-BE49-F238E27FC236}">
                  <a16:creationId xmlns:a16="http://schemas.microsoft.com/office/drawing/2014/main" id="{00000000-0008-0000-0200-0000F9040000}"/>
                </a:ext>
              </a:extLst>
            </xdr:cNvPr>
            <xdr:cNvSpPr txBox="1"/>
          </xdr:nvSpPr>
          <xdr:spPr>
            <a:xfrm>
              <a:off x="3367106" y="49755101"/>
              <a:ext cx="2609665"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0" i="0">
                  <a:solidFill>
                    <a:schemeClr val="dk1"/>
                  </a:solidFill>
                  <a:effectLst/>
                  <a:latin typeface="Arial" panose="020B0604020202020204" pitchFamily="34" charset="0"/>
                  <a:ea typeface="+mn-ea"/>
                  <a:cs typeface="Arial" panose="020B0604020202020204" pitchFamily="34" charset="0"/>
                </a:rPr>
                <a:t>These priorities </a:t>
              </a:r>
              <a:r>
                <a:rPr lang="en-US" sz="1100" b="1" i="1">
                  <a:solidFill>
                    <a:schemeClr val="dk1"/>
                  </a:solidFill>
                  <a:effectLst/>
                  <a:latin typeface="Arial" panose="020B0604020202020204" pitchFamily="34" charset="0"/>
                  <a:ea typeface="+mn-ea"/>
                  <a:cs typeface="Arial" panose="020B0604020202020204" pitchFamily="34" charset="0"/>
                </a:rPr>
                <a:t>orient</a:t>
              </a:r>
              <a:r>
                <a:rPr lang="en-US" sz="1100" b="0" i="0">
                  <a:solidFill>
                    <a:schemeClr val="dk1"/>
                  </a:solidFill>
                  <a:effectLst/>
                  <a:latin typeface="Arial" panose="020B0604020202020204" pitchFamily="34" charset="0"/>
                  <a:ea typeface="+mn-ea"/>
                  <a:cs typeface="Arial" panose="020B0604020202020204" pitchFamily="34" charset="0"/>
                </a:rPr>
                <a:t> you toward </a:t>
              </a:r>
              <a:r>
                <a:rPr lang="en-US" sz="1100" b="1" i="0">
                  <a:solidFill>
                    <a:schemeClr val="dk1"/>
                  </a:solidFill>
                  <a:effectLst/>
                  <a:latin typeface="Arial" panose="020B0604020202020204" pitchFamily="34" charset="0"/>
                  <a:ea typeface="+mn-ea"/>
                  <a:cs typeface="Arial" panose="020B0604020202020204" pitchFamily="34" charset="0"/>
                </a:rPr>
                <a:t>deeper</a:t>
              </a:r>
              <a:r>
                <a:rPr lang="en-US" sz="1100" b="0" i="0">
                  <a:solidFill>
                    <a:schemeClr val="dk1"/>
                  </a:solidFill>
                  <a:effectLst/>
                  <a:latin typeface="Arial" panose="020B0604020202020204" pitchFamily="34" charset="0"/>
                  <a:ea typeface="+mn-ea"/>
                  <a:cs typeface="Arial" panose="020B0604020202020204" pitchFamily="34" charset="0"/>
                </a:rPr>
                <a:t> relating to ease your psychosocial needs. </a:t>
              </a:r>
              <a:r>
                <a:rPr lang="en-US" sz="1100" b="1" i="0">
                  <a:solidFill>
                    <a:srgbClr val="7D0000"/>
                  </a:solidFill>
                  <a:effectLst>
                    <a:glow rad="63500">
                      <a:srgbClr val="FFCCCC"/>
                    </a:glow>
                  </a:effectLst>
                  <a:latin typeface="Verdana" panose="020B0604030504040204" pitchFamily="34" charset="0"/>
                  <a:ea typeface="Verdana" panose="020B0604030504040204" pitchFamily="34" charset="0"/>
                  <a:cs typeface="Arial" panose="020B0604020202020204" pitchFamily="34" charset="0"/>
                </a:rPr>
                <a:t>Conservatism</a:t>
              </a:r>
              <a:r>
                <a:rPr lang="en-US" sz="1100" b="0" i="0" baseline="0">
                  <a:solidFill>
                    <a:schemeClr val="dk1"/>
                  </a:solidFill>
                  <a:effectLst/>
                  <a:latin typeface="Arial" panose="020B0604020202020204" pitchFamily="34" charset="0"/>
                  <a:ea typeface="+mn-ea"/>
                  <a:cs typeface="Arial" panose="020B0604020202020204" pitchFamily="34" charset="0"/>
                </a:rPr>
                <a:t> best expresses it.</a:t>
              </a:r>
              <a:r>
                <a:rPr lang="en-US" sz="1100" b="0" i="0">
                  <a:solidFill>
                    <a:schemeClr val="dk1"/>
                  </a:solidFill>
                  <a:effectLst/>
                  <a:latin typeface="Arial" panose="020B0604020202020204" pitchFamily="34" charset="0"/>
                  <a:ea typeface="+mn-ea"/>
                  <a:cs typeface="Arial" panose="020B0604020202020204" pitchFamily="34" charset="0"/>
                </a:rPr>
                <a:t> </a:t>
              </a:r>
              <a:endParaRPr lang="en-US" sz="1050">
                <a:effectLst/>
                <a:latin typeface="Arial" panose="020B0604020202020204" pitchFamily="34" charset="0"/>
                <a:cs typeface="Arial" panose="020B0604020202020204" pitchFamily="34" charset="0"/>
              </a:endParaRPr>
            </a:p>
          </xdr:txBody>
        </xdr:sp>
      </xdr:grpSp>
    </xdr:grpSp>
    <xdr:clientData/>
  </xdr:twoCellAnchor>
  <xdr:twoCellAnchor>
    <xdr:from>
      <xdr:col>0</xdr:col>
      <xdr:colOff>0</xdr:colOff>
      <xdr:row>554</xdr:row>
      <xdr:rowOff>53340</xdr:rowOff>
    </xdr:from>
    <xdr:to>
      <xdr:col>13</xdr:col>
      <xdr:colOff>99058</xdr:colOff>
      <xdr:row>599</xdr:row>
      <xdr:rowOff>134620</xdr:rowOff>
    </xdr:to>
    <xdr:grpSp>
      <xdr:nvGrpSpPr>
        <xdr:cNvPr id="1155" name="Group 1154">
          <a:extLst>
            <a:ext uri="{FF2B5EF4-FFF2-40B4-BE49-F238E27FC236}">
              <a16:creationId xmlns:a16="http://schemas.microsoft.com/office/drawing/2014/main" id="{00000000-0008-0000-0200-000083040000}"/>
            </a:ext>
          </a:extLst>
        </xdr:cNvPr>
        <xdr:cNvGrpSpPr/>
      </xdr:nvGrpSpPr>
      <xdr:grpSpPr>
        <a:xfrm>
          <a:off x="0" y="110573820"/>
          <a:ext cx="6248398" cy="8059420"/>
          <a:chOff x="15455900" y="60706000"/>
          <a:chExt cx="6375398" cy="7823200"/>
        </a:xfrm>
      </xdr:grpSpPr>
      <xdr:sp macro="" textlink="">
        <xdr:nvSpPr>
          <xdr:cNvPr id="1156" name="Rectangle 1155">
            <a:extLst>
              <a:ext uri="{FF2B5EF4-FFF2-40B4-BE49-F238E27FC236}">
                <a16:creationId xmlns:a16="http://schemas.microsoft.com/office/drawing/2014/main" id="{00000000-0008-0000-0200-000084040000}"/>
              </a:ext>
            </a:extLst>
          </xdr:cNvPr>
          <xdr:cNvSpPr/>
        </xdr:nvSpPr>
        <xdr:spPr>
          <a:xfrm>
            <a:off x="20421599" y="60706000"/>
            <a:ext cx="1409699"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57" name="Rectangle 1156">
            <a:extLst>
              <a:ext uri="{FF2B5EF4-FFF2-40B4-BE49-F238E27FC236}">
                <a16:creationId xmlns:a16="http://schemas.microsoft.com/office/drawing/2014/main" id="{00000000-0008-0000-0200-000085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nvGrpSpPr>
          <xdr:cNvPr id="1158" name="Group 1157">
            <a:extLst>
              <a:ext uri="{FF2B5EF4-FFF2-40B4-BE49-F238E27FC236}">
                <a16:creationId xmlns:a16="http://schemas.microsoft.com/office/drawing/2014/main" id="{00000000-0008-0000-0200-000086040000}"/>
              </a:ext>
            </a:extLst>
          </xdr:cNvPr>
          <xdr:cNvGrpSpPr/>
        </xdr:nvGrpSpPr>
        <xdr:grpSpPr>
          <a:xfrm>
            <a:off x="16306800" y="60706000"/>
            <a:ext cx="2296879" cy="7823200"/>
            <a:chOff x="3796580" y="60718700"/>
            <a:chExt cx="2296879" cy="7823200"/>
          </a:xfrm>
        </xdr:grpSpPr>
        <xdr:sp macro="" textlink="">
          <xdr:nvSpPr>
            <xdr:cNvPr id="1165" name="Freeform: Shape 1164">
              <a:extLst>
                <a:ext uri="{FF2B5EF4-FFF2-40B4-BE49-F238E27FC236}">
                  <a16:creationId xmlns:a16="http://schemas.microsoft.com/office/drawing/2014/main" id="{00000000-0008-0000-0200-00008D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6" name="Freeform: Shape 1165">
              <a:extLst>
                <a:ext uri="{FF2B5EF4-FFF2-40B4-BE49-F238E27FC236}">
                  <a16:creationId xmlns:a16="http://schemas.microsoft.com/office/drawing/2014/main" id="{00000000-0008-0000-0200-00008E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7" name="Freeform: Shape 1166">
              <a:extLst>
                <a:ext uri="{FF2B5EF4-FFF2-40B4-BE49-F238E27FC236}">
                  <a16:creationId xmlns:a16="http://schemas.microsoft.com/office/drawing/2014/main" id="{00000000-0008-0000-0200-00008F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8" name="Freeform: Shape 1167">
              <a:extLst>
                <a:ext uri="{FF2B5EF4-FFF2-40B4-BE49-F238E27FC236}">
                  <a16:creationId xmlns:a16="http://schemas.microsoft.com/office/drawing/2014/main" id="{00000000-0008-0000-0200-000090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9" name="Freeform: Shape 1168">
              <a:extLst>
                <a:ext uri="{FF2B5EF4-FFF2-40B4-BE49-F238E27FC236}">
                  <a16:creationId xmlns:a16="http://schemas.microsoft.com/office/drawing/2014/main" id="{00000000-0008-0000-0200-000091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159" name="Group 1158">
            <a:extLst>
              <a:ext uri="{FF2B5EF4-FFF2-40B4-BE49-F238E27FC236}">
                <a16:creationId xmlns:a16="http://schemas.microsoft.com/office/drawing/2014/main" id="{00000000-0008-0000-0200-000087040000}"/>
              </a:ext>
            </a:extLst>
          </xdr:cNvPr>
          <xdr:cNvGrpSpPr/>
        </xdr:nvGrpSpPr>
        <xdr:grpSpPr>
          <a:xfrm>
            <a:off x="18742660" y="60706000"/>
            <a:ext cx="2256239" cy="7823200"/>
            <a:chOff x="7845340" y="60718700"/>
            <a:chExt cx="2256239" cy="7823200"/>
          </a:xfrm>
        </xdr:grpSpPr>
        <xdr:sp macro="" textlink="">
          <xdr:nvSpPr>
            <xdr:cNvPr id="1160" name="Freeform: Shape 1159">
              <a:extLst>
                <a:ext uri="{FF2B5EF4-FFF2-40B4-BE49-F238E27FC236}">
                  <a16:creationId xmlns:a16="http://schemas.microsoft.com/office/drawing/2014/main" id="{00000000-0008-0000-0200-000088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1" name="Freeform: Shape 1160">
              <a:extLst>
                <a:ext uri="{FF2B5EF4-FFF2-40B4-BE49-F238E27FC236}">
                  <a16:creationId xmlns:a16="http://schemas.microsoft.com/office/drawing/2014/main" id="{00000000-0008-0000-0200-000089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2" name="Freeform: Shape 1161">
              <a:extLst>
                <a:ext uri="{FF2B5EF4-FFF2-40B4-BE49-F238E27FC236}">
                  <a16:creationId xmlns:a16="http://schemas.microsoft.com/office/drawing/2014/main" id="{00000000-0008-0000-0200-00008A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3" name="Freeform: Shape 1162">
              <a:extLst>
                <a:ext uri="{FF2B5EF4-FFF2-40B4-BE49-F238E27FC236}">
                  <a16:creationId xmlns:a16="http://schemas.microsoft.com/office/drawing/2014/main" id="{00000000-0008-0000-0200-00008B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4" name="Freeform: Shape 1163">
              <a:extLst>
                <a:ext uri="{FF2B5EF4-FFF2-40B4-BE49-F238E27FC236}">
                  <a16:creationId xmlns:a16="http://schemas.microsoft.com/office/drawing/2014/main" id="{00000000-0008-0000-0200-00008C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clientData/>
  </xdr:twoCellAnchor>
  <xdr:twoCellAnchor>
    <xdr:from>
      <xdr:col>1</xdr:col>
      <xdr:colOff>7620</xdr:colOff>
      <xdr:row>560</xdr:row>
      <xdr:rowOff>8940</xdr:rowOff>
    </xdr:from>
    <xdr:to>
      <xdr:col>2</xdr:col>
      <xdr:colOff>291389</xdr:colOff>
      <xdr:row>571</xdr:row>
      <xdr:rowOff>101042</xdr:rowOff>
    </xdr:to>
    <xdr:grpSp>
      <xdr:nvGrpSpPr>
        <xdr:cNvPr id="1365" name="Group 1364">
          <a:extLst>
            <a:ext uri="{FF2B5EF4-FFF2-40B4-BE49-F238E27FC236}">
              <a16:creationId xmlns:a16="http://schemas.microsoft.com/office/drawing/2014/main" id="{00000000-0008-0000-0200-000055050000}"/>
            </a:ext>
          </a:extLst>
        </xdr:cNvPr>
        <xdr:cNvGrpSpPr>
          <a:grpSpLocks noChangeAspect="1"/>
        </xdr:cNvGrpSpPr>
      </xdr:nvGrpSpPr>
      <xdr:grpSpPr>
        <a:xfrm>
          <a:off x="121920" y="111580980"/>
          <a:ext cx="786689" cy="2096162"/>
          <a:chOff x="13620749" y="104774999"/>
          <a:chExt cx="1352551" cy="3438523"/>
        </a:xfrm>
      </xdr:grpSpPr>
      <xdr:grpSp>
        <xdr:nvGrpSpPr>
          <xdr:cNvPr id="1537" name="Group 1536">
            <a:extLst>
              <a:ext uri="{FF2B5EF4-FFF2-40B4-BE49-F238E27FC236}">
                <a16:creationId xmlns:a16="http://schemas.microsoft.com/office/drawing/2014/main" id="{00000000-0008-0000-0200-000001060000}"/>
              </a:ext>
            </a:extLst>
          </xdr:cNvPr>
          <xdr:cNvGrpSpPr/>
        </xdr:nvGrpSpPr>
        <xdr:grpSpPr>
          <a:xfrm>
            <a:off x="13620749" y="105470322"/>
            <a:ext cx="1053296" cy="2743200"/>
            <a:chOff x="13620749" y="105470322"/>
            <a:chExt cx="1053296" cy="2743200"/>
          </a:xfrm>
        </xdr:grpSpPr>
        <xdr:grpSp>
          <xdr:nvGrpSpPr>
            <xdr:cNvPr id="1539" name="Group 1538">
              <a:extLst>
                <a:ext uri="{FF2B5EF4-FFF2-40B4-BE49-F238E27FC236}">
                  <a16:creationId xmlns:a16="http://schemas.microsoft.com/office/drawing/2014/main" id="{00000000-0008-0000-0200-000003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544" name="Rectangle: Rounded Corners 1543">
                <a:extLst>
                  <a:ext uri="{FF2B5EF4-FFF2-40B4-BE49-F238E27FC236}">
                    <a16:creationId xmlns:a16="http://schemas.microsoft.com/office/drawing/2014/main" id="{00000000-0008-0000-0200-00000806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5" name="Rectangle: Rounded Corners 1544">
                <a:extLst>
                  <a:ext uri="{FF2B5EF4-FFF2-40B4-BE49-F238E27FC236}">
                    <a16:creationId xmlns:a16="http://schemas.microsoft.com/office/drawing/2014/main" id="{00000000-0008-0000-0200-00000906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6" name="Rectangle: Rounded Corners 1545">
                <a:extLst>
                  <a:ext uri="{FF2B5EF4-FFF2-40B4-BE49-F238E27FC236}">
                    <a16:creationId xmlns:a16="http://schemas.microsoft.com/office/drawing/2014/main" id="{00000000-0008-0000-0200-00000A06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7" name="Rectangle: Rounded Corners 1546">
                <a:extLst>
                  <a:ext uri="{FF2B5EF4-FFF2-40B4-BE49-F238E27FC236}">
                    <a16:creationId xmlns:a16="http://schemas.microsoft.com/office/drawing/2014/main" id="{00000000-0008-0000-0200-00000B06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8" name="Rectangle: Rounded Corners 1547">
                <a:extLst>
                  <a:ext uri="{FF2B5EF4-FFF2-40B4-BE49-F238E27FC236}">
                    <a16:creationId xmlns:a16="http://schemas.microsoft.com/office/drawing/2014/main" id="{00000000-0008-0000-0200-00000C06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9" name="Rectangle: Rounded Corners 1548">
                <a:extLst>
                  <a:ext uri="{FF2B5EF4-FFF2-40B4-BE49-F238E27FC236}">
                    <a16:creationId xmlns:a16="http://schemas.microsoft.com/office/drawing/2014/main" id="{00000000-0008-0000-0200-00000D06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50" name="Rectangle: Rounded Corners 1549">
                <a:extLst>
                  <a:ext uri="{FF2B5EF4-FFF2-40B4-BE49-F238E27FC236}">
                    <a16:creationId xmlns:a16="http://schemas.microsoft.com/office/drawing/2014/main" id="{00000000-0008-0000-0200-00000E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540" name="Group 1539">
              <a:extLst>
                <a:ext uri="{FF2B5EF4-FFF2-40B4-BE49-F238E27FC236}">
                  <a16:creationId xmlns:a16="http://schemas.microsoft.com/office/drawing/2014/main" id="{00000000-0008-0000-0200-000004060000}"/>
                </a:ext>
              </a:extLst>
            </xdr:cNvPr>
            <xdr:cNvGrpSpPr/>
          </xdr:nvGrpSpPr>
          <xdr:grpSpPr>
            <a:xfrm>
              <a:off x="13679805" y="106093372"/>
              <a:ext cx="953589" cy="1109382"/>
              <a:chOff x="0" y="0"/>
              <a:chExt cx="1112520" cy="1371600"/>
            </a:xfrm>
          </xdr:grpSpPr>
          <xdr:sp macro="" textlink="">
            <xdr:nvSpPr>
              <xdr:cNvPr id="1541" name="Rectangle 1540">
                <a:extLst>
                  <a:ext uri="{FF2B5EF4-FFF2-40B4-BE49-F238E27FC236}">
                    <a16:creationId xmlns:a16="http://schemas.microsoft.com/office/drawing/2014/main" id="{00000000-0008-0000-0200-00000506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42" name="Rectangle 1541">
                <a:extLst>
                  <a:ext uri="{FF2B5EF4-FFF2-40B4-BE49-F238E27FC236}">
                    <a16:creationId xmlns:a16="http://schemas.microsoft.com/office/drawing/2014/main" id="{00000000-0008-0000-0200-00000606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43" name="Straight Connector 1542">
                <a:extLst>
                  <a:ext uri="{FF2B5EF4-FFF2-40B4-BE49-F238E27FC236}">
                    <a16:creationId xmlns:a16="http://schemas.microsoft.com/office/drawing/2014/main" id="{00000000-0008-0000-0200-00000706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538" name="Thought Bubble: Cloud 1537">
            <a:extLst>
              <a:ext uri="{FF2B5EF4-FFF2-40B4-BE49-F238E27FC236}">
                <a16:creationId xmlns:a16="http://schemas.microsoft.com/office/drawing/2014/main" id="{00000000-0008-0000-0200-00000206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9</xdr:col>
      <xdr:colOff>192020</xdr:colOff>
      <xdr:row>559</xdr:row>
      <xdr:rowOff>70257</xdr:rowOff>
    </xdr:from>
    <xdr:to>
      <xdr:col>10</xdr:col>
      <xdr:colOff>371547</xdr:colOff>
      <xdr:row>570</xdr:row>
      <xdr:rowOff>144954</xdr:rowOff>
    </xdr:to>
    <xdr:grpSp>
      <xdr:nvGrpSpPr>
        <xdr:cNvPr id="1374" name="Group 1373">
          <a:extLst>
            <a:ext uri="{FF2B5EF4-FFF2-40B4-BE49-F238E27FC236}">
              <a16:creationId xmlns:a16="http://schemas.microsoft.com/office/drawing/2014/main" id="{00000000-0008-0000-0200-00005E050000}"/>
            </a:ext>
          </a:extLst>
        </xdr:cNvPr>
        <xdr:cNvGrpSpPr>
          <a:grpSpLocks noChangeAspect="1"/>
        </xdr:cNvGrpSpPr>
      </xdr:nvGrpSpPr>
      <xdr:grpSpPr>
        <a:xfrm>
          <a:off x="4329680" y="111467037"/>
          <a:ext cx="682447" cy="2078757"/>
          <a:chOff x="14933087" y="104774975"/>
          <a:chExt cx="1171576" cy="3409972"/>
        </a:xfrm>
      </xdr:grpSpPr>
      <xdr:grpSp>
        <xdr:nvGrpSpPr>
          <xdr:cNvPr id="1411" name="Group 1410">
            <a:extLst>
              <a:ext uri="{FF2B5EF4-FFF2-40B4-BE49-F238E27FC236}">
                <a16:creationId xmlns:a16="http://schemas.microsoft.com/office/drawing/2014/main" id="{00000000-0008-0000-0200-000083050000}"/>
              </a:ext>
            </a:extLst>
          </xdr:cNvPr>
          <xdr:cNvGrpSpPr/>
        </xdr:nvGrpSpPr>
        <xdr:grpSpPr>
          <a:xfrm>
            <a:off x="14944724" y="105441747"/>
            <a:ext cx="1053296" cy="2743200"/>
            <a:chOff x="14944724" y="105441747"/>
            <a:chExt cx="1053296" cy="2743200"/>
          </a:xfrm>
        </xdr:grpSpPr>
        <xdr:grpSp>
          <xdr:nvGrpSpPr>
            <xdr:cNvPr id="1413" name="Group 1412">
              <a:extLst>
                <a:ext uri="{FF2B5EF4-FFF2-40B4-BE49-F238E27FC236}">
                  <a16:creationId xmlns:a16="http://schemas.microsoft.com/office/drawing/2014/main" id="{00000000-0008-0000-0200-000085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18" name="Rectangle: Rounded Corners 1417">
                <a:extLst>
                  <a:ext uri="{FF2B5EF4-FFF2-40B4-BE49-F238E27FC236}">
                    <a16:creationId xmlns:a16="http://schemas.microsoft.com/office/drawing/2014/main" id="{00000000-0008-0000-0200-00008A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19" name="Rectangle: Rounded Corners 1418">
                <a:extLst>
                  <a:ext uri="{FF2B5EF4-FFF2-40B4-BE49-F238E27FC236}">
                    <a16:creationId xmlns:a16="http://schemas.microsoft.com/office/drawing/2014/main" id="{00000000-0008-0000-0200-00008B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0" name="Rectangle: Rounded Corners 1419">
                <a:extLst>
                  <a:ext uri="{FF2B5EF4-FFF2-40B4-BE49-F238E27FC236}">
                    <a16:creationId xmlns:a16="http://schemas.microsoft.com/office/drawing/2014/main" id="{00000000-0008-0000-0200-00008C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1" name="Rectangle: Rounded Corners 1420">
                <a:extLst>
                  <a:ext uri="{FF2B5EF4-FFF2-40B4-BE49-F238E27FC236}">
                    <a16:creationId xmlns:a16="http://schemas.microsoft.com/office/drawing/2014/main" id="{00000000-0008-0000-0200-00008D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2" name="Rectangle: Rounded Corners 1421">
                <a:extLst>
                  <a:ext uri="{FF2B5EF4-FFF2-40B4-BE49-F238E27FC236}">
                    <a16:creationId xmlns:a16="http://schemas.microsoft.com/office/drawing/2014/main" id="{00000000-0008-0000-0200-00008E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3" name="Rectangle: Rounded Corners 1422">
                <a:extLst>
                  <a:ext uri="{FF2B5EF4-FFF2-40B4-BE49-F238E27FC236}">
                    <a16:creationId xmlns:a16="http://schemas.microsoft.com/office/drawing/2014/main" id="{00000000-0008-0000-0200-00008F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4" name="Rectangle: Rounded Corners 1423">
                <a:extLst>
                  <a:ext uri="{FF2B5EF4-FFF2-40B4-BE49-F238E27FC236}">
                    <a16:creationId xmlns:a16="http://schemas.microsoft.com/office/drawing/2014/main" id="{00000000-0008-0000-0200-000090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14" name="Group 1413">
              <a:extLst>
                <a:ext uri="{FF2B5EF4-FFF2-40B4-BE49-F238E27FC236}">
                  <a16:creationId xmlns:a16="http://schemas.microsoft.com/office/drawing/2014/main" id="{00000000-0008-0000-0200-000086050000}"/>
                </a:ext>
              </a:extLst>
            </xdr:cNvPr>
            <xdr:cNvGrpSpPr/>
          </xdr:nvGrpSpPr>
          <xdr:grpSpPr>
            <a:xfrm>
              <a:off x="15001875" y="106064797"/>
              <a:ext cx="953589" cy="1109382"/>
              <a:chOff x="-11112" y="0"/>
              <a:chExt cx="1112519" cy="1371600"/>
            </a:xfrm>
          </xdr:grpSpPr>
          <xdr:sp macro="" textlink="">
            <xdr:nvSpPr>
              <xdr:cNvPr id="1415" name="Rectangle 1414">
                <a:extLst>
                  <a:ext uri="{FF2B5EF4-FFF2-40B4-BE49-F238E27FC236}">
                    <a16:creationId xmlns:a16="http://schemas.microsoft.com/office/drawing/2014/main" id="{00000000-0008-0000-0200-000087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16" name="Rectangle 1415">
                <a:extLst>
                  <a:ext uri="{FF2B5EF4-FFF2-40B4-BE49-F238E27FC236}">
                    <a16:creationId xmlns:a16="http://schemas.microsoft.com/office/drawing/2014/main" id="{00000000-0008-0000-0200-000088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17" name="Straight Connector 1416">
                <a:extLst>
                  <a:ext uri="{FF2B5EF4-FFF2-40B4-BE49-F238E27FC236}">
                    <a16:creationId xmlns:a16="http://schemas.microsoft.com/office/drawing/2014/main" id="{00000000-0008-0000-0200-000089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12" name="Thought Bubble: Cloud 1411">
            <a:extLst>
              <a:ext uri="{FF2B5EF4-FFF2-40B4-BE49-F238E27FC236}">
                <a16:creationId xmlns:a16="http://schemas.microsoft.com/office/drawing/2014/main" id="{00000000-0008-0000-0200-000084050000}"/>
              </a:ext>
            </a:extLst>
          </xdr:cNvPr>
          <xdr:cNvSpPr/>
        </xdr:nvSpPr>
        <xdr:spPr>
          <a:xfrm flipH="1">
            <a:off x="14933087" y="104774975"/>
            <a:ext cx="1171576"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8</xdr:col>
      <xdr:colOff>138678</xdr:colOff>
      <xdr:row>559</xdr:row>
      <xdr:rowOff>164452</xdr:rowOff>
    </xdr:from>
    <xdr:to>
      <xdr:col>9</xdr:col>
      <xdr:colOff>371080</xdr:colOff>
      <xdr:row>571</xdr:row>
      <xdr:rowOff>63889</xdr:rowOff>
    </xdr:to>
    <xdr:grpSp>
      <xdr:nvGrpSpPr>
        <xdr:cNvPr id="1366" name="Group 1365">
          <a:extLst>
            <a:ext uri="{FF2B5EF4-FFF2-40B4-BE49-F238E27FC236}">
              <a16:creationId xmlns:a16="http://schemas.microsoft.com/office/drawing/2014/main" id="{00000000-0008-0000-0200-000056050000}"/>
            </a:ext>
          </a:extLst>
        </xdr:cNvPr>
        <xdr:cNvGrpSpPr>
          <a:grpSpLocks noChangeAspect="1"/>
        </xdr:cNvGrpSpPr>
      </xdr:nvGrpSpPr>
      <xdr:grpSpPr>
        <a:xfrm>
          <a:off x="3773418" y="111561232"/>
          <a:ext cx="735322" cy="2078757"/>
          <a:chOff x="14734647" y="104774975"/>
          <a:chExt cx="1263373" cy="3409972"/>
        </a:xfrm>
      </xdr:grpSpPr>
      <xdr:grpSp>
        <xdr:nvGrpSpPr>
          <xdr:cNvPr id="1523" name="Group 1522">
            <a:extLst>
              <a:ext uri="{FF2B5EF4-FFF2-40B4-BE49-F238E27FC236}">
                <a16:creationId xmlns:a16="http://schemas.microsoft.com/office/drawing/2014/main" id="{00000000-0008-0000-0200-0000F3050000}"/>
              </a:ext>
            </a:extLst>
          </xdr:cNvPr>
          <xdr:cNvGrpSpPr/>
        </xdr:nvGrpSpPr>
        <xdr:grpSpPr>
          <a:xfrm>
            <a:off x="14944724" y="105441747"/>
            <a:ext cx="1053296" cy="2743200"/>
            <a:chOff x="14944724" y="105441747"/>
            <a:chExt cx="1053296" cy="2743200"/>
          </a:xfrm>
        </xdr:grpSpPr>
        <xdr:grpSp>
          <xdr:nvGrpSpPr>
            <xdr:cNvPr id="1525" name="Group 1524">
              <a:extLst>
                <a:ext uri="{FF2B5EF4-FFF2-40B4-BE49-F238E27FC236}">
                  <a16:creationId xmlns:a16="http://schemas.microsoft.com/office/drawing/2014/main" id="{00000000-0008-0000-0200-0000F5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530" name="Rectangle: Rounded Corners 1529">
                <a:extLst>
                  <a:ext uri="{FF2B5EF4-FFF2-40B4-BE49-F238E27FC236}">
                    <a16:creationId xmlns:a16="http://schemas.microsoft.com/office/drawing/2014/main" id="{00000000-0008-0000-0200-0000FA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1" name="Rectangle: Rounded Corners 1530">
                <a:extLst>
                  <a:ext uri="{FF2B5EF4-FFF2-40B4-BE49-F238E27FC236}">
                    <a16:creationId xmlns:a16="http://schemas.microsoft.com/office/drawing/2014/main" id="{00000000-0008-0000-0200-0000FB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2" name="Rectangle: Rounded Corners 1531">
                <a:extLst>
                  <a:ext uri="{FF2B5EF4-FFF2-40B4-BE49-F238E27FC236}">
                    <a16:creationId xmlns:a16="http://schemas.microsoft.com/office/drawing/2014/main" id="{00000000-0008-0000-0200-0000FC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3" name="Rectangle: Rounded Corners 1532">
                <a:extLst>
                  <a:ext uri="{FF2B5EF4-FFF2-40B4-BE49-F238E27FC236}">
                    <a16:creationId xmlns:a16="http://schemas.microsoft.com/office/drawing/2014/main" id="{00000000-0008-0000-0200-0000FD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4" name="Rectangle: Rounded Corners 1533">
                <a:extLst>
                  <a:ext uri="{FF2B5EF4-FFF2-40B4-BE49-F238E27FC236}">
                    <a16:creationId xmlns:a16="http://schemas.microsoft.com/office/drawing/2014/main" id="{00000000-0008-0000-0200-0000FE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5" name="Rectangle: Rounded Corners 1534">
                <a:extLst>
                  <a:ext uri="{FF2B5EF4-FFF2-40B4-BE49-F238E27FC236}">
                    <a16:creationId xmlns:a16="http://schemas.microsoft.com/office/drawing/2014/main" id="{00000000-0008-0000-0200-0000FF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6" name="Rectangle: Rounded Corners 1535">
                <a:extLst>
                  <a:ext uri="{FF2B5EF4-FFF2-40B4-BE49-F238E27FC236}">
                    <a16:creationId xmlns:a16="http://schemas.microsoft.com/office/drawing/2014/main" id="{00000000-0008-0000-0200-000000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526" name="Group 1525">
              <a:extLst>
                <a:ext uri="{FF2B5EF4-FFF2-40B4-BE49-F238E27FC236}">
                  <a16:creationId xmlns:a16="http://schemas.microsoft.com/office/drawing/2014/main" id="{00000000-0008-0000-0200-0000F6050000}"/>
                </a:ext>
              </a:extLst>
            </xdr:cNvPr>
            <xdr:cNvGrpSpPr/>
          </xdr:nvGrpSpPr>
          <xdr:grpSpPr>
            <a:xfrm>
              <a:off x="15001875" y="106064797"/>
              <a:ext cx="953589" cy="1109382"/>
              <a:chOff x="-11112" y="0"/>
              <a:chExt cx="1112519" cy="1371600"/>
            </a:xfrm>
          </xdr:grpSpPr>
          <xdr:sp macro="" textlink="">
            <xdr:nvSpPr>
              <xdr:cNvPr id="1527" name="Rectangle 1526">
                <a:extLst>
                  <a:ext uri="{FF2B5EF4-FFF2-40B4-BE49-F238E27FC236}">
                    <a16:creationId xmlns:a16="http://schemas.microsoft.com/office/drawing/2014/main" id="{00000000-0008-0000-0200-0000F7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28" name="Rectangle 1527">
                <a:extLst>
                  <a:ext uri="{FF2B5EF4-FFF2-40B4-BE49-F238E27FC236}">
                    <a16:creationId xmlns:a16="http://schemas.microsoft.com/office/drawing/2014/main" id="{00000000-0008-0000-0200-0000F8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29" name="Straight Connector 1528">
                <a:extLst>
                  <a:ext uri="{FF2B5EF4-FFF2-40B4-BE49-F238E27FC236}">
                    <a16:creationId xmlns:a16="http://schemas.microsoft.com/office/drawing/2014/main" id="{00000000-0008-0000-0200-0000F9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524" name="Thought Bubble: Cloud 1523">
            <a:extLst>
              <a:ext uri="{FF2B5EF4-FFF2-40B4-BE49-F238E27FC236}">
                <a16:creationId xmlns:a16="http://schemas.microsoft.com/office/drawing/2014/main" id="{00000000-0008-0000-0200-0000F4050000}"/>
              </a:ext>
            </a:extLst>
          </xdr:cNvPr>
          <xdr:cNvSpPr/>
        </xdr:nvSpPr>
        <xdr:spPr>
          <a:xfrm flipH="1">
            <a:off x="14734647" y="104774975"/>
            <a:ext cx="1171576"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2</xdr:col>
      <xdr:colOff>304800</xdr:colOff>
      <xdr:row>560</xdr:row>
      <xdr:rowOff>972</xdr:rowOff>
    </xdr:from>
    <xdr:to>
      <xdr:col>4</xdr:col>
      <xdr:colOff>93269</xdr:colOff>
      <xdr:row>571</xdr:row>
      <xdr:rowOff>93074</xdr:rowOff>
    </xdr:to>
    <xdr:grpSp>
      <xdr:nvGrpSpPr>
        <xdr:cNvPr id="1367" name="Group 1366">
          <a:extLst>
            <a:ext uri="{FF2B5EF4-FFF2-40B4-BE49-F238E27FC236}">
              <a16:creationId xmlns:a16="http://schemas.microsoft.com/office/drawing/2014/main" id="{00000000-0008-0000-0200-000057050000}"/>
            </a:ext>
          </a:extLst>
        </xdr:cNvPr>
        <xdr:cNvGrpSpPr>
          <a:grpSpLocks noChangeAspect="1"/>
        </xdr:cNvGrpSpPr>
      </xdr:nvGrpSpPr>
      <xdr:grpSpPr>
        <a:xfrm>
          <a:off x="922020" y="111573012"/>
          <a:ext cx="794309" cy="2096162"/>
          <a:chOff x="13620749" y="104774999"/>
          <a:chExt cx="1352551" cy="3438523"/>
        </a:xfrm>
      </xdr:grpSpPr>
      <xdr:grpSp>
        <xdr:nvGrpSpPr>
          <xdr:cNvPr id="1509" name="Group 1508">
            <a:extLst>
              <a:ext uri="{FF2B5EF4-FFF2-40B4-BE49-F238E27FC236}">
                <a16:creationId xmlns:a16="http://schemas.microsoft.com/office/drawing/2014/main" id="{00000000-0008-0000-0200-0000E5050000}"/>
              </a:ext>
            </a:extLst>
          </xdr:cNvPr>
          <xdr:cNvGrpSpPr/>
        </xdr:nvGrpSpPr>
        <xdr:grpSpPr>
          <a:xfrm>
            <a:off x="13620749" y="105470322"/>
            <a:ext cx="1053296" cy="2743200"/>
            <a:chOff x="13620749" y="105470322"/>
            <a:chExt cx="1053296" cy="2743200"/>
          </a:xfrm>
        </xdr:grpSpPr>
        <xdr:grpSp>
          <xdr:nvGrpSpPr>
            <xdr:cNvPr id="1511" name="Group 1510">
              <a:extLst>
                <a:ext uri="{FF2B5EF4-FFF2-40B4-BE49-F238E27FC236}">
                  <a16:creationId xmlns:a16="http://schemas.microsoft.com/office/drawing/2014/main" id="{00000000-0008-0000-0200-0000E7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516" name="Rectangle: Rounded Corners 1515">
                <a:extLst>
                  <a:ext uri="{FF2B5EF4-FFF2-40B4-BE49-F238E27FC236}">
                    <a16:creationId xmlns:a16="http://schemas.microsoft.com/office/drawing/2014/main" id="{00000000-0008-0000-0200-0000EC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17" name="Rectangle: Rounded Corners 1516">
                <a:extLst>
                  <a:ext uri="{FF2B5EF4-FFF2-40B4-BE49-F238E27FC236}">
                    <a16:creationId xmlns:a16="http://schemas.microsoft.com/office/drawing/2014/main" id="{00000000-0008-0000-0200-0000ED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18" name="Rectangle: Rounded Corners 1517">
                <a:extLst>
                  <a:ext uri="{FF2B5EF4-FFF2-40B4-BE49-F238E27FC236}">
                    <a16:creationId xmlns:a16="http://schemas.microsoft.com/office/drawing/2014/main" id="{00000000-0008-0000-0200-0000EE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19" name="Rectangle: Rounded Corners 1518">
                <a:extLst>
                  <a:ext uri="{FF2B5EF4-FFF2-40B4-BE49-F238E27FC236}">
                    <a16:creationId xmlns:a16="http://schemas.microsoft.com/office/drawing/2014/main" id="{00000000-0008-0000-0200-0000EF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20" name="Rectangle: Rounded Corners 1519">
                <a:extLst>
                  <a:ext uri="{FF2B5EF4-FFF2-40B4-BE49-F238E27FC236}">
                    <a16:creationId xmlns:a16="http://schemas.microsoft.com/office/drawing/2014/main" id="{00000000-0008-0000-0200-0000F0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21" name="Rectangle: Rounded Corners 1520">
                <a:extLst>
                  <a:ext uri="{FF2B5EF4-FFF2-40B4-BE49-F238E27FC236}">
                    <a16:creationId xmlns:a16="http://schemas.microsoft.com/office/drawing/2014/main" id="{00000000-0008-0000-0200-0000F1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22" name="Rectangle: Rounded Corners 1521">
                <a:extLst>
                  <a:ext uri="{FF2B5EF4-FFF2-40B4-BE49-F238E27FC236}">
                    <a16:creationId xmlns:a16="http://schemas.microsoft.com/office/drawing/2014/main" id="{00000000-0008-0000-0200-0000F2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512" name="Group 1511">
              <a:extLst>
                <a:ext uri="{FF2B5EF4-FFF2-40B4-BE49-F238E27FC236}">
                  <a16:creationId xmlns:a16="http://schemas.microsoft.com/office/drawing/2014/main" id="{00000000-0008-0000-0200-0000E8050000}"/>
                </a:ext>
              </a:extLst>
            </xdr:cNvPr>
            <xdr:cNvGrpSpPr/>
          </xdr:nvGrpSpPr>
          <xdr:grpSpPr>
            <a:xfrm>
              <a:off x="13679805" y="106093372"/>
              <a:ext cx="953589" cy="1109382"/>
              <a:chOff x="0" y="0"/>
              <a:chExt cx="1112520" cy="1371600"/>
            </a:xfrm>
          </xdr:grpSpPr>
          <xdr:sp macro="" textlink="">
            <xdr:nvSpPr>
              <xdr:cNvPr id="1513" name="Rectangle 1512">
                <a:extLst>
                  <a:ext uri="{FF2B5EF4-FFF2-40B4-BE49-F238E27FC236}">
                    <a16:creationId xmlns:a16="http://schemas.microsoft.com/office/drawing/2014/main" id="{00000000-0008-0000-0200-0000E9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14" name="Rectangle 1513">
                <a:extLst>
                  <a:ext uri="{FF2B5EF4-FFF2-40B4-BE49-F238E27FC236}">
                    <a16:creationId xmlns:a16="http://schemas.microsoft.com/office/drawing/2014/main" id="{00000000-0008-0000-0200-0000EA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15" name="Straight Connector 1514">
                <a:extLst>
                  <a:ext uri="{FF2B5EF4-FFF2-40B4-BE49-F238E27FC236}">
                    <a16:creationId xmlns:a16="http://schemas.microsoft.com/office/drawing/2014/main" id="{00000000-0008-0000-0200-0000EB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510" name="Thought Bubble: Cloud 1509">
            <a:extLst>
              <a:ext uri="{FF2B5EF4-FFF2-40B4-BE49-F238E27FC236}">
                <a16:creationId xmlns:a16="http://schemas.microsoft.com/office/drawing/2014/main" id="{00000000-0008-0000-0200-0000E6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4</xdr:col>
      <xdr:colOff>167640</xdr:colOff>
      <xdr:row>559</xdr:row>
      <xdr:rowOff>136395</xdr:rowOff>
    </xdr:from>
    <xdr:to>
      <xdr:col>5</xdr:col>
      <xdr:colOff>451409</xdr:colOff>
      <xdr:row>571</xdr:row>
      <xdr:rowOff>53237</xdr:rowOff>
    </xdr:to>
    <xdr:grpSp>
      <xdr:nvGrpSpPr>
        <xdr:cNvPr id="1368" name="Group 1367">
          <a:extLst>
            <a:ext uri="{FF2B5EF4-FFF2-40B4-BE49-F238E27FC236}">
              <a16:creationId xmlns:a16="http://schemas.microsoft.com/office/drawing/2014/main" id="{00000000-0008-0000-0200-000058050000}"/>
            </a:ext>
          </a:extLst>
        </xdr:cNvPr>
        <xdr:cNvGrpSpPr>
          <a:grpSpLocks noChangeAspect="1"/>
        </xdr:cNvGrpSpPr>
      </xdr:nvGrpSpPr>
      <xdr:grpSpPr>
        <a:xfrm>
          <a:off x="1790700" y="111533175"/>
          <a:ext cx="786689" cy="2096162"/>
          <a:chOff x="13620749" y="104774999"/>
          <a:chExt cx="1352551" cy="3438523"/>
        </a:xfrm>
      </xdr:grpSpPr>
      <xdr:grpSp>
        <xdr:nvGrpSpPr>
          <xdr:cNvPr id="1495" name="Group 1494">
            <a:extLst>
              <a:ext uri="{FF2B5EF4-FFF2-40B4-BE49-F238E27FC236}">
                <a16:creationId xmlns:a16="http://schemas.microsoft.com/office/drawing/2014/main" id="{00000000-0008-0000-0200-0000D7050000}"/>
              </a:ext>
            </a:extLst>
          </xdr:cNvPr>
          <xdr:cNvGrpSpPr/>
        </xdr:nvGrpSpPr>
        <xdr:grpSpPr>
          <a:xfrm>
            <a:off x="13620749" y="105470322"/>
            <a:ext cx="1053296" cy="2743200"/>
            <a:chOff x="13620749" y="105470322"/>
            <a:chExt cx="1053296" cy="2743200"/>
          </a:xfrm>
        </xdr:grpSpPr>
        <xdr:grpSp>
          <xdr:nvGrpSpPr>
            <xdr:cNvPr id="1497" name="Group 1496">
              <a:extLst>
                <a:ext uri="{FF2B5EF4-FFF2-40B4-BE49-F238E27FC236}">
                  <a16:creationId xmlns:a16="http://schemas.microsoft.com/office/drawing/2014/main" id="{00000000-0008-0000-0200-0000D9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502" name="Rectangle: Rounded Corners 1501">
                <a:extLst>
                  <a:ext uri="{FF2B5EF4-FFF2-40B4-BE49-F238E27FC236}">
                    <a16:creationId xmlns:a16="http://schemas.microsoft.com/office/drawing/2014/main" id="{00000000-0008-0000-0200-0000DE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3" name="Rectangle: Rounded Corners 1502">
                <a:extLst>
                  <a:ext uri="{FF2B5EF4-FFF2-40B4-BE49-F238E27FC236}">
                    <a16:creationId xmlns:a16="http://schemas.microsoft.com/office/drawing/2014/main" id="{00000000-0008-0000-0200-0000DF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4" name="Rectangle: Rounded Corners 1503">
                <a:extLst>
                  <a:ext uri="{FF2B5EF4-FFF2-40B4-BE49-F238E27FC236}">
                    <a16:creationId xmlns:a16="http://schemas.microsoft.com/office/drawing/2014/main" id="{00000000-0008-0000-0200-0000E0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5" name="Rectangle: Rounded Corners 1504">
                <a:extLst>
                  <a:ext uri="{FF2B5EF4-FFF2-40B4-BE49-F238E27FC236}">
                    <a16:creationId xmlns:a16="http://schemas.microsoft.com/office/drawing/2014/main" id="{00000000-0008-0000-0200-0000E1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6" name="Rectangle: Rounded Corners 1505">
                <a:extLst>
                  <a:ext uri="{FF2B5EF4-FFF2-40B4-BE49-F238E27FC236}">
                    <a16:creationId xmlns:a16="http://schemas.microsoft.com/office/drawing/2014/main" id="{00000000-0008-0000-0200-0000E2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7" name="Rectangle: Rounded Corners 1506">
                <a:extLst>
                  <a:ext uri="{FF2B5EF4-FFF2-40B4-BE49-F238E27FC236}">
                    <a16:creationId xmlns:a16="http://schemas.microsoft.com/office/drawing/2014/main" id="{00000000-0008-0000-0200-0000E3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8" name="Rectangle: Rounded Corners 1507">
                <a:extLst>
                  <a:ext uri="{FF2B5EF4-FFF2-40B4-BE49-F238E27FC236}">
                    <a16:creationId xmlns:a16="http://schemas.microsoft.com/office/drawing/2014/main" id="{00000000-0008-0000-0200-0000E4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98" name="Group 1497">
              <a:extLst>
                <a:ext uri="{FF2B5EF4-FFF2-40B4-BE49-F238E27FC236}">
                  <a16:creationId xmlns:a16="http://schemas.microsoft.com/office/drawing/2014/main" id="{00000000-0008-0000-0200-0000DA050000}"/>
                </a:ext>
              </a:extLst>
            </xdr:cNvPr>
            <xdr:cNvGrpSpPr/>
          </xdr:nvGrpSpPr>
          <xdr:grpSpPr>
            <a:xfrm>
              <a:off x="13679805" y="106093372"/>
              <a:ext cx="953589" cy="1109382"/>
              <a:chOff x="0" y="0"/>
              <a:chExt cx="1112520" cy="1371600"/>
            </a:xfrm>
          </xdr:grpSpPr>
          <xdr:sp macro="" textlink="">
            <xdr:nvSpPr>
              <xdr:cNvPr id="1499" name="Rectangle 1498">
                <a:extLst>
                  <a:ext uri="{FF2B5EF4-FFF2-40B4-BE49-F238E27FC236}">
                    <a16:creationId xmlns:a16="http://schemas.microsoft.com/office/drawing/2014/main" id="{00000000-0008-0000-0200-0000DB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00" name="Rectangle 1499">
                <a:extLst>
                  <a:ext uri="{FF2B5EF4-FFF2-40B4-BE49-F238E27FC236}">
                    <a16:creationId xmlns:a16="http://schemas.microsoft.com/office/drawing/2014/main" id="{00000000-0008-0000-0200-0000DC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01" name="Straight Connector 1500">
                <a:extLst>
                  <a:ext uri="{FF2B5EF4-FFF2-40B4-BE49-F238E27FC236}">
                    <a16:creationId xmlns:a16="http://schemas.microsoft.com/office/drawing/2014/main" id="{00000000-0008-0000-0200-0000DD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96" name="Thought Bubble: Cloud 1495">
            <a:extLst>
              <a:ext uri="{FF2B5EF4-FFF2-40B4-BE49-F238E27FC236}">
                <a16:creationId xmlns:a16="http://schemas.microsoft.com/office/drawing/2014/main" id="{00000000-0008-0000-0200-0000D8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1</xdr:col>
      <xdr:colOff>403860</xdr:colOff>
      <xdr:row>559</xdr:row>
      <xdr:rowOff>72655</xdr:rowOff>
    </xdr:from>
    <xdr:to>
      <xdr:col>3</xdr:col>
      <xdr:colOff>192329</xdr:colOff>
      <xdr:row>570</xdr:row>
      <xdr:rowOff>164757</xdr:rowOff>
    </xdr:to>
    <xdr:grpSp>
      <xdr:nvGrpSpPr>
        <xdr:cNvPr id="1369" name="Group 1368">
          <a:extLst>
            <a:ext uri="{FF2B5EF4-FFF2-40B4-BE49-F238E27FC236}">
              <a16:creationId xmlns:a16="http://schemas.microsoft.com/office/drawing/2014/main" id="{00000000-0008-0000-0200-000059050000}"/>
            </a:ext>
          </a:extLst>
        </xdr:cNvPr>
        <xdr:cNvGrpSpPr>
          <a:grpSpLocks noChangeAspect="1"/>
        </xdr:cNvGrpSpPr>
      </xdr:nvGrpSpPr>
      <xdr:grpSpPr>
        <a:xfrm>
          <a:off x="518160" y="111469435"/>
          <a:ext cx="794309" cy="2096162"/>
          <a:chOff x="13620749" y="104774999"/>
          <a:chExt cx="1352551" cy="3438523"/>
        </a:xfrm>
      </xdr:grpSpPr>
      <xdr:grpSp>
        <xdr:nvGrpSpPr>
          <xdr:cNvPr id="1481" name="Group 1480">
            <a:extLst>
              <a:ext uri="{FF2B5EF4-FFF2-40B4-BE49-F238E27FC236}">
                <a16:creationId xmlns:a16="http://schemas.microsoft.com/office/drawing/2014/main" id="{00000000-0008-0000-0200-0000C9050000}"/>
              </a:ext>
            </a:extLst>
          </xdr:cNvPr>
          <xdr:cNvGrpSpPr/>
        </xdr:nvGrpSpPr>
        <xdr:grpSpPr>
          <a:xfrm>
            <a:off x="13620749" y="105470322"/>
            <a:ext cx="1053296" cy="2743200"/>
            <a:chOff x="13620749" y="105470322"/>
            <a:chExt cx="1053296" cy="2743200"/>
          </a:xfrm>
        </xdr:grpSpPr>
        <xdr:grpSp>
          <xdr:nvGrpSpPr>
            <xdr:cNvPr id="1483" name="Group 1482">
              <a:extLst>
                <a:ext uri="{FF2B5EF4-FFF2-40B4-BE49-F238E27FC236}">
                  <a16:creationId xmlns:a16="http://schemas.microsoft.com/office/drawing/2014/main" id="{00000000-0008-0000-0200-0000CB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488" name="Rectangle: Rounded Corners 1487">
                <a:extLst>
                  <a:ext uri="{FF2B5EF4-FFF2-40B4-BE49-F238E27FC236}">
                    <a16:creationId xmlns:a16="http://schemas.microsoft.com/office/drawing/2014/main" id="{00000000-0008-0000-0200-0000D0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89" name="Rectangle: Rounded Corners 1488">
                <a:extLst>
                  <a:ext uri="{FF2B5EF4-FFF2-40B4-BE49-F238E27FC236}">
                    <a16:creationId xmlns:a16="http://schemas.microsoft.com/office/drawing/2014/main" id="{00000000-0008-0000-0200-0000D1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0" name="Rectangle: Rounded Corners 1489">
                <a:extLst>
                  <a:ext uri="{FF2B5EF4-FFF2-40B4-BE49-F238E27FC236}">
                    <a16:creationId xmlns:a16="http://schemas.microsoft.com/office/drawing/2014/main" id="{00000000-0008-0000-0200-0000D2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1" name="Rectangle: Rounded Corners 1490">
                <a:extLst>
                  <a:ext uri="{FF2B5EF4-FFF2-40B4-BE49-F238E27FC236}">
                    <a16:creationId xmlns:a16="http://schemas.microsoft.com/office/drawing/2014/main" id="{00000000-0008-0000-0200-0000D3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2" name="Rectangle: Rounded Corners 1491">
                <a:extLst>
                  <a:ext uri="{FF2B5EF4-FFF2-40B4-BE49-F238E27FC236}">
                    <a16:creationId xmlns:a16="http://schemas.microsoft.com/office/drawing/2014/main" id="{00000000-0008-0000-0200-0000D4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3" name="Rectangle: Rounded Corners 1492">
                <a:extLst>
                  <a:ext uri="{FF2B5EF4-FFF2-40B4-BE49-F238E27FC236}">
                    <a16:creationId xmlns:a16="http://schemas.microsoft.com/office/drawing/2014/main" id="{00000000-0008-0000-0200-0000D5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4" name="Rectangle: Rounded Corners 1493">
                <a:extLst>
                  <a:ext uri="{FF2B5EF4-FFF2-40B4-BE49-F238E27FC236}">
                    <a16:creationId xmlns:a16="http://schemas.microsoft.com/office/drawing/2014/main" id="{00000000-0008-0000-0200-0000D6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84" name="Group 1483">
              <a:extLst>
                <a:ext uri="{FF2B5EF4-FFF2-40B4-BE49-F238E27FC236}">
                  <a16:creationId xmlns:a16="http://schemas.microsoft.com/office/drawing/2014/main" id="{00000000-0008-0000-0200-0000CC050000}"/>
                </a:ext>
              </a:extLst>
            </xdr:cNvPr>
            <xdr:cNvGrpSpPr/>
          </xdr:nvGrpSpPr>
          <xdr:grpSpPr>
            <a:xfrm>
              <a:off x="13679805" y="106093372"/>
              <a:ext cx="953589" cy="1109382"/>
              <a:chOff x="0" y="0"/>
              <a:chExt cx="1112520" cy="1371600"/>
            </a:xfrm>
          </xdr:grpSpPr>
          <xdr:sp macro="" textlink="">
            <xdr:nvSpPr>
              <xdr:cNvPr id="1485" name="Rectangle 1484">
                <a:extLst>
                  <a:ext uri="{FF2B5EF4-FFF2-40B4-BE49-F238E27FC236}">
                    <a16:creationId xmlns:a16="http://schemas.microsoft.com/office/drawing/2014/main" id="{00000000-0008-0000-0200-0000CD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86" name="Rectangle 1485">
                <a:extLst>
                  <a:ext uri="{FF2B5EF4-FFF2-40B4-BE49-F238E27FC236}">
                    <a16:creationId xmlns:a16="http://schemas.microsoft.com/office/drawing/2014/main" id="{00000000-0008-0000-0200-0000CE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87" name="Straight Connector 1486">
                <a:extLst>
                  <a:ext uri="{FF2B5EF4-FFF2-40B4-BE49-F238E27FC236}">
                    <a16:creationId xmlns:a16="http://schemas.microsoft.com/office/drawing/2014/main" id="{00000000-0008-0000-0200-0000CF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82" name="Thought Bubble: Cloud 1481">
            <a:extLst>
              <a:ext uri="{FF2B5EF4-FFF2-40B4-BE49-F238E27FC236}">
                <a16:creationId xmlns:a16="http://schemas.microsoft.com/office/drawing/2014/main" id="{00000000-0008-0000-0200-0000CA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3</xdr:col>
      <xdr:colOff>220980</xdr:colOff>
      <xdr:row>559</xdr:row>
      <xdr:rowOff>40785</xdr:rowOff>
    </xdr:from>
    <xdr:to>
      <xdr:col>5</xdr:col>
      <xdr:colOff>9449</xdr:colOff>
      <xdr:row>570</xdr:row>
      <xdr:rowOff>132887</xdr:rowOff>
    </xdr:to>
    <xdr:grpSp>
      <xdr:nvGrpSpPr>
        <xdr:cNvPr id="1370" name="Group 1369">
          <a:extLst>
            <a:ext uri="{FF2B5EF4-FFF2-40B4-BE49-F238E27FC236}">
              <a16:creationId xmlns:a16="http://schemas.microsoft.com/office/drawing/2014/main" id="{00000000-0008-0000-0200-00005A050000}"/>
            </a:ext>
          </a:extLst>
        </xdr:cNvPr>
        <xdr:cNvGrpSpPr>
          <a:grpSpLocks noChangeAspect="1"/>
        </xdr:cNvGrpSpPr>
      </xdr:nvGrpSpPr>
      <xdr:grpSpPr>
        <a:xfrm>
          <a:off x="1341120" y="111437565"/>
          <a:ext cx="794309" cy="2096162"/>
          <a:chOff x="13620749" y="104774999"/>
          <a:chExt cx="1352551" cy="3438523"/>
        </a:xfrm>
      </xdr:grpSpPr>
      <xdr:grpSp>
        <xdr:nvGrpSpPr>
          <xdr:cNvPr id="1467" name="Group 1466">
            <a:extLst>
              <a:ext uri="{FF2B5EF4-FFF2-40B4-BE49-F238E27FC236}">
                <a16:creationId xmlns:a16="http://schemas.microsoft.com/office/drawing/2014/main" id="{00000000-0008-0000-0200-0000BB050000}"/>
              </a:ext>
            </a:extLst>
          </xdr:cNvPr>
          <xdr:cNvGrpSpPr/>
        </xdr:nvGrpSpPr>
        <xdr:grpSpPr>
          <a:xfrm>
            <a:off x="13620749" y="105470322"/>
            <a:ext cx="1053296" cy="2743200"/>
            <a:chOff x="13620749" y="105470322"/>
            <a:chExt cx="1053296" cy="2743200"/>
          </a:xfrm>
        </xdr:grpSpPr>
        <xdr:grpSp>
          <xdr:nvGrpSpPr>
            <xdr:cNvPr id="1469" name="Group 1468">
              <a:extLst>
                <a:ext uri="{FF2B5EF4-FFF2-40B4-BE49-F238E27FC236}">
                  <a16:creationId xmlns:a16="http://schemas.microsoft.com/office/drawing/2014/main" id="{00000000-0008-0000-0200-0000BD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474" name="Rectangle: Rounded Corners 1473">
                <a:extLst>
                  <a:ext uri="{FF2B5EF4-FFF2-40B4-BE49-F238E27FC236}">
                    <a16:creationId xmlns:a16="http://schemas.microsoft.com/office/drawing/2014/main" id="{00000000-0008-0000-0200-0000C2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5" name="Rectangle: Rounded Corners 1474">
                <a:extLst>
                  <a:ext uri="{FF2B5EF4-FFF2-40B4-BE49-F238E27FC236}">
                    <a16:creationId xmlns:a16="http://schemas.microsoft.com/office/drawing/2014/main" id="{00000000-0008-0000-0200-0000C3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6" name="Rectangle: Rounded Corners 1475">
                <a:extLst>
                  <a:ext uri="{FF2B5EF4-FFF2-40B4-BE49-F238E27FC236}">
                    <a16:creationId xmlns:a16="http://schemas.microsoft.com/office/drawing/2014/main" id="{00000000-0008-0000-0200-0000C4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7" name="Rectangle: Rounded Corners 1476">
                <a:extLst>
                  <a:ext uri="{FF2B5EF4-FFF2-40B4-BE49-F238E27FC236}">
                    <a16:creationId xmlns:a16="http://schemas.microsoft.com/office/drawing/2014/main" id="{00000000-0008-0000-0200-0000C5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8" name="Rectangle: Rounded Corners 1477">
                <a:extLst>
                  <a:ext uri="{FF2B5EF4-FFF2-40B4-BE49-F238E27FC236}">
                    <a16:creationId xmlns:a16="http://schemas.microsoft.com/office/drawing/2014/main" id="{00000000-0008-0000-0200-0000C6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9" name="Rectangle: Rounded Corners 1478">
                <a:extLst>
                  <a:ext uri="{FF2B5EF4-FFF2-40B4-BE49-F238E27FC236}">
                    <a16:creationId xmlns:a16="http://schemas.microsoft.com/office/drawing/2014/main" id="{00000000-0008-0000-0200-0000C7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80" name="Rectangle: Rounded Corners 1479">
                <a:extLst>
                  <a:ext uri="{FF2B5EF4-FFF2-40B4-BE49-F238E27FC236}">
                    <a16:creationId xmlns:a16="http://schemas.microsoft.com/office/drawing/2014/main" id="{00000000-0008-0000-0200-0000C8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70" name="Group 1469">
              <a:extLst>
                <a:ext uri="{FF2B5EF4-FFF2-40B4-BE49-F238E27FC236}">
                  <a16:creationId xmlns:a16="http://schemas.microsoft.com/office/drawing/2014/main" id="{00000000-0008-0000-0200-0000BE050000}"/>
                </a:ext>
              </a:extLst>
            </xdr:cNvPr>
            <xdr:cNvGrpSpPr/>
          </xdr:nvGrpSpPr>
          <xdr:grpSpPr>
            <a:xfrm>
              <a:off x="13679805" y="106093372"/>
              <a:ext cx="953589" cy="1109382"/>
              <a:chOff x="0" y="0"/>
              <a:chExt cx="1112520" cy="1371600"/>
            </a:xfrm>
          </xdr:grpSpPr>
          <xdr:sp macro="" textlink="">
            <xdr:nvSpPr>
              <xdr:cNvPr id="1471" name="Rectangle 1470">
                <a:extLst>
                  <a:ext uri="{FF2B5EF4-FFF2-40B4-BE49-F238E27FC236}">
                    <a16:creationId xmlns:a16="http://schemas.microsoft.com/office/drawing/2014/main" id="{00000000-0008-0000-0200-0000BF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72" name="Rectangle 1471">
                <a:extLst>
                  <a:ext uri="{FF2B5EF4-FFF2-40B4-BE49-F238E27FC236}">
                    <a16:creationId xmlns:a16="http://schemas.microsoft.com/office/drawing/2014/main" id="{00000000-0008-0000-0200-0000C0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73" name="Straight Connector 1472">
                <a:extLst>
                  <a:ext uri="{FF2B5EF4-FFF2-40B4-BE49-F238E27FC236}">
                    <a16:creationId xmlns:a16="http://schemas.microsoft.com/office/drawing/2014/main" id="{00000000-0008-0000-0200-0000C1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68" name="Thought Bubble: Cloud 1467">
            <a:extLst>
              <a:ext uri="{FF2B5EF4-FFF2-40B4-BE49-F238E27FC236}">
                <a16:creationId xmlns:a16="http://schemas.microsoft.com/office/drawing/2014/main" id="{00000000-0008-0000-0200-0000BC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10</xdr:col>
      <xdr:colOff>420616</xdr:colOff>
      <xdr:row>559</xdr:row>
      <xdr:rowOff>84802</xdr:rowOff>
    </xdr:from>
    <xdr:to>
      <xdr:col>12</xdr:col>
      <xdr:colOff>119616</xdr:colOff>
      <xdr:row>570</xdr:row>
      <xdr:rowOff>159499</xdr:rowOff>
    </xdr:to>
    <xdr:grpSp>
      <xdr:nvGrpSpPr>
        <xdr:cNvPr id="1375" name="Group 1374">
          <a:extLst>
            <a:ext uri="{FF2B5EF4-FFF2-40B4-BE49-F238E27FC236}">
              <a16:creationId xmlns:a16="http://schemas.microsoft.com/office/drawing/2014/main" id="{00000000-0008-0000-0200-00005F050000}"/>
            </a:ext>
          </a:extLst>
        </xdr:cNvPr>
        <xdr:cNvGrpSpPr>
          <a:grpSpLocks noChangeAspect="1"/>
        </xdr:cNvGrpSpPr>
      </xdr:nvGrpSpPr>
      <xdr:grpSpPr>
        <a:xfrm>
          <a:off x="5061196" y="111481582"/>
          <a:ext cx="704840" cy="2078757"/>
          <a:chOff x="14800796" y="104774975"/>
          <a:chExt cx="1197224" cy="3409972"/>
        </a:xfrm>
      </xdr:grpSpPr>
      <xdr:grpSp>
        <xdr:nvGrpSpPr>
          <xdr:cNvPr id="1397" name="Group 1396">
            <a:extLst>
              <a:ext uri="{FF2B5EF4-FFF2-40B4-BE49-F238E27FC236}">
                <a16:creationId xmlns:a16="http://schemas.microsoft.com/office/drawing/2014/main" id="{00000000-0008-0000-0200-000075050000}"/>
              </a:ext>
            </a:extLst>
          </xdr:cNvPr>
          <xdr:cNvGrpSpPr/>
        </xdr:nvGrpSpPr>
        <xdr:grpSpPr>
          <a:xfrm>
            <a:off x="14944724" y="105441747"/>
            <a:ext cx="1053296" cy="2743200"/>
            <a:chOff x="14944724" y="105441747"/>
            <a:chExt cx="1053296" cy="2743200"/>
          </a:xfrm>
        </xdr:grpSpPr>
        <xdr:grpSp>
          <xdr:nvGrpSpPr>
            <xdr:cNvPr id="1399" name="Group 1398">
              <a:extLst>
                <a:ext uri="{FF2B5EF4-FFF2-40B4-BE49-F238E27FC236}">
                  <a16:creationId xmlns:a16="http://schemas.microsoft.com/office/drawing/2014/main" id="{00000000-0008-0000-0200-000077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04" name="Rectangle: Rounded Corners 1403">
                <a:extLst>
                  <a:ext uri="{FF2B5EF4-FFF2-40B4-BE49-F238E27FC236}">
                    <a16:creationId xmlns:a16="http://schemas.microsoft.com/office/drawing/2014/main" id="{00000000-0008-0000-0200-00007C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5" name="Rectangle: Rounded Corners 1404">
                <a:extLst>
                  <a:ext uri="{FF2B5EF4-FFF2-40B4-BE49-F238E27FC236}">
                    <a16:creationId xmlns:a16="http://schemas.microsoft.com/office/drawing/2014/main" id="{00000000-0008-0000-0200-00007D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6" name="Rectangle: Rounded Corners 1405">
                <a:extLst>
                  <a:ext uri="{FF2B5EF4-FFF2-40B4-BE49-F238E27FC236}">
                    <a16:creationId xmlns:a16="http://schemas.microsoft.com/office/drawing/2014/main" id="{00000000-0008-0000-0200-00007E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7" name="Rectangle: Rounded Corners 1406">
                <a:extLst>
                  <a:ext uri="{FF2B5EF4-FFF2-40B4-BE49-F238E27FC236}">
                    <a16:creationId xmlns:a16="http://schemas.microsoft.com/office/drawing/2014/main" id="{00000000-0008-0000-0200-00007F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8" name="Rectangle: Rounded Corners 1407">
                <a:extLst>
                  <a:ext uri="{FF2B5EF4-FFF2-40B4-BE49-F238E27FC236}">
                    <a16:creationId xmlns:a16="http://schemas.microsoft.com/office/drawing/2014/main" id="{00000000-0008-0000-0200-000080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9" name="Rectangle: Rounded Corners 1408">
                <a:extLst>
                  <a:ext uri="{FF2B5EF4-FFF2-40B4-BE49-F238E27FC236}">
                    <a16:creationId xmlns:a16="http://schemas.microsoft.com/office/drawing/2014/main" id="{00000000-0008-0000-0200-000081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10" name="Rectangle: Rounded Corners 1409">
                <a:extLst>
                  <a:ext uri="{FF2B5EF4-FFF2-40B4-BE49-F238E27FC236}">
                    <a16:creationId xmlns:a16="http://schemas.microsoft.com/office/drawing/2014/main" id="{00000000-0008-0000-0200-000082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00" name="Group 1399">
              <a:extLst>
                <a:ext uri="{FF2B5EF4-FFF2-40B4-BE49-F238E27FC236}">
                  <a16:creationId xmlns:a16="http://schemas.microsoft.com/office/drawing/2014/main" id="{00000000-0008-0000-0200-000078050000}"/>
                </a:ext>
              </a:extLst>
            </xdr:cNvPr>
            <xdr:cNvGrpSpPr/>
          </xdr:nvGrpSpPr>
          <xdr:grpSpPr>
            <a:xfrm>
              <a:off x="15001875" y="106064797"/>
              <a:ext cx="953589" cy="1109382"/>
              <a:chOff x="-11112" y="0"/>
              <a:chExt cx="1112519" cy="1371600"/>
            </a:xfrm>
          </xdr:grpSpPr>
          <xdr:sp macro="" textlink="">
            <xdr:nvSpPr>
              <xdr:cNvPr id="1401" name="Rectangle 1400">
                <a:extLst>
                  <a:ext uri="{FF2B5EF4-FFF2-40B4-BE49-F238E27FC236}">
                    <a16:creationId xmlns:a16="http://schemas.microsoft.com/office/drawing/2014/main" id="{00000000-0008-0000-0200-000079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02" name="Rectangle 1401">
                <a:extLst>
                  <a:ext uri="{FF2B5EF4-FFF2-40B4-BE49-F238E27FC236}">
                    <a16:creationId xmlns:a16="http://schemas.microsoft.com/office/drawing/2014/main" id="{00000000-0008-0000-0200-00007A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03" name="Straight Connector 1402">
                <a:extLst>
                  <a:ext uri="{FF2B5EF4-FFF2-40B4-BE49-F238E27FC236}">
                    <a16:creationId xmlns:a16="http://schemas.microsoft.com/office/drawing/2014/main" id="{00000000-0008-0000-0200-00007B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98" name="Thought Bubble: Cloud 1397">
            <a:extLst>
              <a:ext uri="{FF2B5EF4-FFF2-40B4-BE49-F238E27FC236}">
                <a16:creationId xmlns:a16="http://schemas.microsoft.com/office/drawing/2014/main" id="{00000000-0008-0000-0200-000076050000}"/>
              </a:ext>
            </a:extLst>
          </xdr:cNvPr>
          <xdr:cNvSpPr/>
        </xdr:nvSpPr>
        <xdr:spPr>
          <a:xfrm flipH="1">
            <a:off x="14800796" y="104774975"/>
            <a:ext cx="1171577"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2</xdr:col>
      <xdr:colOff>180685</xdr:colOff>
      <xdr:row>563</xdr:row>
      <xdr:rowOff>162842</xdr:rowOff>
    </xdr:from>
    <xdr:to>
      <xdr:col>6</xdr:col>
      <xdr:colOff>353203</xdr:colOff>
      <xdr:row>574</xdr:row>
      <xdr:rowOff>89301</xdr:rowOff>
    </xdr:to>
    <xdr:grpSp>
      <xdr:nvGrpSpPr>
        <xdr:cNvPr id="1371" name="Group 1370">
          <a:extLst>
            <a:ext uri="{FF2B5EF4-FFF2-40B4-BE49-F238E27FC236}">
              <a16:creationId xmlns:a16="http://schemas.microsoft.com/office/drawing/2014/main" id="{00000000-0008-0000-0200-00005B050000}"/>
            </a:ext>
          </a:extLst>
        </xdr:cNvPr>
        <xdr:cNvGrpSpPr>
          <a:grpSpLocks noChangeAspect="1"/>
        </xdr:cNvGrpSpPr>
      </xdr:nvGrpSpPr>
      <xdr:grpSpPr>
        <a:xfrm>
          <a:off x="797905" y="112260662"/>
          <a:ext cx="2184198" cy="1945759"/>
          <a:chOff x="16602074" y="105297915"/>
          <a:chExt cx="3415676" cy="2925132"/>
        </a:xfrm>
      </xdr:grpSpPr>
      <xdr:grpSp>
        <xdr:nvGrpSpPr>
          <xdr:cNvPr id="1453" name="Group 1452">
            <a:extLst>
              <a:ext uri="{FF2B5EF4-FFF2-40B4-BE49-F238E27FC236}">
                <a16:creationId xmlns:a16="http://schemas.microsoft.com/office/drawing/2014/main" id="{00000000-0008-0000-0200-0000AD050000}"/>
              </a:ext>
            </a:extLst>
          </xdr:cNvPr>
          <xdr:cNvGrpSpPr/>
        </xdr:nvGrpSpPr>
        <xdr:grpSpPr>
          <a:xfrm>
            <a:off x="16602074" y="105479847"/>
            <a:ext cx="1053296" cy="2743200"/>
            <a:chOff x="16602074" y="105479847"/>
            <a:chExt cx="1053296" cy="2743200"/>
          </a:xfrm>
        </xdr:grpSpPr>
        <xdr:grpSp>
          <xdr:nvGrpSpPr>
            <xdr:cNvPr id="1455" name="Group 1454">
              <a:extLst>
                <a:ext uri="{FF2B5EF4-FFF2-40B4-BE49-F238E27FC236}">
                  <a16:creationId xmlns:a16="http://schemas.microsoft.com/office/drawing/2014/main" id="{00000000-0008-0000-0200-0000AF050000}"/>
                </a:ext>
              </a:extLst>
            </xdr:cNvPr>
            <xdr:cNvGrpSpPr>
              <a:grpSpLocks noChangeAspect="1"/>
            </xdr:cNvGrpSpPr>
          </xdr:nvGrpSpPr>
          <xdr:grpSpPr>
            <a:xfrm>
              <a:off x="16602074" y="105479847"/>
              <a:ext cx="1053296" cy="2743200"/>
              <a:chOff x="4819649" y="104755947"/>
              <a:chExt cx="2600325" cy="6772277"/>
            </a:xfrm>
            <a:solidFill>
              <a:srgbClr val="00B0F0"/>
            </a:solidFill>
          </xdr:grpSpPr>
          <xdr:sp macro="" textlink="">
            <xdr:nvSpPr>
              <xdr:cNvPr id="1460" name="Rectangle: Rounded Corners 1459">
                <a:extLst>
                  <a:ext uri="{FF2B5EF4-FFF2-40B4-BE49-F238E27FC236}">
                    <a16:creationId xmlns:a16="http://schemas.microsoft.com/office/drawing/2014/main" id="{00000000-0008-0000-0200-0000B4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1" name="Rectangle: Rounded Corners 1460">
                <a:extLst>
                  <a:ext uri="{FF2B5EF4-FFF2-40B4-BE49-F238E27FC236}">
                    <a16:creationId xmlns:a16="http://schemas.microsoft.com/office/drawing/2014/main" id="{00000000-0008-0000-0200-0000B5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2" name="Rectangle: Rounded Corners 1461">
                <a:extLst>
                  <a:ext uri="{FF2B5EF4-FFF2-40B4-BE49-F238E27FC236}">
                    <a16:creationId xmlns:a16="http://schemas.microsoft.com/office/drawing/2014/main" id="{00000000-0008-0000-0200-0000B6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3" name="Rectangle: Rounded Corners 1462">
                <a:extLst>
                  <a:ext uri="{FF2B5EF4-FFF2-40B4-BE49-F238E27FC236}">
                    <a16:creationId xmlns:a16="http://schemas.microsoft.com/office/drawing/2014/main" id="{00000000-0008-0000-0200-0000B7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4" name="Rectangle: Rounded Corners 1463">
                <a:extLst>
                  <a:ext uri="{FF2B5EF4-FFF2-40B4-BE49-F238E27FC236}">
                    <a16:creationId xmlns:a16="http://schemas.microsoft.com/office/drawing/2014/main" id="{00000000-0008-0000-0200-0000B8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5" name="Rectangle: Rounded Corners 1464">
                <a:extLst>
                  <a:ext uri="{FF2B5EF4-FFF2-40B4-BE49-F238E27FC236}">
                    <a16:creationId xmlns:a16="http://schemas.microsoft.com/office/drawing/2014/main" id="{00000000-0008-0000-0200-0000B9050000}"/>
                  </a:ext>
                </a:extLst>
              </xdr:cNvPr>
              <xdr:cNvSpPr/>
            </xdr:nvSpPr>
            <xdr:spPr>
              <a:xfrm>
                <a:off x="5419725" y="106499024"/>
                <a:ext cx="640080" cy="5029200"/>
              </a:xfrm>
              <a:prstGeom prst="roundRect">
                <a:avLst>
                  <a:gd name="adj" fmla="val 47917"/>
                </a:avLst>
              </a:prstGeom>
              <a:gradFill>
                <a:gsLst>
                  <a:gs pos="0">
                    <a:srgbClr val="00B0F0"/>
                  </a:gs>
                  <a:gs pos="75000">
                    <a:srgbClr val="00B0F0"/>
                  </a:gs>
                  <a:gs pos="100000">
                    <a:srgbClr val="00206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6" name="Rectangle: Rounded Corners 1465">
                <a:extLst>
                  <a:ext uri="{FF2B5EF4-FFF2-40B4-BE49-F238E27FC236}">
                    <a16:creationId xmlns:a16="http://schemas.microsoft.com/office/drawing/2014/main" id="{00000000-0008-0000-0200-0000BA050000}"/>
                  </a:ext>
                </a:extLst>
              </xdr:cNvPr>
              <xdr:cNvSpPr/>
            </xdr:nvSpPr>
            <xdr:spPr>
              <a:xfrm>
                <a:off x="6200775" y="106499024"/>
                <a:ext cx="640080" cy="5029200"/>
              </a:xfrm>
              <a:prstGeom prst="roundRect">
                <a:avLst>
                  <a:gd name="adj" fmla="val 47917"/>
                </a:avLst>
              </a:prstGeom>
              <a:gradFill>
                <a:gsLst>
                  <a:gs pos="0">
                    <a:srgbClr val="00B0F0"/>
                  </a:gs>
                  <a:gs pos="75000">
                    <a:srgbClr val="00B0F0"/>
                  </a:gs>
                  <a:gs pos="100000">
                    <a:srgbClr val="00206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56" name="Group 1455">
              <a:extLst>
                <a:ext uri="{FF2B5EF4-FFF2-40B4-BE49-F238E27FC236}">
                  <a16:creationId xmlns:a16="http://schemas.microsoft.com/office/drawing/2014/main" id="{00000000-0008-0000-0200-0000B0050000}"/>
                </a:ext>
              </a:extLst>
            </xdr:cNvPr>
            <xdr:cNvGrpSpPr/>
          </xdr:nvGrpSpPr>
          <xdr:grpSpPr>
            <a:xfrm>
              <a:off x="16655688" y="106112422"/>
              <a:ext cx="953589" cy="1109382"/>
              <a:chOff x="1638300" y="0"/>
              <a:chExt cx="1112520" cy="1371600"/>
            </a:xfrm>
          </xdr:grpSpPr>
          <xdr:sp macro="" textlink="">
            <xdr:nvSpPr>
              <xdr:cNvPr id="1457" name="Rectangle 1456">
                <a:extLst>
                  <a:ext uri="{FF2B5EF4-FFF2-40B4-BE49-F238E27FC236}">
                    <a16:creationId xmlns:a16="http://schemas.microsoft.com/office/drawing/2014/main" id="{00000000-0008-0000-0200-0000B1050000}"/>
                  </a:ext>
                </a:extLst>
              </xdr:cNvPr>
              <xdr:cNvSpPr/>
            </xdr:nvSpPr>
            <xdr:spPr>
              <a:xfrm>
                <a:off x="1638300" y="0"/>
                <a:ext cx="457200" cy="1371600"/>
              </a:xfrm>
              <a:prstGeom prst="rect">
                <a:avLst/>
              </a:prstGeom>
              <a:gradFill>
                <a:gsLst>
                  <a:gs pos="0">
                    <a:schemeClr val="bg1">
                      <a:lumMod val="95000"/>
                    </a:schemeClr>
                  </a:gs>
                  <a:gs pos="29000">
                    <a:schemeClr val="bg1">
                      <a:lumMod val="95000"/>
                    </a:schemeClr>
                  </a:gs>
                  <a:gs pos="30000">
                    <a:schemeClr val="accent6">
                      <a:lumMod val="40000"/>
                      <a:lumOff val="60000"/>
                    </a:schemeClr>
                  </a:gs>
                  <a:gs pos="100000">
                    <a:schemeClr val="accent6">
                      <a:lumMod val="60000"/>
                      <a:lumOff val="40000"/>
                    </a:schemeClr>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58" name="Rectangle 1457">
                <a:extLst>
                  <a:ext uri="{FF2B5EF4-FFF2-40B4-BE49-F238E27FC236}">
                    <a16:creationId xmlns:a16="http://schemas.microsoft.com/office/drawing/2014/main" id="{00000000-0008-0000-0200-0000B2050000}"/>
                  </a:ext>
                </a:extLst>
              </xdr:cNvPr>
              <xdr:cNvSpPr/>
            </xdr:nvSpPr>
            <xdr:spPr>
              <a:xfrm>
                <a:off x="2293620" y="0"/>
                <a:ext cx="457200" cy="1371600"/>
              </a:xfrm>
              <a:prstGeom prst="rect">
                <a:avLst/>
              </a:prstGeom>
              <a:gradFill>
                <a:gsLst>
                  <a:gs pos="0">
                    <a:schemeClr val="bg1">
                      <a:lumMod val="95000"/>
                    </a:schemeClr>
                  </a:gs>
                  <a:gs pos="39000">
                    <a:schemeClr val="bg1">
                      <a:lumMod val="95000"/>
                    </a:schemeClr>
                  </a:gs>
                  <a:gs pos="40000">
                    <a:srgbClr val="F0CDFF"/>
                  </a:gs>
                  <a:gs pos="100000">
                    <a:srgbClr val="D7B9FF"/>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59" name="Straight Connector 1458">
                <a:extLst>
                  <a:ext uri="{FF2B5EF4-FFF2-40B4-BE49-F238E27FC236}">
                    <a16:creationId xmlns:a16="http://schemas.microsoft.com/office/drawing/2014/main" id="{00000000-0008-0000-0200-0000B3050000}"/>
                  </a:ext>
                </a:extLst>
              </xdr:cNvPr>
              <xdr:cNvCxnSpPr/>
            </xdr:nvCxnSpPr>
            <xdr:spPr>
              <a:xfrm flipH="1" flipV="1">
                <a:off x="2095500" y="418496"/>
                <a:ext cx="198120" cy="129739"/>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54" name="Speech Bubble: Oval 1453">
            <a:extLst>
              <a:ext uri="{FF2B5EF4-FFF2-40B4-BE49-F238E27FC236}">
                <a16:creationId xmlns:a16="http://schemas.microsoft.com/office/drawing/2014/main" id="{00000000-0008-0000-0200-0000AE050000}"/>
              </a:ext>
            </a:extLst>
          </xdr:cNvPr>
          <xdr:cNvSpPr/>
        </xdr:nvSpPr>
        <xdr:spPr>
          <a:xfrm>
            <a:off x="17419496" y="105297915"/>
            <a:ext cx="2598254" cy="504825"/>
          </a:xfrm>
          <a:prstGeom prst="wedgeEllipseCallout">
            <a:avLst>
              <a:gd name="adj1" fmla="val -48040"/>
              <a:gd name="adj2" fmla="val 49213"/>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9</xdr:col>
      <xdr:colOff>481570</xdr:colOff>
      <xdr:row>560</xdr:row>
      <xdr:rowOff>64697</xdr:rowOff>
    </xdr:from>
    <xdr:to>
      <xdr:col>11</xdr:col>
      <xdr:colOff>172952</xdr:colOff>
      <xdr:row>571</xdr:row>
      <xdr:rowOff>139394</xdr:rowOff>
    </xdr:to>
    <xdr:grpSp>
      <xdr:nvGrpSpPr>
        <xdr:cNvPr id="1372" name="Group 1371">
          <a:extLst>
            <a:ext uri="{FF2B5EF4-FFF2-40B4-BE49-F238E27FC236}">
              <a16:creationId xmlns:a16="http://schemas.microsoft.com/office/drawing/2014/main" id="{00000000-0008-0000-0200-00005C050000}"/>
            </a:ext>
          </a:extLst>
        </xdr:cNvPr>
        <xdr:cNvGrpSpPr>
          <a:grpSpLocks noChangeAspect="1"/>
        </xdr:cNvGrpSpPr>
      </xdr:nvGrpSpPr>
      <xdr:grpSpPr>
        <a:xfrm>
          <a:off x="4619230" y="111636737"/>
          <a:ext cx="697222" cy="2078757"/>
          <a:chOff x="14814021" y="104774975"/>
          <a:chExt cx="1183999" cy="3409972"/>
        </a:xfrm>
      </xdr:grpSpPr>
      <xdr:grpSp>
        <xdr:nvGrpSpPr>
          <xdr:cNvPr id="1439" name="Group 1438">
            <a:extLst>
              <a:ext uri="{FF2B5EF4-FFF2-40B4-BE49-F238E27FC236}">
                <a16:creationId xmlns:a16="http://schemas.microsoft.com/office/drawing/2014/main" id="{00000000-0008-0000-0200-00009F050000}"/>
              </a:ext>
            </a:extLst>
          </xdr:cNvPr>
          <xdr:cNvGrpSpPr/>
        </xdr:nvGrpSpPr>
        <xdr:grpSpPr>
          <a:xfrm>
            <a:off x="14944724" y="105441747"/>
            <a:ext cx="1053296" cy="2743200"/>
            <a:chOff x="14944724" y="105441747"/>
            <a:chExt cx="1053296" cy="2743200"/>
          </a:xfrm>
        </xdr:grpSpPr>
        <xdr:grpSp>
          <xdr:nvGrpSpPr>
            <xdr:cNvPr id="1441" name="Group 1440">
              <a:extLst>
                <a:ext uri="{FF2B5EF4-FFF2-40B4-BE49-F238E27FC236}">
                  <a16:creationId xmlns:a16="http://schemas.microsoft.com/office/drawing/2014/main" id="{00000000-0008-0000-0200-0000A1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46" name="Rectangle: Rounded Corners 1445">
                <a:extLst>
                  <a:ext uri="{FF2B5EF4-FFF2-40B4-BE49-F238E27FC236}">
                    <a16:creationId xmlns:a16="http://schemas.microsoft.com/office/drawing/2014/main" id="{00000000-0008-0000-0200-0000A6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47" name="Rectangle: Rounded Corners 1446">
                <a:extLst>
                  <a:ext uri="{FF2B5EF4-FFF2-40B4-BE49-F238E27FC236}">
                    <a16:creationId xmlns:a16="http://schemas.microsoft.com/office/drawing/2014/main" id="{00000000-0008-0000-0200-0000A7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48" name="Rectangle: Rounded Corners 1447">
                <a:extLst>
                  <a:ext uri="{FF2B5EF4-FFF2-40B4-BE49-F238E27FC236}">
                    <a16:creationId xmlns:a16="http://schemas.microsoft.com/office/drawing/2014/main" id="{00000000-0008-0000-0200-0000A8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49" name="Rectangle: Rounded Corners 1448">
                <a:extLst>
                  <a:ext uri="{FF2B5EF4-FFF2-40B4-BE49-F238E27FC236}">
                    <a16:creationId xmlns:a16="http://schemas.microsoft.com/office/drawing/2014/main" id="{00000000-0008-0000-0200-0000A9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50" name="Rectangle: Rounded Corners 1449">
                <a:extLst>
                  <a:ext uri="{FF2B5EF4-FFF2-40B4-BE49-F238E27FC236}">
                    <a16:creationId xmlns:a16="http://schemas.microsoft.com/office/drawing/2014/main" id="{00000000-0008-0000-0200-0000AA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51" name="Rectangle: Rounded Corners 1450">
                <a:extLst>
                  <a:ext uri="{FF2B5EF4-FFF2-40B4-BE49-F238E27FC236}">
                    <a16:creationId xmlns:a16="http://schemas.microsoft.com/office/drawing/2014/main" id="{00000000-0008-0000-0200-0000AB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52" name="Rectangle: Rounded Corners 1451">
                <a:extLst>
                  <a:ext uri="{FF2B5EF4-FFF2-40B4-BE49-F238E27FC236}">
                    <a16:creationId xmlns:a16="http://schemas.microsoft.com/office/drawing/2014/main" id="{00000000-0008-0000-0200-0000AC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42" name="Group 1441">
              <a:extLst>
                <a:ext uri="{FF2B5EF4-FFF2-40B4-BE49-F238E27FC236}">
                  <a16:creationId xmlns:a16="http://schemas.microsoft.com/office/drawing/2014/main" id="{00000000-0008-0000-0200-0000A2050000}"/>
                </a:ext>
              </a:extLst>
            </xdr:cNvPr>
            <xdr:cNvGrpSpPr/>
          </xdr:nvGrpSpPr>
          <xdr:grpSpPr>
            <a:xfrm>
              <a:off x="15001875" y="106064797"/>
              <a:ext cx="953589" cy="1109382"/>
              <a:chOff x="-11112" y="0"/>
              <a:chExt cx="1112519" cy="1371600"/>
            </a:xfrm>
          </xdr:grpSpPr>
          <xdr:sp macro="" textlink="">
            <xdr:nvSpPr>
              <xdr:cNvPr id="1443" name="Rectangle 1442">
                <a:extLst>
                  <a:ext uri="{FF2B5EF4-FFF2-40B4-BE49-F238E27FC236}">
                    <a16:creationId xmlns:a16="http://schemas.microsoft.com/office/drawing/2014/main" id="{00000000-0008-0000-0200-0000A3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44" name="Rectangle 1443">
                <a:extLst>
                  <a:ext uri="{FF2B5EF4-FFF2-40B4-BE49-F238E27FC236}">
                    <a16:creationId xmlns:a16="http://schemas.microsoft.com/office/drawing/2014/main" id="{00000000-0008-0000-0200-0000A4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45" name="Straight Connector 1444">
                <a:extLst>
                  <a:ext uri="{FF2B5EF4-FFF2-40B4-BE49-F238E27FC236}">
                    <a16:creationId xmlns:a16="http://schemas.microsoft.com/office/drawing/2014/main" id="{00000000-0008-0000-0200-0000A5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40" name="Thought Bubble: Cloud 1439">
            <a:extLst>
              <a:ext uri="{FF2B5EF4-FFF2-40B4-BE49-F238E27FC236}">
                <a16:creationId xmlns:a16="http://schemas.microsoft.com/office/drawing/2014/main" id="{00000000-0008-0000-0200-0000A0050000}"/>
              </a:ext>
            </a:extLst>
          </xdr:cNvPr>
          <xdr:cNvSpPr/>
        </xdr:nvSpPr>
        <xdr:spPr>
          <a:xfrm flipH="1">
            <a:off x="14814021" y="104774975"/>
            <a:ext cx="1171576"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7</xdr:col>
      <xdr:colOff>187817</xdr:colOff>
      <xdr:row>563</xdr:row>
      <xdr:rowOff>162486</xdr:rowOff>
    </xdr:from>
    <xdr:to>
      <xdr:col>11</xdr:col>
      <xdr:colOff>373206</xdr:colOff>
      <xdr:row>574</xdr:row>
      <xdr:rowOff>85531</xdr:rowOff>
    </xdr:to>
    <xdr:grpSp>
      <xdr:nvGrpSpPr>
        <xdr:cNvPr id="1376" name="Group 1375">
          <a:extLst>
            <a:ext uri="{FF2B5EF4-FFF2-40B4-BE49-F238E27FC236}">
              <a16:creationId xmlns:a16="http://schemas.microsoft.com/office/drawing/2014/main" id="{00000000-0008-0000-0200-000060050000}"/>
            </a:ext>
          </a:extLst>
        </xdr:cNvPr>
        <xdr:cNvGrpSpPr>
          <a:grpSpLocks noChangeAspect="1"/>
        </xdr:cNvGrpSpPr>
      </xdr:nvGrpSpPr>
      <xdr:grpSpPr>
        <a:xfrm>
          <a:off x="3319637" y="112260306"/>
          <a:ext cx="2197069" cy="1942345"/>
          <a:chOff x="15571811" y="105293615"/>
          <a:chExt cx="3407534" cy="2900857"/>
        </a:xfrm>
      </xdr:grpSpPr>
      <xdr:grpSp>
        <xdr:nvGrpSpPr>
          <xdr:cNvPr id="1383" name="Group 1382">
            <a:extLst>
              <a:ext uri="{FF2B5EF4-FFF2-40B4-BE49-F238E27FC236}">
                <a16:creationId xmlns:a16="http://schemas.microsoft.com/office/drawing/2014/main" id="{00000000-0008-0000-0200-000067050000}"/>
              </a:ext>
            </a:extLst>
          </xdr:cNvPr>
          <xdr:cNvGrpSpPr/>
        </xdr:nvGrpSpPr>
        <xdr:grpSpPr>
          <a:xfrm>
            <a:off x="17926049" y="105451272"/>
            <a:ext cx="1053296" cy="2743200"/>
            <a:chOff x="17926049" y="105451272"/>
            <a:chExt cx="1053296" cy="2743200"/>
          </a:xfrm>
        </xdr:grpSpPr>
        <xdr:grpSp>
          <xdr:nvGrpSpPr>
            <xdr:cNvPr id="1385" name="Group 1384">
              <a:extLst>
                <a:ext uri="{FF2B5EF4-FFF2-40B4-BE49-F238E27FC236}">
                  <a16:creationId xmlns:a16="http://schemas.microsoft.com/office/drawing/2014/main" id="{00000000-0008-0000-0200-000069050000}"/>
                </a:ext>
              </a:extLst>
            </xdr:cNvPr>
            <xdr:cNvGrpSpPr>
              <a:grpSpLocks noChangeAspect="1"/>
            </xdr:cNvGrpSpPr>
          </xdr:nvGrpSpPr>
          <xdr:grpSpPr>
            <a:xfrm>
              <a:off x="17926049" y="105451272"/>
              <a:ext cx="1053296" cy="2743200"/>
              <a:chOff x="4819649" y="104755947"/>
              <a:chExt cx="2600325" cy="6772277"/>
            </a:xfrm>
            <a:solidFill>
              <a:srgbClr val="FF7171"/>
            </a:solidFill>
          </xdr:grpSpPr>
          <xdr:sp macro="" textlink="">
            <xdr:nvSpPr>
              <xdr:cNvPr id="1390" name="Rectangle: Rounded Corners 1389">
                <a:extLst>
                  <a:ext uri="{FF2B5EF4-FFF2-40B4-BE49-F238E27FC236}">
                    <a16:creationId xmlns:a16="http://schemas.microsoft.com/office/drawing/2014/main" id="{00000000-0008-0000-0200-00006E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1" name="Rectangle: Rounded Corners 1390">
                <a:extLst>
                  <a:ext uri="{FF2B5EF4-FFF2-40B4-BE49-F238E27FC236}">
                    <a16:creationId xmlns:a16="http://schemas.microsoft.com/office/drawing/2014/main" id="{00000000-0008-0000-0200-00006F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2" name="Rectangle: Rounded Corners 1391">
                <a:extLst>
                  <a:ext uri="{FF2B5EF4-FFF2-40B4-BE49-F238E27FC236}">
                    <a16:creationId xmlns:a16="http://schemas.microsoft.com/office/drawing/2014/main" id="{00000000-0008-0000-0200-000070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3" name="Rectangle: Rounded Corners 1392">
                <a:extLst>
                  <a:ext uri="{FF2B5EF4-FFF2-40B4-BE49-F238E27FC236}">
                    <a16:creationId xmlns:a16="http://schemas.microsoft.com/office/drawing/2014/main" id="{00000000-0008-0000-0200-000071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4" name="Rectangle: Rounded Corners 1393">
                <a:extLst>
                  <a:ext uri="{FF2B5EF4-FFF2-40B4-BE49-F238E27FC236}">
                    <a16:creationId xmlns:a16="http://schemas.microsoft.com/office/drawing/2014/main" id="{00000000-0008-0000-0200-000072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5" name="Rectangle: Rounded Corners 1394">
                <a:extLst>
                  <a:ext uri="{FF2B5EF4-FFF2-40B4-BE49-F238E27FC236}">
                    <a16:creationId xmlns:a16="http://schemas.microsoft.com/office/drawing/2014/main" id="{00000000-0008-0000-0200-000073050000}"/>
                  </a:ext>
                </a:extLst>
              </xdr:cNvPr>
              <xdr:cNvSpPr/>
            </xdr:nvSpPr>
            <xdr:spPr>
              <a:xfrm>
                <a:off x="5419725" y="106499024"/>
                <a:ext cx="640080" cy="5029200"/>
              </a:xfrm>
              <a:prstGeom prst="roundRect">
                <a:avLst>
                  <a:gd name="adj" fmla="val 47917"/>
                </a:avLst>
              </a:prstGeom>
              <a:gradFill>
                <a:gsLst>
                  <a:gs pos="0">
                    <a:srgbClr val="FF7171"/>
                  </a:gs>
                  <a:gs pos="75000">
                    <a:srgbClr val="FF7171"/>
                  </a:gs>
                  <a:gs pos="100000">
                    <a:srgbClr val="73000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6" name="Rectangle: Rounded Corners 1395">
                <a:extLst>
                  <a:ext uri="{FF2B5EF4-FFF2-40B4-BE49-F238E27FC236}">
                    <a16:creationId xmlns:a16="http://schemas.microsoft.com/office/drawing/2014/main" id="{00000000-0008-0000-0200-000074050000}"/>
                  </a:ext>
                </a:extLst>
              </xdr:cNvPr>
              <xdr:cNvSpPr/>
            </xdr:nvSpPr>
            <xdr:spPr>
              <a:xfrm>
                <a:off x="6200775" y="106499024"/>
                <a:ext cx="640080" cy="5029200"/>
              </a:xfrm>
              <a:prstGeom prst="roundRect">
                <a:avLst>
                  <a:gd name="adj" fmla="val 47917"/>
                </a:avLst>
              </a:prstGeom>
              <a:gradFill>
                <a:gsLst>
                  <a:gs pos="0">
                    <a:srgbClr val="FF7171"/>
                  </a:gs>
                  <a:gs pos="75000">
                    <a:srgbClr val="FF7171"/>
                  </a:gs>
                  <a:gs pos="100000">
                    <a:srgbClr val="73000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86" name="Group 1385">
              <a:extLst>
                <a:ext uri="{FF2B5EF4-FFF2-40B4-BE49-F238E27FC236}">
                  <a16:creationId xmlns:a16="http://schemas.microsoft.com/office/drawing/2014/main" id="{00000000-0008-0000-0200-00006A050000}"/>
                </a:ext>
              </a:extLst>
            </xdr:cNvPr>
            <xdr:cNvGrpSpPr/>
          </xdr:nvGrpSpPr>
          <xdr:grpSpPr>
            <a:xfrm>
              <a:off x="17977758" y="106083847"/>
              <a:ext cx="953589" cy="1109382"/>
              <a:chOff x="1638300" y="0"/>
              <a:chExt cx="1112520" cy="1371600"/>
            </a:xfrm>
          </xdr:grpSpPr>
          <xdr:sp macro="" textlink="">
            <xdr:nvSpPr>
              <xdr:cNvPr id="1387" name="Rectangle 1386">
                <a:extLst>
                  <a:ext uri="{FF2B5EF4-FFF2-40B4-BE49-F238E27FC236}">
                    <a16:creationId xmlns:a16="http://schemas.microsoft.com/office/drawing/2014/main" id="{00000000-0008-0000-0200-00006B050000}"/>
                  </a:ext>
                </a:extLst>
              </xdr:cNvPr>
              <xdr:cNvSpPr/>
            </xdr:nvSpPr>
            <xdr:spPr>
              <a:xfrm>
                <a:off x="1638300" y="0"/>
                <a:ext cx="457200" cy="1371600"/>
              </a:xfrm>
              <a:prstGeom prst="rect">
                <a:avLst/>
              </a:prstGeom>
              <a:gradFill>
                <a:gsLst>
                  <a:gs pos="0">
                    <a:schemeClr val="bg1">
                      <a:lumMod val="95000"/>
                    </a:schemeClr>
                  </a:gs>
                  <a:gs pos="39000">
                    <a:schemeClr val="bg1">
                      <a:lumMod val="95000"/>
                    </a:schemeClr>
                  </a:gs>
                  <a:gs pos="40000">
                    <a:schemeClr val="accent6">
                      <a:lumMod val="40000"/>
                      <a:lumOff val="60000"/>
                    </a:schemeClr>
                  </a:gs>
                  <a:gs pos="100000">
                    <a:schemeClr val="accent6">
                      <a:lumMod val="60000"/>
                      <a:lumOff val="40000"/>
                    </a:schemeClr>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88" name="Rectangle 1387">
                <a:extLst>
                  <a:ext uri="{FF2B5EF4-FFF2-40B4-BE49-F238E27FC236}">
                    <a16:creationId xmlns:a16="http://schemas.microsoft.com/office/drawing/2014/main" id="{00000000-0008-0000-0200-00006C050000}"/>
                  </a:ext>
                </a:extLst>
              </xdr:cNvPr>
              <xdr:cNvSpPr/>
            </xdr:nvSpPr>
            <xdr:spPr>
              <a:xfrm>
                <a:off x="2293620" y="0"/>
                <a:ext cx="457200" cy="1371600"/>
              </a:xfrm>
              <a:prstGeom prst="rect">
                <a:avLst/>
              </a:prstGeom>
              <a:gradFill>
                <a:gsLst>
                  <a:gs pos="0">
                    <a:schemeClr val="bg1">
                      <a:lumMod val="95000"/>
                    </a:schemeClr>
                  </a:gs>
                  <a:gs pos="29000">
                    <a:schemeClr val="bg1">
                      <a:lumMod val="95000"/>
                    </a:schemeClr>
                  </a:gs>
                  <a:gs pos="30000">
                    <a:srgbClr val="F0CDFF"/>
                  </a:gs>
                  <a:gs pos="100000">
                    <a:srgbClr val="D7B9FF"/>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89" name="Straight Connector 1388">
                <a:extLst>
                  <a:ext uri="{FF2B5EF4-FFF2-40B4-BE49-F238E27FC236}">
                    <a16:creationId xmlns:a16="http://schemas.microsoft.com/office/drawing/2014/main" id="{00000000-0008-0000-0200-00006D050000}"/>
                  </a:ext>
                </a:extLst>
              </xdr:cNvPr>
              <xdr:cNvCxnSpPr/>
            </xdr:nvCxnSpPr>
            <xdr:spPr>
              <a:xfrm flipV="1">
                <a:off x="2084388" y="411288"/>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84" name="Speech Bubble: Oval 1383">
            <a:extLst>
              <a:ext uri="{FF2B5EF4-FFF2-40B4-BE49-F238E27FC236}">
                <a16:creationId xmlns:a16="http://schemas.microsoft.com/office/drawing/2014/main" id="{00000000-0008-0000-0200-000068050000}"/>
              </a:ext>
            </a:extLst>
          </xdr:cNvPr>
          <xdr:cNvSpPr/>
        </xdr:nvSpPr>
        <xdr:spPr>
          <a:xfrm flipH="1">
            <a:off x="15571811" y="105293615"/>
            <a:ext cx="2541529" cy="504825"/>
          </a:xfrm>
          <a:prstGeom prst="wedgeEllipseCallout">
            <a:avLst>
              <a:gd name="adj1" fmla="val -49376"/>
              <a:gd name="adj2" fmla="val 47104"/>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0</xdr:col>
      <xdr:colOff>68089</xdr:colOff>
      <xdr:row>555</xdr:row>
      <xdr:rowOff>59818</xdr:rowOff>
    </xdr:from>
    <xdr:to>
      <xdr:col>5</xdr:col>
      <xdr:colOff>250969</xdr:colOff>
      <xdr:row>559</xdr:row>
      <xdr:rowOff>75852</xdr:rowOff>
    </xdr:to>
    <xdr:grpSp>
      <xdr:nvGrpSpPr>
        <xdr:cNvPr id="1377" name="Group 1376">
          <a:extLst>
            <a:ext uri="{FF2B5EF4-FFF2-40B4-BE49-F238E27FC236}">
              <a16:creationId xmlns:a16="http://schemas.microsoft.com/office/drawing/2014/main" id="{00000000-0008-0000-0200-000061050000}"/>
            </a:ext>
          </a:extLst>
        </xdr:cNvPr>
        <xdr:cNvGrpSpPr/>
      </xdr:nvGrpSpPr>
      <xdr:grpSpPr>
        <a:xfrm>
          <a:off x="68089" y="110755558"/>
          <a:ext cx="2308860" cy="717074"/>
          <a:chOff x="16763508" y="115547025"/>
          <a:chExt cx="2286000" cy="685800"/>
        </a:xfrm>
      </xdr:grpSpPr>
      <xdr:sp macro="" textlink="">
        <xdr:nvSpPr>
          <xdr:cNvPr id="1381" name="Parallelogram 1380">
            <a:extLst>
              <a:ext uri="{FF2B5EF4-FFF2-40B4-BE49-F238E27FC236}">
                <a16:creationId xmlns:a16="http://schemas.microsoft.com/office/drawing/2014/main" id="{00000000-0008-0000-0200-000065050000}"/>
              </a:ext>
            </a:extLst>
          </xdr:cNvPr>
          <xdr:cNvSpPr/>
        </xdr:nvSpPr>
        <xdr:spPr>
          <a:xfrm rot="777534" flipH="1">
            <a:off x="16763508" y="115766132"/>
            <a:ext cx="2286000" cy="228600"/>
          </a:xfrm>
          <a:prstGeom prst="parallelogram">
            <a:avLst/>
          </a:prstGeom>
          <a:solidFill>
            <a:srgbClr val="C2DAF0">
              <a:alpha val="80000"/>
            </a:srgbClr>
          </a:solidFill>
          <a:ln>
            <a:solidFill>
              <a:srgbClr val="9DC3E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82" name="Rectangle 1381">
            <a:extLst>
              <a:ext uri="{FF2B5EF4-FFF2-40B4-BE49-F238E27FC236}">
                <a16:creationId xmlns:a16="http://schemas.microsoft.com/office/drawing/2014/main" id="{00000000-0008-0000-0200-000066050000}"/>
              </a:ext>
            </a:extLst>
          </xdr:cNvPr>
          <xdr:cNvSpPr/>
        </xdr:nvSpPr>
        <xdr:spPr>
          <a:xfrm>
            <a:off x="16883748" y="115547025"/>
            <a:ext cx="2103120" cy="685800"/>
          </a:xfrm>
          <a:prstGeom prst="rect">
            <a:avLst/>
          </a:prstGeom>
          <a:noFill/>
        </xdr:spPr>
        <xdr:txBody>
          <a:bodyPr wrap="none" lIns="91440" tIns="45720" rIns="91440" bIns="45720">
            <a:prstTxWarp prst="textSlantDown">
              <a:avLst>
                <a:gd name="adj" fmla="val 28569"/>
              </a:avLst>
            </a:prstTxWarp>
            <a:spAutoFit/>
          </a:bodyPr>
          <a:lstStyle/>
          <a:p>
            <a:pPr algn="ctr"/>
            <a:r>
              <a:rPr lang="en-US" sz="1100" b="1" cap="none" spc="0">
                <a:ln w="10160">
                  <a:solidFill>
                    <a:schemeClr val="accent6">
                      <a:lumMod val="50000"/>
                    </a:schemeClr>
                  </a:solidFill>
                  <a:prstDash val="solid"/>
                </a:ln>
                <a:solidFill>
                  <a:srgbClr val="C8FFE1"/>
                </a:solidFill>
                <a:effectLst>
                  <a:outerShdw blurRad="38100" dist="22860" dir="5400000" algn="tl" rotWithShape="0">
                    <a:srgbClr val="000000">
                      <a:alpha val="30000"/>
                    </a:srgbClr>
                  </a:outerShdw>
                </a:effectLst>
              </a:rPr>
              <a:t>PSYCHO</a:t>
            </a:r>
            <a:r>
              <a:rPr lang="en-US" sz="1100" b="1" cap="none" spc="0">
                <a:ln w="10160">
                  <a:solidFill>
                    <a:srgbClr val="7030A0"/>
                  </a:solidFill>
                  <a:prstDash val="solid"/>
                </a:ln>
                <a:solidFill>
                  <a:srgbClr val="C8FFE1"/>
                </a:solidFill>
                <a:effectLst>
                  <a:outerShdw blurRad="38100" dist="22860" dir="5400000" algn="tl" rotWithShape="0">
                    <a:srgbClr val="000000">
                      <a:alpha val="30000"/>
                    </a:srgbClr>
                  </a:outerShdw>
                </a:effectLst>
              </a:rPr>
              <a:t>SOCIAL</a:t>
            </a:r>
            <a:r>
              <a:rPr lang="en-US" sz="1100" b="1" cap="none" spc="0">
                <a:ln w="10160">
                  <a:solidFill>
                    <a:schemeClr val="accent5">
                      <a:lumMod val="50000"/>
                    </a:schemeClr>
                  </a:solidFill>
                  <a:prstDash val="solid"/>
                </a:ln>
                <a:solidFill>
                  <a:srgbClr val="C8FFE1"/>
                </a:solidFill>
                <a:effectLst>
                  <a:outerShdw blurRad="38100" dist="22860" dir="5400000" algn="tl" rotWithShape="0">
                    <a:srgbClr val="000000">
                      <a:alpha val="30000"/>
                    </a:srgbClr>
                  </a:outerShdw>
                </a:effectLst>
              </a:rPr>
              <a:t> PRIORITY</a:t>
            </a:r>
          </a:p>
        </xdr:txBody>
      </xdr:sp>
    </xdr:grpSp>
    <xdr:clientData/>
  </xdr:twoCellAnchor>
  <xdr:twoCellAnchor>
    <xdr:from>
      <xdr:col>8</xdr:col>
      <xdr:colOff>239634</xdr:colOff>
      <xdr:row>555</xdr:row>
      <xdr:rowOff>61901</xdr:rowOff>
    </xdr:from>
    <xdr:to>
      <xdr:col>13</xdr:col>
      <xdr:colOff>49134</xdr:colOff>
      <xdr:row>559</xdr:row>
      <xdr:rowOff>69966</xdr:rowOff>
    </xdr:to>
    <xdr:grpSp>
      <xdr:nvGrpSpPr>
        <xdr:cNvPr id="1378" name="Group 1377">
          <a:extLst>
            <a:ext uri="{FF2B5EF4-FFF2-40B4-BE49-F238E27FC236}">
              <a16:creationId xmlns:a16="http://schemas.microsoft.com/office/drawing/2014/main" id="{00000000-0008-0000-0200-000062050000}"/>
            </a:ext>
          </a:extLst>
        </xdr:cNvPr>
        <xdr:cNvGrpSpPr/>
      </xdr:nvGrpSpPr>
      <xdr:grpSpPr>
        <a:xfrm>
          <a:off x="3874374" y="110757641"/>
          <a:ext cx="2324100" cy="709105"/>
          <a:chOff x="19541093" y="115533777"/>
          <a:chExt cx="2286000" cy="678179"/>
        </a:xfrm>
      </xdr:grpSpPr>
      <xdr:sp macro="" textlink="">
        <xdr:nvSpPr>
          <xdr:cNvPr id="1379" name="Parallelogram 1378">
            <a:extLst>
              <a:ext uri="{FF2B5EF4-FFF2-40B4-BE49-F238E27FC236}">
                <a16:creationId xmlns:a16="http://schemas.microsoft.com/office/drawing/2014/main" id="{00000000-0008-0000-0200-000063050000}"/>
              </a:ext>
            </a:extLst>
          </xdr:cNvPr>
          <xdr:cNvSpPr/>
        </xdr:nvSpPr>
        <xdr:spPr>
          <a:xfrm rot="20822466">
            <a:off x="19541093" y="115769690"/>
            <a:ext cx="2286000" cy="201168"/>
          </a:xfrm>
          <a:prstGeom prst="parallelogram">
            <a:avLst/>
          </a:prstGeom>
          <a:solidFill>
            <a:srgbClr val="FFC1C1">
              <a:alpha val="80000"/>
            </a:srgbClr>
          </a:solidFill>
          <a:ln>
            <a:solidFill>
              <a:srgbClr val="FF999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80" name="Rectangle 1379">
            <a:extLst>
              <a:ext uri="{FF2B5EF4-FFF2-40B4-BE49-F238E27FC236}">
                <a16:creationId xmlns:a16="http://schemas.microsoft.com/office/drawing/2014/main" id="{00000000-0008-0000-0200-000064050000}"/>
              </a:ext>
            </a:extLst>
          </xdr:cNvPr>
          <xdr:cNvSpPr/>
        </xdr:nvSpPr>
        <xdr:spPr>
          <a:xfrm>
            <a:off x="19649808" y="115533777"/>
            <a:ext cx="2103120" cy="678179"/>
          </a:xfrm>
          <a:prstGeom prst="rect">
            <a:avLst/>
          </a:prstGeom>
          <a:noFill/>
        </xdr:spPr>
        <xdr:txBody>
          <a:bodyPr wrap="none" lIns="91440" tIns="45720" rIns="91440" bIns="45720">
            <a:prstTxWarp prst="textSlantUp">
              <a:avLst>
                <a:gd name="adj" fmla="val 71431"/>
              </a:avLst>
            </a:prstTxWarp>
            <a:spAutoFit/>
          </a:bodyPr>
          <a:lstStyle/>
          <a:p>
            <a:pPr algn="ctr"/>
            <a:r>
              <a:rPr lang="en-US" sz="1100" b="1" cap="none" spc="0">
                <a:ln w="10160">
                  <a:solidFill>
                    <a:schemeClr val="accent6">
                      <a:lumMod val="50000"/>
                    </a:schemeClr>
                  </a:solidFill>
                  <a:prstDash val="solid"/>
                </a:ln>
                <a:solidFill>
                  <a:srgbClr val="C8FFE1"/>
                </a:solidFill>
                <a:effectLst>
                  <a:outerShdw blurRad="38100" dist="22860" dir="5400000" algn="tl" rotWithShape="0">
                    <a:srgbClr val="000000">
                      <a:alpha val="30000"/>
                    </a:srgbClr>
                  </a:outerShdw>
                </a:effectLst>
              </a:rPr>
              <a:t>PSYCHO</a:t>
            </a:r>
            <a:r>
              <a:rPr lang="en-US" sz="1100" b="1" cap="none" spc="0">
                <a:ln w="10160">
                  <a:solidFill>
                    <a:srgbClr val="7030A0"/>
                  </a:solidFill>
                  <a:prstDash val="solid"/>
                </a:ln>
                <a:solidFill>
                  <a:srgbClr val="C8FFE1"/>
                </a:solidFill>
                <a:effectLst>
                  <a:outerShdw blurRad="38100" dist="22860" dir="5400000" algn="tl" rotWithShape="0">
                    <a:srgbClr val="000000">
                      <a:alpha val="30000"/>
                    </a:srgbClr>
                  </a:outerShdw>
                </a:effectLst>
              </a:rPr>
              <a:t>SOCIAL</a:t>
            </a:r>
            <a:r>
              <a:rPr lang="en-US" sz="1100" b="1" cap="none" spc="0">
                <a:ln w="10160">
                  <a:solidFill>
                    <a:srgbClr val="7D0000"/>
                  </a:solidFill>
                  <a:prstDash val="solid"/>
                </a:ln>
                <a:solidFill>
                  <a:srgbClr val="C8FFE1"/>
                </a:solidFill>
                <a:effectLst>
                  <a:outerShdw blurRad="38100" dist="22860" dir="5400000" algn="tl" rotWithShape="0">
                    <a:srgbClr val="000000">
                      <a:alpha val="30000"/>
                    </a:srgbClr>
                  </a:outerShdw>
                </a:effectLst>
              </a:rPr>
              <a:t> PRIORITY</a:t>
            </a:r>
          </a:p>
        </xdr:txBody>
      </xdr:sp>
    </xdr:grpSp>
    <xdr:clientData/>
  </xdr:twoCellAnchor>
  <xdr:twoCellAnchor>
    <xdr:from>
      <xdr:col>11</xdr:col>
      <xdr:colOff>313945</xdr:colOff>
      <xdr:row>560</xdr:row>
      <xdr:rowOff>48777</xdr:rowOff>
    </xdr:from>
    <xdr:to>
      <xdr:col>12</xdr:col>
      <xdr:colOff>493472</xdr:colOff>
      <xdr:row>571</xdr:row>
      <xdr:rowOff>123459</xdr:rowOff>
    </xdr:to>
    <xdr:grpSp>
      <xdr:nvGrpSpPr>
        <xdr:cNvPr id="1373" name="Group 1372">
          <a:extLst>
            <a:ext uri="{FF2B5EF4-FFF2-40B4-BE49-F238E27FC236}">
              <a16:creationId xmlns:a16="http://schemas.microsoft.com/office/drawing/2014/main" id="{00000000-0008-0000-0200-00005D050000}"/>
            </a:ext>
          </a:extLst>
        </xdr:cNvPr>
        <xdr:cNvGrpSpPr>
          <a:grpSpLocks noChangeAspect="1"/>
        </xdr:cNvGrpSpPr>
      </xdr:nvGrpSpPr>
      <xdr:grpSpPr>
        <a:xfrm>
          <a:off x="5457445" y="111620817"/>
          <a:ext cx="682447" cy="2078742"/>
          <a:chOff x="14866938" y="104774999"/>
          <a:chExt cx="1171575" cy="3409948"/>
        </a:xfrm>
      </xdr:grpSpPr>
      <xdr:grpSp>
        <xdr:nvGrpSpPr>
          <xdr:cNvPr id="1425" name="Group 1424">
            <a:extLst>
              <a:ext uri="{FF2B5EF4-FFF2-40B4-BE49-F238E27FC236}">
                <a16:creationId xmlns:a16="http://schemas.microsoft.com/office/drawing/2014/main" id="{00000000-0008-0000-0200-000091050000}"/>
              </a:ext>
            </a:extLst>
          </xdr:cNvPr>
          <xdr:cNvGrpSpPr/>
        </xdr:nvGrpSpPr>
        <xdr:grpSpPr>
          <a:xfrm>
            <a:off x="14944724" y="105441747"/>
            <a:ext cx="1053296" cy="2743200"/>
            <a:chOff x="14944724" y="105441747"/>
            <a:chExt cx="1053296" cy="2743200"/>
          </a:xfrm>
        </xdr:grpSpPr>
        <xdr:grpSp>
          <xdr:nvGrpSpPr>
            <xdr:cNvPr id="1427" name="Group 1426">
              <a:extLst>
                <a:ext uri="{FF2B5EF4-FFF2-40B4-BE49-F238E27FC236}">
                  <a16:creationId xmlns:a16="http://schemas.microsoft.com/office/drawing/2014/main" id="{00000000-0008-0000-0200-000093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32" name="Rectangle: Rounded Corners 1431">
                <a:extLst>
                  <a:ext uri="{FF2B5EF4-FFF2-40B4-BE49-F238E27FC236}">
                    <a16:creationId xmlns:a16="http://schemas.microsoft.com/office/drawing/2014/main" id="{00000000-0008-0000-0200-000098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3" name="Rectangle: Rounded Corners 1432">
                <a:extLst>
                  <a:ext uri="{FF2B5EF4-FFF2-40B4-BE49-F238E27FC236}">
                    <a16:creationId xmlns:a16="http://schemas.microsoft.com/office/drawing/2014/main" id="{00000000-0008-0000-0200-000099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4" name="Rectangle: Rounded Corners 1433">
                <a:extLst>
                  <a:ext uri="{FF2B5EF4-FFF2-40B4-BE49-F238E27FC236}">
                    <a16:creationId xmlns:a16="http://schemas.microsoft.com/office/drawing/2014/main" id="{00000000-0008-0000-0200-00009A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5" name="Rectangle: Rounded Corners 1434">
                <a:extLst>
                  <a:ext uri="{FF2B5EF4-FFF2-40B4-BE49-F238E27FC236}">
                    <a16:creationId xmlns:a16="http://schemas.microsoft.com/office/drawing/2014/main" id="{00000000-0008-0000-0200-00009B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6" name="Rectangle: Rounded Corners 1435">
                <a:extLst>
                  <a:ext uri="{FF2B5EF4-FFF2-40B4-BE49-F238E27FC236}">
                    <a16:creationId xmlns:a16="http://schemas.microsoft.com/office/drawing/2014/main" id="{00000000-0008-0000-0200-00009C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7" name="Rectangle: Rounded Corners 1436">
                <a:extLst>
                  <a:ext uri="{FF2B5EF4-FFF2-40B4-BE49-F238E27FC236}">
                    <a16:creationId xmlns:a16="http://schemas.microsoft.com/office/drawing/2014/main" id="{00000000-0008-0000-0200-00009D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8" name="Rectangle: Rounded Corners 1437">
                <a:extLst>
                  <a:ext uri="{FF2B5EF4-FFF2-40B4-BE49-F238E27FC236}">
                    <a16:creationId xmlns:a16="http://schemas.microsoft.com/office/drawing/2014/main" id="{00000000-0008-0000-0200-00009E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28" name="Group 1427">
              <a:extLst>
                <a:ext uri="{FF2B5EF4-FFF2-40B4-BE49-F238E27FC236}">
                  <a16:creationId xmlns:a16="http://schemas.microsoft.com/office/drawing/2014/main" id="{00000000-0008-0000-0200-000094050000}"/>
                </a:ext>
              </a:extLst>
            </xdr:cNvPr>
            <xdr:cNvGrpSpPr/>
          </xdr:nvGrpSpPr>
          <xdr:grpSpPr>
            <a:xfrm>
              <a:off x="15001875" y="106064797"/>
              <a:ext cx="953589" cy="1109382"/>
              <a:chOff x="-11112" y="0"/>
              <a:chExt cx="1112519" cy="1371600"/>
            </a:xfrm>
          </xdr:grpSpPr>
          <xdr:sp macro="" textlink="">
            <xdr:nvSpPr>
              <xdr:cNvPr id="1429" name="Rectangle 1428">
                <a:extLst>
                  <a:ext uri="{FF2B5EF4-FFF2-40B4-BE49-F238E27FC236}">
                    <a16:creationId xmlns:a16="http://schemas.microsoft.com/office/drawing/2014/main" id="{00000000-0008-0000-0200-000095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30" name="Rectangle 1429">
                <a:extLst>
                  <a:ext uri="{FF2B5EF4-FFF2-40B4-BE49-F238E27FC236}">
                    <a16:creationId xmlns:a16="http://schemas.microsoft.com/office/drawing/2014/main" id="{00000000-0008-0000-0200-000096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31" name="Straight Connector 1430">
                <a:extLst>
                  <a:ext uri="{FF2B5EF4-FFF2-40B4-BE49-F238E27FC236}">
                    <a16:creationId xmlns:a16="http://schemas.microsoft.com/office/drawing/2014/main" id="{00000000-0008-0000-0200-000097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26" name="Thought Bubble: Cloud 1425">
            <a:extLst>
              <a:ext uri="{FF2B5EF4-FFF2-40B4-BE49-F238E27FC236}">
                <a16:creationId xmlns:a16="http://schemas.microsoft.com/office/drawing/2014/main" id="{00000000-0008-0000-0200-000092050000}"/>
              </a:ext>
            </a:extLst>
          </xdr:cNvPr>
          <xdr:cNvSpPr/>
        </xdr:nvSpPr>
        <xdr:spPr>
          <a:xfrm>
            <a:off x="14866938" y="104774999"/>
            <a:ext cx="1171575"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1</xdr:col>
      <xdr:colOff>1</xdr:colOff>
      <xdr:row>1058</xdr:row>
      <xdr:rowOff>7620</xdr:rowOff>
    </xdr:from>
    <xdr:to>
      <xdr:col>13</xdr:col>
      <xdr:colOff>2</xdr:colOff>
      <xdr:row>1063</xdr:row>
      <xdr:rowOff>7620</xdr:rowOff>
    </xdr:to>
    <xdr:grpSp>
      <xdr:nvGrpSpPr>
        <xdr:cNvPr id="1631" name="Group 1630" hidden="1">
          <a:extLst>
            <a:ext uri="{FF2B5EF4-FFF2-40B4-BE49-F238E27FC236}">
              <a16:creationId xmlns:a16="http://schemas.microsoft.com/office/drawing/2014/main" id="{00000000-0008-0000-0200-00005F060000}"/>
            </a:ext>
          </a:extLst>
        </xdr:cNvPr>
        <xdr:cNvGrpSpPr/>
      </xdr:nvGrpSpPr>
      <xdr:grpSpPr>
        <a:xfrm>
          <a:off x="114301" y="207949800"/>
          <a:ext cx="6035041" cy="1257300"/>
          <a:chOff x="7787640" y="586740"/>
          <a:chExt cx="2983245" cy="922020"/>
        </a:xfrm>
      </xdr:grpSpPr>
      <xdr:sp macro="" textlink="">
        <xdr:nvSpPr>
          <xdr:cNvPr id="1632" name="Speech Bubble: Rectangle with Corners Rounded 1631">
            <a:extLst>
              <a:ext uri="{FF2B5EF4-FFF2-40B4-BE49-F238E27FC236}">
                <a16:creationId xmlns:a16="http://schemas.microsoft.com/office/drawing/2014/main" id="{00000000-0008-0000-0200-00006006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633" name="Speech Bubble: Rectangle with Corners Rounded 1632">
            <a:extLst>
              <a:ext uri="{FF2B5EF4-FFF2-40B4-BE49-F238E27FC236}">
                <a16:creationId xmlns:a16="http://schemas.microsoft.com/office/drawing/2014/main" id="{00000000-0008-0000-0200-00006106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xdr:col>
      <xdr:colOff>122767</xdr:colOff>
      <xdr:row>1086</xdr:row>
      <xdr:rowOff>15251</xdr:rowOff>
    </xdr:from>
    <xdr:to>
      <xdr:col>6</xdr:col>
      <xdr:colOff>372532</xdr:colOff>
      <xdr:row>1088</xdr:row>
      <xdr:rowOff>27519</xdr:rowOff>
    </xdr:to>
    <xdr:grpSp>
      <xdr:nvGrpSpPr>
        <xdr:cNvPr id="1639" name="Group 1638">
          <a:extLst>
            <a:ext uri="{FF2B5EF4-FFF2-40B4-BE49-F238E27FC236}">
              <a16:creationId xmlns:a16="http://schemas.microsoft.com/office/drawing/2014/main" id="{00000000-0008-0000-0200-000067060000}"/>
            </a:ext>
          </a:extLst>
        </xdr:cNvPr>
        <xdr:cNvGrpSpPr/>
      </xdr:nvGrpSpPr>
      <xdr:grpSpPr>
        <a:xfrm>
          <a:off x="237067" y="214937351"/>
          <a:ext cx="2764365" cy="515188"/>
          <a:chOff x="6434667" y="11364816"/>
          <a:chExt cx="2726265" cy="511801"/>
        </a:xfrm>
        <a:effectLst>
          <a:outerShdw blurRad="63500" sx="102000" sy="102000" algn="ctr" rotWithShape="0">
            <a:prstClr val="black">
              <a:alpha val="40000"/>
            </a:prstClr>
          </a:outerShdw>
        </a:effectLst>
      </xdr:grpSpPr>
      <xdr:sp macro="" textlink="">
        <xdr:nvSpPr>
          <xdr:cNvPr id="1640" name="Right Brace 1639">
            <a:extLst>
              <a:ext uri="{FF2B5EF4-FFF2-40B4-BE49-F238E27FC236}">
                <a16:creationId xmlns:a16="http://schemas.microsoft.com/office/drawing/2014/main" id="{00000000-0008-0000-0200-000068060000}"/>
              </a:ext>
            </a:extLst>
          </xdr:cNvPr>
          <xdr:cNvSpPr/>
        </xdr:nvSpPr>
        <xdr:spPr>
          <a:xfrm rot="5867747">
            <a:off x="7697893" y="10763672"/>
            <a:ext cx="182880" cy="1828800"/>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41" name="Right Bracket 1640">
            <a:extLst>
              <a:ext uri="{FF2B5EF4-FFF2-40B4-BE49-F238E27FC236}">
                <a16:creationId xmlns:a16="http://schemas.microsoft.com/office/drawing/2014/main" id="{00000000-0008-0000-0200-000069060000}"/>
              </a:ext>
            </a:extLst>
          </xdr:cNvPr>
          <xdr:cNvSpPr/>
        </xdr:nvSpPr>
        <xdr:spPr>
          <a:xfrm rot="5400000">
            <a:off x="6850803" y="10948680"/>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2" name="Right Bracket 1641">
            <a:extLst>
              <a:ext uri="{FF2B5EF4-FFF2-40B4-BE49-F238E27FC236}">
                <a16:creationId xmlns:a16="http://schemas.microsoft.com/office/drawing/2014/main" id="{00000000-0008-0000-0200-00006A060000}"/>
              </a:ext>
            </a:extLst>
          </xdr:cNvPr>
          <xdr:cNvSpPr/>
        </xdr:nvSpPr>
        <xdr:spPr>
          <a:xfrm rot="5400000">
            <a:off x="8662668" y="11202661"/>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3" name="Flowchart: Delay 1642">
            <a:extLst>
              <a:ext uri="{FF2B5EF4-FFF2-40B4-BE49-F238E27FC236}">
                <a16:creationId xmlns:a16="http://schemas.microsoft.com/office/drawing/2014/main" id="{00000000-0008-0000-0200-00006B06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7</xdr:col>
      <xdr:colOff>97371</xdr:colOff>
      <xdr:row>1086</xdr:row>
      <xdr:rowOff>15253</xdr:rowOff>
    </xdr:from>
    <xdr:to>
      <xdr:col>12</xdr:col>
      <xdr:colOff>347136</xdr:colOff>
      <xdr:row>1088</xdr:row>
      <xdr:rowOff>27520</xdr:rowOff>
    </xdr:to>
    <xdr:grpSp>
      <xdr:nvGrpSpPr>
        <xdr:cNvPr id="1644" name="Group 1643">
          <a:extLst>
            <a:ext uri="{FF2B5EF4-FFF2-40B4-BE49-F238E27FC236}">
              <a16:creationId xmlns:a16="http://schemas.microsoft.com/office/drawing/2014/main" id="{00000000-0008-0000-0200-00006C060000}"/>
            </a:ext>
          </a:extLst>
        </xdr:cNvPr>
        <xdr:cNvGrpSpPr/>
      </xdr:nvGrpSpPr>
      <xdr:grpSpPr>
        <a:xfrm>
          <a:off x="3229191" y="214937353"/>
          <a:ext cx="2764365" cy="515187"/>
          <a:chOff x="9381071" y="11364818"/>
          <a:chExt cx="2726265" cy="511800"/>
        </a:xfrm>
        <a:effectLst>
          <a:outerShdw blurRad="63500" sx="102000" sy="102000" algn="ctr" rotWithShape="0">
            <a:prstClr val="black">
              <a:alpha val="40000"/>
            </a:prstClr>
          </a:outerShdw>
        </a:effectLst>
      </xdr:grpSpPr>
      <xdr:sp macro="" textlink="">
        <xdr:nvSpPr>
          <xdr:cNvPr id="1645" name="Right Brace 1644">
            <a:extLst>
              <a:ext uri="{FF2B5EF4-FFF2-40B4-BE49-F238E27FC236}">
                <a16:creationId xmlns:a16="http://schemas.microsoft.com/office/drawing/2014/main" id="{00000000-0008-0000-0200-00006D060000}"/>
              </a:ext>
            </a:extLst>
          </xdr:cNvPr>
          <xdr:cNvSpPr/>
        </xdr:nvSpPr>
        <xdr:spPr>
          <a:xfrm rot="4920000">
            <a:off x="10665463" y="10763672"/>
            <a:ext cx="182880" cy="1828800"/>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46" name="Right Bracket 1645">
            <a:extLst>
              <a:ext uri="{FF2B5EF4-FFF2-40B4-BE49-F238E27FC236}">
                <a16:creationId xmlns:a16="http://schemas.microsoft.com/office/drawing/2014/main" id="{00000000-0008-0000-0200-00006E060000}"/>
              </a:ext>
            </a:extLst>
          </xdr:cNvPr>
          <xdr:cNvSpPr/>
        </xdr:nvSpPr>
        <xdr:spPr>
          <a:xfrm rot="5400000">
            <a:off x="9797207" y="11202661"/>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7" name="Right Bracket 1646">
            <a:extLst>
              <a:ext uri="{FF2B5EF4-FFF2-40B4-BE49-F238E27FC236}">
                <a16:creationId xmlns:a16="http://schemas.microsoft.com/office/drawing/2014/main" id="{00000000-0008-0000-0200-00006F060000}"/>
              </a:ext>
            </a:extLst>
          </xdr:cNvPr>
          <xdr:cNvSpPr/>
        </xdr:nvSpPr>
        <xdr:spPr>
          <a:xfrm rot="5400000">
            <a:off x="11609072" y="10948682"/>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8" name="Flowchart: Delay 1647">
            <a:extLst>
              <a:ext uri="{FF2B5EF4-FFF2-40B4-BE49-F238E27FC236}">
                <a16:creationId xmlns:a16="http://schemas.microsoft.com/office/drawing/2014/main" id="{00000000-0008-0000-0200-000070060000}"/>
              </a:ext>
            </a:extLst>
          </xdr:cNvPr>
          <xdr:cNvSpPr/>
        </xdr:nvSpPr>
        <xdr:spPr>
          <a:xfrm rot="16200000">
            <a:off x="10723033" y="11675534"/>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0</xdr:col>
      <xdr:colOff>99060</xdr:colOff>
      <xdr:row>1121</xdr:row>
      <xdr:rowOff>167640</xdr:rowOff>
    </xdr:from>
    <xdr:to>
      <xdr:col>6</xdr:col>
      <xdr:colOff>487680</xdr:colOff>
      <xdr:row>1122</xdr:row>
      <xdr:rowOff>365760</xdr:rowOff>
    </xdr:to>
    <xdr:sp macro="" textlink="">
      <xdr:nvSpPr>
        <xdr:cNvPr id="1649" name="Arrow: Left 1648">
          <a:extLst>
            <a:ext uri="{FF2B5EF4-FFF2-40B4-BE49-F238E27FC236}">
              <a16:creationId xmlns:a16="http://schemas.microsoft.com/office/drawing/2014/main" id="{00000000-0008-0000-0200-000071060000}"/>
            </a:ext>
          </a:extLst>
        </xdr:cNvPr>
        <xdr:cNvSpPr/>
      </xdr:nvSpPr>
      <xdr:spPr>
        <a:xfrm>
          <a:off x="6377940" y="28178760"/>
          <a:ext cx="3025140" cy="411480"/>
        </a:xfrm>
        <a:prstGeom prst="leftArrow">
          <a:avLst>
            <a:gd name="adj1" fmla="val 100000"/>
            <a:gd name="adj2" fmla="val 50000"/>
          </a:avLst>
        </a:prstGeom>
        <a:solidFill>
          <a:schemeClr val="accent5">
            <a:lumMod val="20000"/>
            <a:lumOff val="80000"/>
          </a:schemeClr>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r>
            <a:rPr lang="en-US" sz="2800">
              <a:solidFill>
                <a:srgbClr val="002060"/>
              </a:solidFill>
              <a:effectLst>
                <a:outerShdw blurRad="63500" sx="102000" sy="102000" algn="ctr" rotWithShape="0">
                  <a:prstClr val="black">
                    <a:alpha val="40000"/>
                  </a:prstClr>
                </a:outerShdw>
              </a:effectLst>
              <a:latin typeface="Arial Black" panose="020B0A04020102020204" pitchFamily="34" charset="0"/>
            </a:rPr>
            <a:t>WIDER-focus</a:t>
          </a:r>
        </a:p>
      </xdr:txBody>
    </xdr:sp>
    <xdr:clientData/>
  </xdr:twoCellAnchor>
  <xdr:twoCellAnchor>
    <xdr:from>
      <xdr:col>7</xdr:col>
      <xdr:colOff>7620</xdr:colOff>
      <xdr:row>1121</xdr:row>
      <xdr:rowOff>167640</xdr:rowOff>
    </xdr:from>
    <xdr:to>
      <xdr:col>13</xdr:col>
      <xdr:colOff>22860</xdr:colOff>
      <xdr:row>1122</xdr:row>
      <xdr:rowOff>365760</xdr:rowOff>
    </xdr:to>
    <xdr:sp macro="" textlink="">
      <xdr:nvSpPr>
        <xdr:cNvPr id="1650" name="Arrow: Left 1649">
          <a:extLst>
            <a:ext uri="{FF2B5EF4-FFF2-40B4-BE49-F238E27FC236}">
              <a16:creationId xmlns:a16="http://schemas.microsoft.com/office/drawing/2014/main" id="{00000000-0008-0000-0200-000072060000}"/>
            </a:ext>
          </a:extLst>
        </xdr:cNvPr>
        <xdr:cNvSpPr/>
      </xdr:nvSpPr>
      <xdr:spPr>
        <a:xfrm flipH="1">
          <a:off x="9425940" y="28178760"/>
          <a:ext cx="3032760" cy="411480"/>
        </a:xfrm>
        <a:prstGeom prst="leftArrow">
          <a:avLst>
            <a:gd name="adj1" fmla="val 100000"/>
            <a:gd name="adj2" fmla="val 50000"/>
          </a:avLst>
        </a:prstGeom>
        <a:solidFill>
          <a:schemeClr val="accent2">
            <a:lumMod val="20000"/>
            <a:lumOff val="80000"/>
          </a:schemeClr>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r>
            <a:rPr lang="en-US" sz="2800">
              <a:solidFill>
                <a:srgbClr val="640000"/>
              </a:solidFill>
              <a:effectLst>
                <a:outerShdw blurRad="63500" sx="102000" sy="102000" algn="ctr" rotWithShape="0">
                  <a:prstClr val="black">
                    <a:alpha val="40000"/>
                  </a:prstClr>
                </a:outerShdw>
              </a:effectLst>
              <a:latin typeface="Arial Black" panose="020B0A04020102020204" pitchFamily="34" charset="0"/>
            </a:rPr>
            <a:t>DEEPER-focus</a:t>
          </a:r>
        </a:p>
      </xdr:txBody>
    </xdr:sp>
    <xdr:clientData/>
  </xdr:twoCellAnchor>
  <xdr:twoCellAnchor>
    <xdr:from>
      <xdr:col>1</xdr:col>
      <xdr:colOff>36178</xdr:colOff>
      <xdr:row>1123</xdr:row>
      <xdr:rowOff>374283</xdr:rowOff>
    </xdr:from>
    <xdr:to>
      <xdr:col>12</xdr:col>
      <xdr:colOff>437314</xdr:colOff>
      <xdr:row>1124</xdr:row>
      <xdr:rowOff>169870</xdr:rowOff>
    </xdr:to>
    <xdr:grpSp>
      <xdr:nvGrpSpPr>
        <xdr:cNvPr id="9" name="Group 8">
          <a:extLst>
            <a:ext uri="{FF2B5EF4-FFF2-40B4-BE49-F238E27FC236}">
              <a16:creationId xmlns:a16="http://schemas.microsoft.com/office/drawing/2014/main" id="{00000000-0008-0000-0200-000009000000}"/>
            </a:ext>
          </a:extLst>
        </xdr:cNvPr>
        <xdr:cNvGrpSpPr/>
      </xdr:nvGrpSpPr>
      <xdr:grpSpPr>
        <a:xfrm>
          <a:off x="150478" y="223754583"/>
          <a:ext cx="5933256" cy="176587"/>
          <a:chOff x="158098" y="155875623"/>
          <a:chExt cx="5849436" cy="176587"/>
        </a:xfrm>
      </xdr:grpSpPr>
      <xdr:sp macro="" textlink="">
        <xdr:nvSpPr>
          <xdr:cNvPr id="1686" name="wide-yet-shallow">
            <a:extLst>
              <a:ext uri="{FF2B5EF4-FFF2-40B4-BE49-F238E27FC236}">
                <a16:creationId xmlns:a16="http://schemas.microsoft.com/office/drawing/2014/main" id="{00000000-0008-0000-0200-000096060000}"/>
              </a:ext>
            </a:extLst>
          </xdr:cNvPr>
          <xdr:cNvSpPr/>
        </xdr:nvSpPr>
        <xdr:spPr>
          <a:xfrm>
            <a:off x="158098" y="155875623"/>
            <a:ext cx="907363" cy="176587"/>
          </a:xfrm>
          <a:prstGeom prst="rect">
            <a:avLst/>
          </a:prstGeom>
          <a:noFill/>
        </xdr:spPr>
        <xdr:txBody>
          <a:bodyPr wrap="none" lIns="0" tIns="0" rIns="0" bIns="0">
            <a:spAutoFit/>
          </a:bodyPr>
          <a:lstStyle/>
          <a:p>
            <a:pPr algn="ctr"/>
            <a:r>
              <a:rPr lang="en-US" sz="1200" b="1" cap="none" spc="-50" baseline="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rPr>
              <a:t>wide-yet-shallow</a:t>
            </a:r>
            <a:endParaRPr lang="en-US" sz="1100" b="1" cap="none" spc="-50" baseline="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87" name="wide-then-deep">
            <a:extLst>
              <a:ext uri="{FF2B5EF4-FFF2-40B4-BE49-F238E27FC236}">
                <a16:creationId xmlns:a16="http://schemas.microsoft.com/office/drawing/2014/main" id="{00000000-0008-0000-0200-000097060000}"/>
              </a:ext>
            </a:extLst>
          </xdr:cNvPr>
          <xdr:cNvSpPr/>
        </xdr:nvSpPr>
        <xdr:spPr>
          <a:xfrm>
            <a:off x="1145068" y="155875623"/>
            <a:ext cx="925510" cy="176587"/>
          </a:xfrm>
          <a:prstGeom prst="rect">
            <a:avLst/>
          </a:prstGeom>
          <a:noFill/>
        </xdr:spPr>
        <xdr:txBody>
          <a:bodyPr wrap="none" lIns="0" tIns="0" rIns="0" bIns="0">
            <a:spAutoFit/>
          </a:bodyPr>
          <a:lstStyle/>
          <a:p>
            <a:pPr algn="ctr"/>
            <a:r>
              <a:rPr lang="en-US" sz="12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rPr>
              <a:t>wide-then-deep</a:t>
            </a:r>
            <a:endParaRPr lang="en-US" sz="11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88" name="wide-and-deep">
            <a:extLst>
              <a:ext uri="{FF2B5EF4-FFF2-40B4-BE49-F238E27FC236}">
                <a16:creationId xmlns:a16="http://schemas.microsoft.com/office/drawing/2014/main" id="{00000000-0008-0000-0200-000098060000}"/>
              </a:ext>
            </a:extLst>
          </xdr:cNvPr>
          <xdr:cNvSpPr/>
        </xdr:nvSpPr>
        <xdr:spPr>
          <a:xfrm>
            <a:off x="2156667" y="155875623"/>
            <a:ext cx="883512" cy="176587"/>
          </a:xfrm>
          <a:prstGeom prst="rect">
            <a:avLst/>
          </a:prstGeom>
          <a:noFill/>
        </xdr:spPr>
        <xdr:txBody>
          <a:bodyPr wrap="none" lIns="0" tIns="0" rIns="0" bIns="0">
            <a:spAutoFit/>
          </a:bodyPr>
          <a:lstStyle/>
          <a:p>
            <a:pPr algn="ctr"/>
            <a:r>
              <a:rPr lang="en-US" sz="12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rPr>
              <a:t>wide-and-deep</a:t>
            </a:r>
            <a:endParaRPr lang="en-US" sz="11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89" name="deep-and-wide">
            <a:extLst>
              <a:ext uri="{FF2B5EF4-FFF2-40B4-BE49-F238E27FC236}">
                <a16:creationId xmlns:a16="http://schemas.microsoft.com/office/drawing/2014/main" id="{00000000-0008-0000-0200-000099060000}"/>
              </a:ext>
            </a:extLst>
          </xdr:cNvPr>
          <xdr:cNvSpPr/>
        </xdr:nvSpPr>
        <xdr:spPr>
          <a:xfrm>
            <a:off x="3152710" y="155875623"/>
            <a:ext cx="883512" cy="176587"/>
          </a:xfrm>
          <a:prstGeom prst="rect">
            <a:avLst/>
          </a:prstGeom>
          <a:noFill/>
        </xdr:spPr>
        <xdr:txBody>
          <a:bodyPr wrap="none" lIns="0" tIns="0" rIns="0" bIns="0">
            <a:spAutoFit/>
          </a:bodyPr>
          <a:lstStyle/>
          <a:p>
            <a:pPr algn="ctr"/>
            <a:r>
              <a:rPr lang="en-US" sz="12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rPr>
              <a:t>deep-and-wide</a:t>
            </a:r>
            <a:endParaRPr lang="en-US" sz="11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90" name="deep-then-wide">
            <a:extLst>
              <a:ext uri="{FF2B5EF4-FFF2-40B4-BE49-F238E27FC236}">
                <a16:creationId xmlns:a16="http://schemas.microsoft.com/office/drawing/2014/main" id="{00000000-0008-0000-0200-00009A060000}"/>
              </a:ext>
            </a:extLst>
          </xdr:cNvPr>
          <xdr:cNvSpPr/>
        </xdr:nvSpPr>
        <xdr:spPr>
          <a:xfrm>
            <a:off x="4111427" y="155875623"/>
            <a:ext cx="925510" cy="176587"/>
          </a:xfrm>
          <a:prstGeom prst="rect">
            <a:avLst/>
          </a:prstGeom>
          <a:noFill/>
        </xdr:spPr>
        <xdr:txBody>
          <a:bodyPr wrap="none" lIns="0" tIns="0" rIns="0" bIns="0">
            <a:spAutoFit/>
          </a:bodyPr>
          <a:lstStyle/>
          <a:p>
            <a:pPr algn="ctr"/>
            <a:r>
              <a:rPr lang="en-US" sz="12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rPr>
              <a:t>deep-then-wide</a:t>
            </a:r>
            <a:endParaRPr lang="en-US" sz="11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91" name="deep-yet-narrow">
            <a:extLst>
              <a:ext uri="{FF2B5EF4-FFF2-40B4-BE49-F238E27FC236}">
                <a16:creationId xmlns:a16="http://schemas.microsoft.com/office/drawing/2014/main" id="{00000000-0008-0000-0200-00009B060000}"/>
              </a:ext>
            </a:extLst>
          </xdr:cNvPr>
          <xdr:cNvSpPr/>
        </xdr:nvSpPr>
        <xdr:spPr>
          <a:xfrm>
            <a:off x="5122035" y="155875623"/>
            <a:ext cx="885499" cy="176587"/>
          </a:xfrm>
          <a:prstGeom prst="rect">
            <a:avLst/>
          </a:prstGeom>
          <a:noFill/>
        </xdr:spPr>
        <xdr:txBody>
          <a:bodyPr wrap="none" lIns="0" tIns="0" rIns="0" bIns="0">
            <a:spAutoFit/>
          </a:bodyPr>
          <a:lstStyle/>
          <a:p>
            <a:pPr algn="ctr"/>
            <a:r>
              <a:rPr lang="en-US" sz="1200" b="1" cap="none" spc="-50" baseline="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rPr>
              <a:t>deep-yet-narrow</a:t>
            </a:r>
            <a:endParaRPr lang="en-US" sz="1100" b="1" cap="none" spc="-50" baseline="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endParaRPr>
          </a:p>
        </xdr:txBody>
      </xdr:sp>
    </xdr:grpSp>
    <xdr:clientData/>
  </xdr:twoCellAnchor>
  <xdr:twoCellAnchor>
    <xdr:from>
      <xdr:col>1</xdr:col>
      <xdr:colOff>143936</xdr:colOff>
      <xdr:row>1170</xdr:row>
      <xdr:rowOff>176954</xdr:rowOff>
    </xdr:from>
    <xdr:to>
      <xdr:col>6</xdr:col>
      <xdr:colOff>389469</xdr:colOff>
      <xdr:row>1173</xdr:row>
      <xdr:rowOff>6624</xdr:rowOff>
    </xdr:to>
    <xdr:grpSp>
      <xdr:nvGrpSpPr>
        <xdr:cNvPr id="1694" name="Group 1693">
          <a:extLst>
            <a:ext uri="{FF2B5EF4-FFF2-40B4-BE49-F238E27FC236}">
              <a16:creationId xmlns:a16="http://schemas.microsoft.com/office/drawing/2014/main" id="{00000000-0008-0000-0200-00009E060000}"/>
            </a:ext>
          </a:extLst>
        </xdr:cNvPr>
        <xdr:cNvGrpSpPr>
          <a:grpSpLocks noChangeAspect="1"/>
        </xdr:cNvGrpSpPr>
      </xdr:nvGrpSpPr>
      <xdr:grpSpPr>
        <a:xfrm>
          <a:off x="258236" y="234110954"/>
          <a:ext cx="2760133" cy="584050"/>
          <a:chOff x="6434667" y="11364816"/>
          <a:chExt cx="2726265" cy="511801"/>
        </a:xfrm>
        <a:effectLst>
          <a:outerShdw blurRad="63500" sx="102000" sy="102000" algn="ctr" rotWithShape="0">
            <a:prstClr val="black">
              <a:alpha val="40000"/>
            </a:prstClr>
          </a:outerShdw>
        </a:effectLst>
      </xdr:grpSpPr>
      <xdr:sp macro="" textlink="">
        <xdr:nvSpPr>
          <xdr:cNvPr id="1695" name="Right Brace 1694">
            <a:extLst>
              <a:ext uri="{FF2B5EF4-FFF2-40B4-BE49-F238E27FC236}">
                <a16:creationId xmlns:a16="http://schemas.microsoft.com/office/drawing/2014/main" id="{00000000-0008-0000-0200-00009F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96" name="Right Bracket 1695">
            <a:extLst>
              <a:ext uri="{FF2B5EF4-FFF2-40B4-BE49-F238E27FC236}">
                <a16:creationId xmlns:a16="http://schemas.microsoft.com/office/drawing/2014/main" id="{00000000-0008-0000-0200-0000A0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97" name="Right Bracket 1696">
            <a:extLst>
              <a:ext uri="{FF2B5EF4-FFF2-40B4-BE49-F238E27FC236}">
                <a16:creationId xmlns:a16="http://schemas.microsoft.com/office/drawing/2014/main" id="{00000000-0008-0000-0200-0000A1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98" name="Flowchart: Delay 1697">
            <a:extLst>
              <a:ext uri="{FF2B5EF4-FFF2-40B4-BE49-F238E27FC236}">
                <a16:creationId xmlns:a16="http://schemas.microsoft.com/office/drawing/2014/main" id="{00000000-0008-0000-0200-0000A2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1</xdr:col>
      <xdr:colOff>110067</xdr:colOff>
      <xdr:row>1163</xdr:row>
      <xdr:rowOff>177799</xdr:rowOff>
    </xdr:from>
    <xdr:to>
      <xdr:col>6</xdr:col>
      <xdr:colOff>355600</xdr:colOff>
      <xdr:row>1166</xdr:row>
      <xdr:rowOff>15089</xdr:rowOff>
    </xdr:to>
    <xdr:grpSp>
      <xdr:nvGrpSpPr>
        <xdr:cNvPr id="1699" name="Group 1698">
          <a:extLst>
            <a:ext uri="{FF2B5EF4-FFF2-40B4-BE49-F238E27FC236}">
              <a16:creationId xmlns:a16="http://schemas.microsoft.com/office/drawing/2014/main" id="{00000000-0008-0000-0200-0000A3060000}"/>
            </a:ext>
          </a:extLst>
        </xdr:cNvPr>
        <xdr:cNvGrpSpPr>
          <a:grpSpLocks noChangeAspect="1"/>
        </xdr:cNvGrpSpPr>
      </xdr:nvGrpSpPr>
      <xdr:grpSpPr>
        <a:xfrm flipH="1">
          <a:off x="224367" y="232351579"/>
          <a:ext cx="2760133" cy="591670"/>
          <a:chOff x="6434667" y="11364816"/>
          <a:chExt cx="2726265" cy="511801"/>
        </a:xfrm>
        <a:effectLst>
          <a:outerShdw blurRad="63500" sx="102000" sy="102000" algn="ctr" rotWithShape="0">
            <a:prstClr val="black">
              <a:alpha val="40000"/>
            </a:prstClr>
          </a:outerShdw>
        </a:effectLst>
      </xdr:grpSpPr>
      <xdr:sp macro="" textlink="">
        <xdr:nvSpPr>
          <xdr:cNvPr id="1700" name="Right Brace 1699">
            <a:extLst>
              <a:ext uri="{FF2B5EF4-FFF2-40B4-BE49-F238E27FC236}">
                <a16:creationId xmlns:a16="http://schemas.microsoft.com/office/drawing/2014/main" id="{00000000-0008-0000-0200-0000A4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701" name="Right Bracket 1700">
            <a:extLst>
              <a:ext uri="{FF2B5EF4-FFF2-40B4-BE49-F238E27FC236}">
                <a16:creationId xmlns:a16="http://schemas.microsoft.com/office/drawing/2014/main" id="{00000000-0008-0000-0200-0000A5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2" name="Right Bracket 1701">
            <a:extLst>
              <a:ext uri="{FF2B5EF4-FFF2-40B4-BE49-F238E27FC236}">
                <a16:creationId xmlns:a16="http://schemas.microsoft.com/office/drawing/2014/main" id="{00000000-0008-0000-0200-0000A6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3" name="Flowchart: Delay 1702">
            <a:extLst>
              <a:ext uri="{FF2B5EF4-FFF2-40B4-BE49-F238E27FC236}">
                <a16:creationId xmlns:a16="http://schemas.microsoft.com/office/drawing/2014/main" id="{00000000-0008-0000-0200-0000A7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7</xdr:col>
      <xdr:colOff>143935</xdr:colOff>
      <xdr:row>1170</xdr:row>
      <xdr:rowOff>176954</xdr:rowOff>
    </xdr:from>
    <xdr:to>
      <xdr:col>12</xdr:col>
      <xdr:colOff>389468</xdr:colOff>
      <xdr:row>1173</xdr:row>
      <xdr:rowOff>6624</xdr:rowOff>
    </xdr:to>
    <xdr:grpSp>
      <xdr:nvGrpSpPr>
        <xdr:cNvPr id="1704" name="Group 1703">
          <a:extLst>
            <a:ext uri="{FF2B5EF4-FFF2-40B4-BE49-F238E27FC236}">
              <a16:creationId xmlns:a16="http://schemas.microsoft.com/office/drawing/2014/main" id="{00000000-0008-0000-0200-0000A8060000}"/>
            </a:ext>
          </a:extLst>
        </xdr:cNvPr>
        <xdr:cNvGrpSpPr>
          <a:grpSpLocks noChangeAspect="1"/>
        </xdr:cNvGrpSpPr>
      </xdr:nvGrpSpPr>
      <xdr:grpSpPr>
        <a:xfrm>
          <a:off x="3275755" y="234110954"/>
          <a:ext cx="2760133" cy="584050"/>
          <a:chOff x="6434667" y="11364816"/>
          <a:chExt cx="2726265" cy="511801"/>
        </a:xfrm>
        <a:effectLst>
          <a:outerShdw blurRad="63500" sx="102000" sy="102000" algn="ctr" rotWithShape="0">
            <a:prstClr val="black">
              <a:alpha val="40000"/>
            </a:prstClr>
          </a:outerShdw>
        </a:effectLst>
      </xdr:grpSpPr>
      <xdr:sp macro="" textlink="">
        <xdr:nvSpPr>
          <xdr:cNvPr id="1705" name="Right Brace 1704">
            <a:extLst>
              <a:ext uri="{FF2B5EF4-FFF2-40B4-BE49-F238E27FC236}">
                <a16:creationId xmlns:a16="http://schemas.microsoft.com/office/drawing/2014/main" id="{00000000-0008-0000-0200-0000A9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706" name="Right Bracket 1705">
            <a:extLst>
              <a:ext uri="{FF2B5EF4-FFF2-40B4-BE49-F238E27FC236}">
                <a16:creationId xmlns:a16="http://schemas.microsoft.com/office/drawing/2014/main" id="{00000000-0008-0000-0200-0000AA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7" name="Right Bracket 1706">
            <a:extLst>
              <a:ext uri="{FF2B5EF4-FFF2-40B4-BE49-F238E27FC236}">
                <a16:creationId xmlns:a16="http://schemas.microsoft.com/office/drawing/2014/main" id="{00000000-0008-0000-0200-0000AB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8" name="Flowchart: Delay 1707">
            <a:extLst>
              <a:ext uri="{FF2B5EF4-FFF2-40B4-BE49-F238E27FC236}">
                <a16:creationId xmlns:a16="http://schemas.microsoft.com/office/drawing/2014/main" id="{00000000-0008-0000-0200-0000AC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7</xdr:col>
      <xdr:colOff>110066</xdr:colOff>
      <xdr:row>1163</xdr:row>
      <xdr:rowOff>177799</xdr:rowOff>
    </xdr:from>
    <xdr:to>
      <xdr:col>12</xdr:col>
      <xdr:colOff>355599</xdr:colOff>
      <xdr:row>1166</xdr:row>
      <xdr:rowOff>15089</xdr:rowOff>
    </xdr:to>
    <xdr:grpSp>
      <xdr:nvGrpSpPr>
        <xdr:cNvPr id="1709" name="Group 1708">
          <a:extLst>
            <a:ext uri="{FF2B5EF4-FFF2-40B4-BE49-F238E27FC236}">
              <a16:creationId xmlns:a16="http://schemas.microsoft.com/office/drawing/2014/main" id="{00000000-0008-0000-0200-0000AD060000}"/>
            </a:ext>
          </a:extLst>
        </xdr:cNvPr>
        <xdr:cNvGrpSpPr>
          <a:grpSpLocks noChangeAspect="1"/>
        </xdr:cNvGrpSpPr>
      </xdr:nvGrpSpPr>
      <xdr:grpSpPr>
        <a:xfrm flipH="1">
          <a:off x="3241886" y="232351579"/>
          <a:ext cx="2760133" cy="591670"/>
          <a:chOff x="6434667" y="11364816"/>
          <a:chExt cx="2726265" cy="511801"/>
        </a:xfrm>
        <a:effectLst>
          <a:outerShdw blurRad="63500" sx="102000" sy="102000" algn="ctr" rotWithShape="0">
            <a:prstClr val="black">
              <a:alpha val="40000"/>
            </a:prstClr>
          </a:outerShdw>
        </a:effectLst>
      </xdr:grpSpPr>
      <xdr:sp macro="" textlink="">
        <xdr:nvSpPr>
          <xdr:cNvPr id="1710" name="Right Brace 1709">
            <a:extLst>
              <a:ext uri="{FF2B5EF4-FFF2-40B4-BE49-F238E27FC236}">
                <a16:creationId xmlns:a16="http://schemas.microsoft.com/office/drawing/2014/main" id="{00000000-0008-0000-0200-0000AE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711" name="Right Bracket 1710">
            <a:extLst>
              <a:ext uri="{FF2B5EF4-FFF2-40B4-BE49-F238E27FC236}">
                <a16:creationId xmlns:a16="http://schemas.microsoft.com/office/drawing/2014/main" id="{00000000-0008-0000-0200-0000AF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12" name="Right Bracket 1711">
            <a:extLst>
              <a:ext uri="{FF2B5EF4-FFF2-40B4-BE49-F238E27FC236}">
                <a16:creationId xmlns:a16="http://schemas.microsoft.com/office/drawing/2014/main" id="{00000000-0008-0000-0200-0000B0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13" name="Flowchart: Delay 1712">
            <a:extLst>
              <a:ext uri="{FF2B5EF4-FFF2-40B4-BE49-F238E27FC236}">
                <a16:creationId xmlns:a16="http://schemas.microsoft.com/office/drawing/2014/main" id="{00000000-0008-0000-0200-0000B1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0</xdr:col>
      <xdr:colOff>110066</xdr:colOff>
      <xdr:row>1136</xdr:row>
      <xdr:rowOff>12702</xdr:rowOff>
    </xdr:from>
    <xdr:to>
      <xdr:col>13</xdr:col>
      <xdr:colOff>12699</xdr:colOff>
      <xdr:row>1137</xdr:row>
      <xdr:rowOff>8467</xdr:rowOff>
    </xdr:to>
    <xdr:grpSp>
      <xdr:nvGrpSpPr>
        <xdr:cNvPr id="1716" name="Group 1715">
          <a:extLst>
            <a:ext uri="{FF2B5EF4-FFF2-40B4-BE49-F238E27FC236}">
              <a16:creationId xmlns:a16="http://schemas.microsoft.com/office/drawing/2014/main" id="{00000000-0008-0000-0200-0000B4060000}"/>
            </a:ext>
          </a:extLst>
        </xdr:cNvPr>
        <xdr:cNvGrpSpPr/>
      </xdr:nvGrpSpPr>
      <xdr:grpSpPr>
        <a:xfrm>
          <a:off x="110066" y="226326702"/>
          <a:ext cx="6051973" cy="437725"/>
          <a:chOff x="6341533" y="22263102"/>
          <a:chExt cx="6015566" cy="309032"/>
        </a:xfrm>
      </xdr:grpSpPr>
      <xdr:grpSp>
        <xdr:nvGrpSpPr>
          <xdr:cNvPr id="1717" name="Group 1716">
            <a:extLst>
              <a:ext uri="{FF2B5EF4-FFF2-40B4-BE49-F238E27FC236}">
                <a16:creationId xmlns:a16="http://schemas.microsoft.com/office/drawing/2014/main" id="{00000000-0008-0000-0200-0000B5060000}"/>
              </a:ext>
            </a:extLst>
          </xdr:cNvPr>
          <xdr:cNvGrpSpPr/>
        </xdr:nvGrpSpPr>
        <xdr:grpSpPr>
          <a:xfrm>
            <a:off x="6356532" y="22265897"/>
            <a:ext cx="5974927" cy="295065"/>
            <a:chOff x="6309361" y="22083931"/>
            <a:chExt cx="5928360" cy="163286"/>
          </a:xfrm>
        </xdr:grpSpPr>
        <xdr:sp macro="" textlink="">
          <xdr:nvSpPr>
            <xdr:cNvPr id="1730" name="Arrow: Left 1729">
              <a:extLst>
                <a:ext uri="{FF2B5EF4-FFF2-40B4-BE49-F238E27FC236}">
                  <a16:creationId xmlns:a16="http://schemas.microsoft.com/office/drawing/2014/main" id="{00000000-0008-0000-0200-0000C2060000}"/>
                </a:ext>
              </a:extLst>
            </xdr:cNvPr>
            <xdr:cNvSpPr/>
          </xdr:nvSpPr>
          <xdr:spPr>
            <a:xfrm>
              <a:off x="6309361" y="22084937"/>
              <a:ext cx="1965960" cy="161926"/>
            </a:xfrm>
            <a:prstGeom prst="leftArrow">
              <a:avLst>
                <a:gd name="adj1" fmla="val 100000"/>
                <a:gd name="adj2" fmla="val 37748"/>
              </a:avLst>
            </a:prstGeom>
            <a:noFill/>
            <a:ln>
              <a:solidFill>
                <a:schemeClr val="accent5">
                  <a:lumMod val="40000"/>
                  <a:lumOff val="60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endParaRPr lang="en-US" sz="1100">
                <a:solidFill>
                  <a:srgbClr val="002060"/>
                </a:solidFill>
                <a:effectLst>
                  <a:outerShdw blurRad="63500" sx="102000" sy="102000" algn="ctr" rotWithShape="0">
                    <a:prstClr val="black">
                      <a:alpha val="40000"/>
                    </a:prstClr>
                  </a:outerShdw>
                </a:effectLst>
                <a:latin typeface="Arial Black" panose="020B0A04020102020204" pitchFamily="34" charset="0"/>
              </a:endParaRPr>
            </a:p>
          </xdr:txBody>
        </xdr:sp>
        <xdr:sp macro="" textlink="">
          <xdr:nvSpPr>
            <xdr:cNvPr id="1731" name="Arrow: Left 1730">
              <a:extLst>
                <a:ext uri="{FF2B5EF4-FFF2-40B4-BE49-F238E27FC236}">
                  <a16:creationId xmlns:a16="http://schemas.microsoft.com/office/drawing/2014/main" id="{00000000-0008-0000-0200-0000C3060000}"/>
                </a:ext>
              </a:extLst>
            </xdr:cNvPr>
            <xdr:cNvSpPr/>
          </xdr:nvSpPr>
          <xdr:spPr>
            <a:xfrm flipH="1">
              <a:off x="10271761" y="22084964"/>
              <a:ext cx="1965960" cy="161926"/>
            </a:xfrm>
            <a:prstGeom prst="leftArrow">
              <a:avLst>
                <a:gd name="adj1" fmla="val 100000"/>
                <a:gd name="adj2" fmla="val 28555"/>
              </a:avLst>
            </a:prstGeom>
            <a:noFill/>
            <a:ln>
              <a:solidFill>
                <a:schemeClr val="accent2">
                  <a:lumMod val="40000"/>
                  <a:lumOff val="60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endParaRPr lang="en-US" sz="1100">
                <a:solidFill>
                  <a:srgbClr val="002060"/>
                </a:solidFill>
                <a:effectLst>
                  <a:outerShdw blurRad="63500" sx="102000" sy="102000" algn="ctr" rotWithShape="0">
                    <a:prstClr val="black">
                      <a:alpha val="40000"/>
                    </a:prstClr>
                  </a:outerShdw>
                </a:effectLst>
                <a:latin typeface="Arial Black" panose="020B0A04020102020204" pitchFamily="34" charset="0"/>
              </a:endParaRPr>
            </a:p>
          </xdr:txBody>
        </xdr:sp>
        <xdr:sp macro="" textlink="">
          <xdr:nvSpPr>
            <xdr:cNvPr id="1732" name="Arrow: Left-Right 1731">
              <a:extLst>
                <a:ext uri="{FF2B5EF4-FFF2-40B4-BE49-F238E27FC236}">
                  <a16:creationId xmlns:a16="http://schemas.microsoft.com/office/drawing/2014/main" id="{00000000-0008-0000-0200-0000C4060000}"/>
                </a:ext>
              </a:extLst>
            </xdr:cNvPr>
            <xdr:cNvSpPr/>
          </xdr:nvSpPr>
          <xdr:spPr>
            <a:xfrm>
              <a:off x="8289469" y="22083931"/>
              <a:ext cx="1965960" cy="163286"/>
            </a:xfrm>
            <a:prstGeom prst="leftRightArrow">
              <a:avLst>
                <a:gd name="adj1" fmla="val 100000"/>
                <a:gd name="adj2" fmla="val 33893"/>
              </a:avLst>
            </a:prstGeom>
            <a:noFill/>
            <a:ln>
              <a:solidFill>
                <a:srgbClr val="C896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18" name="Group 1717">
            <a:extLst>
              <a:ext uri="{FF2B5EF4-FFF2-40B4-BE49-F238E27FC236}">
                <a16:creationId xmlns:a16="http://schemas.microsoft.com/office/drawing/2014/main" id="{00000000-0008-0000-0200-0000B6060000}"/>
              </a:ext>
            </a:extLst>
          </xdr:cNvPr>
          <xdr:cNvGrpSpPr/>
        </xdr:nvGrpSpPr>
        <xdr:grpSpPr>
          <a:xfrm>
            <a:off x="6341533" y="22271569"/>
            <a:ext cx="173565" cy="300565"/>
            <a:chOff x="6341533" y="22271569"/>
            <a:chExt cx="173565" cy="300565"/>
          </a:xfrm>
        </xdr:grpSpPr>
        <xdr:sp macro="" textlink="">
          <xdr:nvSpPr>
            <xdr:cNvPr id="1728" name="Right Triangle 1727">
              <a:extLst>
                <a:ext uri="{FF2B5EF4-FFF2-40B4-BE49-F238E27FC236}">
                  <a16:creationId xmlns:a16="http://schemas.microsoft.com/office/drawing/2014/main" id="{00000000-0008-0000-0200-0000C0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9" name="Right Triangle 1728">
              <a:extLst>
                <a:ext uri="{FF2B5EF4-FFF2-40B4-BE49-F238E27FC236}">
                  <a16:creationId xmlns:a16="http://schemas.microsoft.com/office/drawing/2014/main" id="{00000000-0008-0000-0200-0000C1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19" name="Group 1718">
            <a:extLst>
              <a:ext uri="{FF2B5EF4-FFF2-40B4-BE49-F238E27FC236}">
                <a16:creationId xmlns:a16="http://schemas.microsoft.com/office/drawing/2014/main" id="{00000000-0008-0000-0200-0000B7060000}"/>
              </a:ext>
            </a:extLst>
          </xdr:cNvPr>
          <xdr:cNvGrpSpPr/>
        </xdr:nvGrpSpPr>
        <xdr:grpSpPr>
          <a:xfrm>
            <a:off x="8339667" y="22263102"/>
            <a:ext cx="173565" cy="300565"/>
            <a:chOff x="6341533" y="22271569"/>
            <a:chExt cx="173565" cy="300565"/>
          </a:xfrm>
        </xdr:grpSpPr>
        <xdr:sp macro="" textlink="">
          <xdr:nvSpPr>
            <xdr:cNvPr id="1726" name="Right Triangle 1725">
              <a:extLst>
                <a:ext uri="{FF2B5EF4-FFF2-40B4-BE49-F238E27FC236}">
                  <a16:creationId xmlns:a16="http://schemas.microsoft.com/office/drawing/2014/main" id="{00000000-0008-0000-0200-0000BE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7" name="Right Triangle 1726">
              <a:extLst>
                <a:ext uri="{FF2B5EF4-FFF2-40B4-BE49-F238E27FC236}">
                  <a16:creationId xmlns:a16="http://schemas.microsoft.com/office/drawing/2014/main" id="{00000000-0008-0000-0200-0000BF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20" name="Group 1719">
            <a:extLst>
              <a:ext uri="{FF2B5EF4-FFF2-40B4-BE49-F238E27FC236}">
                <a16:creationId xmlns:a16="http://schemas.microsoft.com/office/drawing/2014/main" id="{00000000-0008-0000-0200-0000B8060000}"/>
              </a:ext>
            </a:extLst>
          </xdr:cNvPr>
          <xdr:cNvGrpSpPr/>
        </xdr:nvGrpSpPr>
        <xdr:grpSpPr>
          <a:xfrm flipH="1">
            <a:off x="10176934" y="22263102"/>
            <a:ext cx="173565" cy="300565"/>
            <a:chOff x="6341533" y="22271569"/>
            <a:chExt cx="173565" cy="300565"/>
          </a:xfrm>
        </xdr:grpSpPr>
        <xdr:sp macro="" textlink="">
          <xdr:nvSpPr>
            <xdr:cNvPr id="1724" name="Right Triangle 1723">
              <a:extLst>
                <a:ext uri="{FF2B5EF4-FFF2-40B4-BE49-F238E27FC236}">
                  <a16:creationId xmlns:a16="http://schemas.microsoft.com/office/drawing/2014/main" id="{00000000-0008-0000-0200-0000BC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5" name="Right Triangle 1724">
              <a:extLst>
                <a:ext uri="{FF2B5EF4-FFF2-40B4-BE49-F238E27FC236}">
                  <a16:creationId xmlns:a16="http://schemas.microsoft.com/office/drawing/2014/main" id="{00000000-0008-0000-0200-0000BD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21" name="Group 1720">
            <a:extLst>
              <a:ext uri="{FF2B5EF4-FFF2-40B4-BE49-F238E27FC236}">
                <a16:creationId xmlns:a16="http://schemas.microsoft.com/office/drawing/2014/main" id="{00000000-0008-0000-0200-0000B9060000}"/>
              </a:ext>
            </a:extLst>
          </xdr:cNvPr>
          <xdr:cNvGrpSpPr/>
        </xdr:nvGrpSpPr>
        <xdr:grpSpPr>
          <a:xfrm flipH="1">
            <a:off x="12183534" y="22263102"/>
            <a:ext cx="173565" cy="300565"/>
            <a:chOff x="6341533" y="22271569"/>
            <a:chExt cx="173565" cy="300565"/>
          </a:xfrm>
        </xdr:grpSpPr>
        <xdr:sp macro="" textlink="">
          <xdr:nvSpPr>
            <xdr:cNvPr id="1722" name="Right Triangle 1721">
              <a:extLst>
                <a:ext uri="{FF2B5EF4-FFF2-40B4-BE49-F238E27FC236}">
                  <a16:creationId xmlns:a16="http://schemas.microsoft.com/office/drawing/2014/main" id="{00000000-0008-0000-0200-0000BA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3" name="Right Triangle 1722">
              <a:extLst>
                <a:ext uri="{FF2B5EF4-FFF2-40B4-BE49-F238E27FC236}">
                  <a16:creationId xmlns:a16="http://schemas.microsoft.com/office/drawing/2014/main" id="{00000000-0008-0000-0200-0000BB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oneCellAnchor>
    <xdr:from>
      <xdr:col>13</xdr:col>
      <xdr:colOff>18626</xdr:colOff>
      <xdr:row>1484</xdr:row>
      <xdr:rowOff>131336</xdr:rowOff>
    </xdr:from>
    <xdr:ext cx="6450078" cy="3417161"/>
    <xdr:pic>
      <xdr:nvPicPr>
        <xdr:cNvPr id="1735" name="value frame PNP" hidden="1">
          <a:extLst>
            <a:ext uri="{FF2B5EF4-FFF2-40B4-BE49-F238E27FC236}">
              <a16:creationId xmlns:a16="http://schemas.microsoft.com/office/drawing/2014/main" id="{00000000-0008-0000-0200-0000C706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175586" y="125358416"/>
          <a:ext cx="6450078" cy="3417161"/>
        </a:xfrm>
        <a:prstGeom prst="rect">
          <a:avLst/>
        </a:prstGeom>
      </xdr:spPr>
    </xdr:pic>
    <xdr:clientData/>
  </xdr:oneCellAnchor>
  <xdr:twoCellAnchor>
    <xdr:from>
      <xdr:col>12</xdr:col>
      <xdr:colOff>0</xdr:colOff>
      <xdr:row>1046</xdr:row>
      <xdr:rowOff>175259</xdr:rowOff>
    </xdr:from>
    <xdr:to>
      <xdr:col>12</xdr:col>
      <xdr:colOff>186267</xdr:colOff>
      <xdr:row>1046</xdr:row>
      <xdr:rowOff>178646</xdr:rowOff>
    </xdr:to>
    <xdr:grpSp>
      <xdr:nvGrpSpPr>
        <xdr:cNvPr id="1741" name="dropdown button image" hidden="1">
          <a:extLst>
            <a:ext uri="{FF2B5EF4-FFF2-40B4-BE49-F238E27FC236}">
              <a16:creationId xmlns:a16="http://schemas.microsoft.com/office/drawing/2014/main" id="{00000000-0008-0000-0200-0000CD060000}"/>
            </a:ext>
          </a:extLst>
        </xdr:cNvPr>
        <xdr:cNvGrpSpPr/>
      </xdr:nvGrpSpPr>
      <xdr:grpSpPr>
        <a:xfrm>
          <a:off x="5646420" y="204459839"/>
          <a:ext cx="186267" cy="3387"/>
          <a:chOff x="11430000" y="1828800"/>
          <a:chExt cx="508000" cy="508000"/>
        </a:xfrm>
      </xdr:grpSpPr>
      <xdr:sp macro="" textlink="">
        <xdr:nvSpPr>
          <xdr:cNvPr id="1742" name="Rectangle 1741">
            <a:extLst>
              <a:ext uri="{FF2B5EF4-FFF2-40B4-BE49-F238E27FC236}">
                <a16:creationId xmlns:a16="http://schemas.microsoft.com/office/drawing/2014/main" id="{00000000-0008-0000-0200-0000CE060000}"/>
              </a:ext>
            </a:extLst>
          </xdr:cNvPr>
          <xdr:cNvSpPr/>
        </xdr:nvSpPr>
        <xdr:spPr>
          <a:xfrm>
            <a:off x="11430000" y="1828800"/>
            <a:ext cx="508000" cy="508000"/>
          </a:xfrm>
          <a:prstGeom prst="rect">
            <a:avLst/>
          </a:prstGeom>
          <a:solidFill>
            <a:schemeClr val="bg1">
              <a:lumMod val="95000"/>
            </a:schemeClr>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43" name="Isosceles Triangle 1742">
            <a:extLst>
              <a:ext uri="{FF2B5EF4-FFF2-40B4-BE49-F238E27FC236}">
                <a16:creationId xmlns:a16="http://schemas.microsoft.com/office/drawing/2014/main" id="{00000000-0008-0000-0200-0000CF060000}"/>
              </a:ext>
            </a:extLst>
          </xdr:cNvPr>
          <xdr:cNvSpPr>
            <a:spLocks noChangeAspect="1"/>
          </xdr:cNvSpPr>
        </xdr:nvSpPr>
        <xdr:spPr>
          <a:xfrm flipV="1">
            <a:off x="11590866" y="2031999"/>
            <a:ext cx="182880" cy="137160"/>
          </a:xfrm>
          <a:prstGeom prst="triangle">
            <a:avLst/>
          </a:prstGeom>
          <a:solidFill>
            <a:schemeClr val="bg1">
              <a:lumMod val="65000"/>
            </a:schemeClr>
          </a:solidFill>
          <a:ln>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11</xdr:col>
      <xdr:colOff>433091</xdr:colOff>
      <xdr:row>1046</xdr:row>
      <xdr:rowOff>525460</xdr:rowOff>
    </xdr:from>
    <xdr:to>
      <xdr:col>12</xdr:col>
      <xdr:colOff>24997</xdr:colOff>
      <xdr:row>1048</xdr:row>
      <xdr:rowOff>16263</xdr:rowOff>
    </xdr:to>
    <xdr:sp macro="" textlink="">
      <xdr:nvSpPr>
        <xdr:cNvPr id="1744" name="Arrow: Left 1743" hidden="1">
          <a:extLst>
            <a:ext uri="{FF2B5EF4-FFF2-40B4-BE49-F238E27FC236}">
              <a16:creationId xmlns:a16="http://schemas.microsoft.com/office/drawing/2014/main" id="{00000000-0008-0000-0200-0000D0060000}"/>
            </a:ext>
          </a:extLst>
        </xdr:cNvPr>
        <xdr:cNvSpPr>
          <a:spLocks noChangeAspect="1"/>
        </xdr:cNvSpPr>
      </xdr:nvSpPr>
      <xdr:spPr>
        <a:xfrm rot="4020000">
          <a:off x="11784102" y="10068489"/>
          <a:ext cx="252803" cy="94826"/>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0</xdr:col>
      <xdr:colOff>110067</xdr:colOff>
      <xdr:row>1078</xdr:row>
      <xdr:rowOff>8467</xdr:rowOff>
    </xdr:from>
    <xdr:ext cx="6055204" cy="1548516"/>
    <xdr:pic>
      <xdr:nvPicPr>
        <xdr:cNvPr id="1745" name="Picture 1744" hidden="1">
          <a:extLst>
            <a:ext uri="{FF2B5EF4-FFF2-40B4-BE49-F238E27FC236}">
              <a16:creationId xmlns:a16="http://schemas.microsoft.com/office/drawing/2014/main" id="{00000000-0008-0000-0200-0000D1060000}"/>
            </a:ext>
          </a:extLst>
        </xdr:cNvPr>
        <xdr:cNvPicPr>
          <a:picLocks noChangeAspect="1"/>
        </xdr:cNvPicPr>
      </xdr:nvPicPr>
      <xdr:blipFill>
        <a:blip xmlns:r="http://schemas.openxmlformats.org/officeDocument/2006/relationships" r:embed="rId2">
          <a:clrChange>
            <a:clrFrom>
              <a:srgbClr val="000000"/>
            </a:clrFrom>
            <a:clrTo>
              <a:srgbClr val="000000">
                <a:alpha val="0"/>
              </a:srgbClr>
            </a:clrTo>
          </a:clrChange>
        </a:blip>
        <a:stretch>
          <a:fillRect/>
        </a:stretch>
      </xdr:blipFill>
      <xdr:spPr>
        <a:xfrm>
          <a:off x="6388947" y="18418387"/>
          <a:ext cx="6055204" cy="1548516"/>
        </a:xfrm>
        <a:prstGeom prst="rect">
          <a:avLst/>
        </a:prstGeom>
      </xdr:spPr>
    </xdr:pic>
    <xdr:clientData/>
  </xdr:oneCellAnchor>
  <xdr:twoCellAnchor>
    <xdr:from>
      <xdr:col>0</xdr:col>
      <xdr:colOff>95673</xdr:colOff>
      <xdr:row>1077</xdr:row>
      <xdr:rowOff>228056</xdr:rowOff>
    </xdr:from>
    <xdr:to>
      <xdr:col>13</xdr:col>
      <xdr:colOff>23212</xdr:colOff>
      <xdr:row>1083</xdr:row>
      <xdr:rowOff>227507</xdr:rowOff>
    </xdr:to>
    <xdr:grpSp>
      <xdr:nvGrpSpPr>
        <xdr:cNvPr id="1746" name="Group 1745">
          <a:extLst>
            <a:ext uri="{FF2B5EF4-FFF2-40B4-BE49-F238E27FC236}">
              <a16:creationId xmlns:a16="http://schemas.microsoft.com/office/drawing/2014/main" id="{00000000-0008-0000-0200-0000D2060000}"/>
            </a:ext>
          </a:extLst>
        </xdr:cNvPr>
        <xdr:cNvGrpSpPr/>
      </xdr:nvGrpSpPr>
      <xdr:grpSpPr>
        <a:xfrm>
          <a:off x="95673" y="212887016"/>
          <a:ext cx="6076879" cy="1508211"/>
          <a:chOff x="6284806" y="9370364"/>
          <a:chExt cx="5993906" cy="1475191"/>
        </a:xfrm>
      </xdr:grpSpPr>
      <xdr:grpSp>
        <xdr:nvGrpSpPr>
          <xdr:cNvPr id="1747" name="Group LISTEN">
            <a:extLst>
              <a:ext uri="{FF2B5EF4-FFF2-40B4-BE49-F238E27FC236}">
                <a16:creationId xmlns:a16="http://schemas.microsoft.com/office/drawing/2014/main" id="{00000000-0008-0000-0200-0000D3060000}"/>
              </a:ext>
            </a:extLst>
          </xdr:cNvPr>
          <xdr:cNvGrpSpPr/>
        </xdr:nvGrpSpPr>
        <xdr:grpSpPr>
          <a:xfrm>
            <a:off x="6311900" y="9384453"/>
            <a:ext cx="5939369" cy="1241214"/>
            <a:chOff x="7787640" y="586740"/>
            <a:chExt cx="2981121" cy="922020"/>
          </a:xfrm>
        </xdr:grpSpPr>
        <xdr:sp macro="" textlink="">
          <xdr:nvSpPr>
            <xdr:cNvPr id="1760" name="Speech Bubble: Rectangle with Corners Rounded 1759">
              <a:extLst>
                <a:ext uri="{FF2B5EF4-FFF2-40B4-BE49-F238E27FC236}">
                  <a16:creationId xmlns:a16="http://schemas.microsoft.com/office/drawing/2014/main" id="{00000000-0008-0000-0200-0000E0060000}"/>
                </a:ext>
              </a:extLst>
            </xdr:cNvPr>
            <xdr:cNvSpPr/>
          </xdr:nvSpPr>
          <xdr:spPr>
            <a:xfrm>
              <a:off x="7787640" y="586740"/>
              <a:ext cx="1485900" cy="922020"/>
            </a:xfrm>
            <a:prstGeom prst="wedgeRoundRectCallout">
              <a:avLst>
                <a:gd name="adj1" fmla="val -48889"/>
                <a:gd name="adj2" fmla="val 68285"/>
                <a:gd name="adj3" fmla="val 16667"/>
              </a:avLst>
            </a:prstGeom>
            <a:noFill/>
            <a:ln w="1905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1" name="Speech Bubble: Rectangle with Corners Rounded 1760">
              <a:extLst>
                <a:ext uri="{FF2B5EF4-FFF2-40B4-BE49-F238E27FC236}">
                  <a16:creationId xmlns:a16="http://schemas.microsoft.com/office/drawing/2014/main" id="{00000000-0008-0000-0200-0000E1060000}"/>
                </a:ext>
              </a:extLst>
            </xdr:cNvPr>
            <xdr:cNvSpPr/>
          </xdr:nvSpPr>
          <xdr:spPr>
            <a:xfrm flipH="1">
              <a:off x="9282861" y="586740"/>
              <a:ext cx="1485900" cy="922020"/>
            </a:xfrm>
            <a:prstGeom prst="wedgeRoundRectCallout">
              <a:avLst>
                <a:gd name="adj1" fmla="val -48632"/>
                <a:gd name="adj2" fmla="val 68285"/>
                <a:gd name="adj3" fmla="val 16667"/>
              </a:avLst>
            </a:prstGeom>
            <a:noFill/>
            <a:ln w="19050">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48" name="Group 1747">
            <a:extLst>
              <a:ext uri="{FF2B5EF4-FFF2-40B4-BE49-F238E27FC236}">
                <a16:creationId xmlns:a16="http://schemas.microsoft.com/office/drawing/2014/main" id="{00000000-0008-0000-0200-0000D4060000}"/>
              </a:ext>
            </a:extLst>
          </xdr:cNvPr>
          <xdr:cNvGrpSpPr/>
        </xdr:nvGrpSpPr>
        <xdr:grpSpPr>
          <a:xfrm>
            <a:off x="6284806" y="9370364"/>
            <a:ext cx="3020866" cy="1307496"/>
            <a:chOff x="6263391" y="9476944"/>
            <a:chExt cx="3010098" cy="1315035"/>
          </a:xfrm>
        </xdr:grpSpPr>
        <xdr:sp macro="" textlink="">
          <xdr:nvSpPr>
            <xdr:cNvPr id="1756" name="Right Triangle 8">
              <a:extLst>
                <a:ext uri="{FF2B5EF4-FFF2-40B4-BE49-F238E27FC236}">
                  <a16:creationId xmlns:a16="http://schemas.microsoft.com/office/drawing/2014/main" id="{00000000-0008-0000-0200-0000DC060000}"/>
                </a:ext>
              </a:extLst>
            </xdr:cNvPr>
            <xdr:cNvSpPr>
              <a:spLocks noChangeAspect="1"/>
            </xdr:cNvSpPr>
          </xdr:nvSpPr>
          <xdr:spPr>
            <a:xfrm rot="21000000">
              <a:off x="6277782" y="10609099"/>
              <a:ext cx="180819"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7" name="Right Triangle 8">
              <a:extLst>
                <a:ext uri="{FF2B5EF4-FFF2-40B4-BE49-F238E27FC236}">
                  <a16:creationId xmlns:a16="http://schemas.microsoft.com/office/drawing/2014/main" id="{00000000-0008-0000-0200-0000DD060000}"/>
                </a:ext>
              </a:extLst>
            </xdr:cNvPr>
            <xdr:cNvSpPr>
              <a:spLocks noChangeAspect="1"/>
            </xdr:cNvSpPr>
          </xdr:nvSpPr>
          <xdr:spPr>
            <a:xfrm rot="5400000">
              <a:off x="6268372" y="9474199"/>
              <a:ext cx="179892" cy="189853"/>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8" name="Right Triangle 8">
              <a:extLst>
                <a:ext uri="{FF2B5EF4-FFF2-40B4-BE49-F238E27FC236}">
                  <a16:creationId xmlns:a16="http://schemas.microsoft.com/office/drawing/2014/main" id="{00000000-0008-0000-0200-0000DE060000}"/>
                </a:ext>
              </a:extLst>
            </xdr:cNvPr>
            <xdr:cNvSpPr>
              <a:spLocks noChangeAspect="1"/>
            </xdr:cNvSpPr>
          </xdr:nvSpPr>
          <xdr:spPr>
            <a:xfrm flipH="1">
              <a:off x="9092669" y="10584221"/>
              <a:ext cx="180820"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9" name="Right Triangle 8">
              <a:extLst>
                <a:ext uri="{FF2B5EF4-FFF2-40B4-BE49-F238E27FC236}">
                  <a16:creationId xmlns:a16="http://schemas.microsoft.com/office/drawing/2014/main" id="{00000000-0008-0000-0200-0000DF060000}"/>
                </a:ext>
              </a:extLst>
            </xdr:cNvPr>
            <xdr:cNvSpPr>
              <a:spLocks noChangeAspect="1"/>
            </xdr:cNvSpPr>
          </xdr:nvSpPr>
          <xdr:spPr>
            <a:xfrm rot="16200000" flipH="1">
              <a:off x="9072937" y="9477986"/>
              <a:ext cx="184964"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49" name="Group 1748">
            <a:extLst>
              <a:ext uri="{FF2B5EF4-FFF2-40B4-BE49-F238E27FC236}">
                <a16:creationId xmlns:a16="http://schemas.microsoft.com/office/drawing/2014/main" id="{00000000-0008-0000-0200-0000D5060000}"/>
              </a:ext>
            </a:extLst>
          </xdr:cNvPr>
          <xdr:cNvGrpSpPr/>
        </xdr:nvGrpSpPr>
        <xdr:grpSpPr>
          <a:xfrm>
            <a:off x="9269555" y="9370365"/>
            <a:ext cx="3009157" cy="1295696"/>
            <a:chOff x="6263391" y="9476944"/>
            <a:chExt cx="2993468" cy="1303167"/>
          </a:xfrm>
        </xdr:grpSpPr>
        <xdr:sp macro="" textlink="">
          <xdr:nvSpPr>
            <xdr:cNvPr id="1752" name="Right Triangle 8">
              <a:extLst>
                <a:ext uri="{FF2B5EF4-FFF2-40B4-BE49-F238E27FC236}">
                  <a16:creationId xmlns:a16="http://schemas.microsoft.com/office/drawing/2014/main" id="{00000000-0008-0000-0200-0000D8060000}"/>
                </a:ext>
              </a:extLst>
            </xdr:cNvPr>
            <xdr:cNvSpPr>
              <a:spLocks noChangeAspect="1"/>
            </xdr:cNvSpPr>
          </xdr:nvSpPr>
          <xdr:spPr>
            <a:xfrm rot="21000000">
              <a:off x="6285362" y="10597232"/>
              <a:ext cx="180819" cy="182879"/>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3" name="Right Triangle 8">
              <a:extLst>
                <a:ext uri="{FF2B5EF4-FFF2-40B4-BE49-F238E27FC236}">
                  <a16:creationId xmlns:a16="http://schemas.microsoft.com/office/drawing/2014/main" id="{00000000-0008-0000-0200-0000D9060000}"/>
                </a:ext>
              </a:extLst>
            </xdr:cNvPr>
            <xdr:cNvSpPr>
              <a:spLocks noChangeAspect="1"/>
            </xdr:cNvSpPr>
          </xdr:nvSpPr>
          <xdr:spPr>
            <a:xfrm rot="5400000">
              <a:off x="6268372" y="9474199"/>
              <a:ext cx="179892" cy="189853"/>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4" name="Right Triangle 8">
              <a:extLst>
                <a:ext uri="{FF2B5EF4-FFF2-40B4-BE49-F238E27FC236}">
                  <a16:creationId xmlns:a16="http://schemas.microsoft.com/office/drawing/2014/main" id="{00000000-0008-0000-0200-0000DA060000}"/>
                </a:ext>
              </a:extLst>
            </xdr:cNvPr>
            <xdr:cNvSpPr>
              <a:spLocks noChangeAspect="1"/>
            </xdr:cNvSpPr>
          </xdr:nvSpPr>
          <xdr:spPr>
            <a:xfrm flipH="1">
              <a:off x="9069045" y="10576610"/>
              <a:ext cx="180820"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5" name="Right Triangle 8">
              <a:extLst>
                <a:ext uri="{FF2B5EF4-FFF2-40B4-BE49-F238E27FC236}">
                  <a16:creationId xmlns:a16="http://schemas.microsoft.com/office/drawing/2014/main" id="{00000000-0008-0000-0200-0000DB060000}"/>
                </a:ext>
              </a:extLst>
            </xdr:cNvPr>
            <xdr:cNvSpPr>
              <a:spLocks noChangeAspect="1"/>
            </xdr:cNvSpPr>
          </xdr:nvSpPr>
          <xdr:spPr>
            <a:xfrm rot="16200000" flipH="1">
              <a:off x="9072937" y="9477986"/>
              <a:ext cx="184964"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1750" name="Freeform: Shape 1749">
            <a:extLst>
              <a:ext uri="{FF2B5EF4-FFF2-40B4-BE49-F238E27FC236}">
                <a16:creationId xmlns:a16="http://schemas.microsoft.com/office/drawing/2014/main" id="{00000000-0008-0000-0200-0000D6060000}"/>
              </a:ext>
            </a:extLst>
          </xdr:cNvPr>
          <xdr:cNvSpPr/>
        </xdr:nvSpPr>
        <xdr:spPr>
          <a:xfrm>
            <a:off x="6387751" y="10609480"/>
            <a:ext cx="1198284" cy="231838"/>
          </a:xfrm>
          <a:custGeom>
            <a:avLst/>
            <a:gdLst>
              <a:gd name="connsiteX0" fmla="*/ 493059 w 1219200"/>
              <a:gd name="connsiteY0" fmla="*/ 0 h 233082"/>
              <a:gd name="connsiteX1" fmla="*/ 0 w 1219200"/>
              <a:gd name="connsiteY1" fmla="*/ 233082 h 233082"/>
              <a:gd name="connsiteX2" fmla="*/ 1219200 w 1219200"/>
              <a:gd name="connsiteY2" fmla="*/ 8965 h 233082"/>
              <a:gd name="connsiteX3" fmla="*/ 493059 w 1219200"/>
              <a:gd name="connsiteY3" fmla="*/ 0 h 233082"/>
              <a:gd name="connsiteX0" fmla="*/ 493059 w 1231853"/>
              <a:gd name="connsiteY0" fmla="*/ 3803 h 236885"/>
              <a:gd name="connsiteX1" fmla="*/ 0 w 1231853"/>
              <a:gd name="connsiteY1" fmla="*/ 236885 h 236885"/>
              <a:gd name="connsiteX2" fmla="*/ 1231853 w 1231853"/>
              <a:gd name="connsiteY2" fmla="*/ 0 h 236885"/>
              <a:gd name="connsiteX3" fmla="*/ 493059 w 1231853"/>
              <a:gd name="connsiteY3" fmla="*/ 3803 h 236885"/>
              <a:gd name="connsiteX0" fmla="*/ 471971 w 1210765"/>
              <a:gd name="connsiteY0" fmla="*/ 3803 h 236885"/>
              <a:gd name="connsiteX1" fmla="*/ 0 w 1210765"/>
              <a:gd name="connsiteY1" fmla="*/ 236885 h 236885"/>
              <a:gd name="connsiteX2" fmla="*/ 1210765 w 1210765"/>
              <a:gd name="connsiteY2" fmla="*/ 0 h 236885"/>
              <a:gd name="connsiteX3" fmla="*/ 471971 w 1210765"/>
              <a:gd name="connsiteY3" fmla="*/ 3803 h 236885"/>
              <a:gd name="connsiteX0" fmla="*/ 467754 w 1206548"/>
              <a:gd name="connsiteY0" fmla="*/ 3803 h 241142"/>
              <a:gd name="connsiteX1" fmla="*/ 0 w 1206548"/>
              <a:gd name="connsiteY1" fmla="*/ 241142 h 241142"/>
              <a:gd name="connsiteX2" fmla="*/ 1206548 w 1206548"/>
              <a:gd name="connsiteY2" fmla="*/ 0 h 241142"/>
              <a:gd name="connsiteX3" fmla="*/ 467754 w 1206548"/>
              <a:gd name="connsiteY3" fmla="*/ 3803 h 241142"/>
              <a:gd name="connsiteX0" fmla="*/ 493061 w 1206548"/>
              <a:gd name="connsiteY0" fmla="*/ 0 h 245851"/>
              <a:gd name="connsiteX1" fmla="*/ 0 w 1206548"/>
              <a:gd name="connsiteY1" fmla="*/ 245851 h 245851"/>
              <a:gd name="connsiteX2" fmla="*/ 1206548 w 1206548"/>
              <a:gd name="connsiteY2" fmla="*/ 4709 h 245851"/>
              <a:gd name="connsiteX3" fmla="*/ 493061 w 1206548"/>
              <a:gd name="connsiteY3" fmla="*/ 0 h 245851"/>
              <a:gd name="connsiteX0" fmla="*/ 480408 w 1193895"/>
              <a:gd name="connsiteY0" fmla="*/ 0 h 233083"/>
              <a:gd name="connsiteX1" fmla="*/ 0 w 1193895"/>
              <a:gd name="connsiteY1" fmla="*/ 233083 h 233083"/>
              <a:gd name="connsiteX2" fmla="*/ 1193895 w 1193895"/>
              <a:gd name="connsiteY2" fmla="*/ 4709 h 233083"/>
              <a:gd name="connsiteX3" fmla="*/ 480408 w 1193895"/>
              <a:gd name="connsiteY3" fmla="*/ 0 h 233083"/>
            </a:gdLst>
            <a:ahLst/>
            <a:cxnLst>
              <a:cxn ang="0">
                <a:pos x="connsiteX0" y="connsiteY0"/>
              </a:cxn>
              <a:cxn ang="0">
                <a:pos x="connsiteX1" y="connsiteY1"/>
              </a:cxn>
              <a:cxn ang="0">
                <a:pos x="connsiteX2" y="connsiteY2"/>
              </a:cxn>
              <a:cxn ang="0">
                <a:pos x="connsiteX3" y="connsiteY3"/>
              </a:cxn>
            </a:cxnLst>
            <a:rect l="l" t="t" r="r" b="b"/>
            <a:pathLst>
              <a:path w="1193895" h="233083">
                <a:moveTo>
                  <a:pt x="480408" y="0"/>
                </a:moveTo>
                <a:lnTo>
                  <a:pt x="0" y="233083"/>
                </a:lnTo>
                <a:lnTo>
                  <a:pt x="1193895" y="4709"/>
                </a:lnTo>
                <a:lnTo>
                  <a:pt x="480408" y="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1" name="Freeform: Shape 1750">
            <a:extLst>
              <a:ext uri="{FF2B5EF4-FFF2-40B4-BE49-F238E27FC236}">
                <a16:creationId xmlns:a16="http://schemas.microsoft.com/office/drawing/2014/main" id="{00000000-0008-0000-0200-0000D7060000}"/>
              </a:ext>
            </a:extLst>
          </xdr:cNvPr>
          <xdr:cNvSpPr/>
        </xdr:nvSpPr>
        <xdr:spPr>
          <a:xfrm flipH="1">
            <a:off x="10980916" y="10613717"/>
            <a:ext cx="1198284" cy="231838"/>
          </a:xfrm>
          <a:custGeom>
            <a:avLst/>
            <a:gdLst>
              <a:gd name="connsiteX0" fmla="*/ 493059 w 1219200"/>
              <a:gd name="connsiteY0" fmla="*/ 0 h 233082"/>
              <a:gd name="connsiteX1" fmla="*/ 0 w 1219200"/>
              <a:gd name="connsiteY1" fmla="*/ 233082 h 233082"/>
              <a:gd name="connsiteX2" fmla="*/ 1219200 w 1219200"/>
              <a:gd name="connsiteY2" fmla="*/ 8965 h 233082"/>
              <a:gd name="connsiteX3" fmla="*/ 493059 w 1219200"/>
              <a:gd name="connsiteY3" fmla="*/ 0 h 233082"/>
              <a:gd name="connsiteX0" fmla="*/ 493059 w 1231853"/>
              <a:gd name="connsiteY0" fmla="*/ 3803 h 236885"/>
              <a:gd name="connsiteX1" fmla="*/ 0 w 1231853"/>
              <a:gd name="connsiteY1" fmla="*/ 236885 h 236885"/>
              <a:gd name="connsiteX2" fmla="*/ 1231853 w 1231853"/>
              <a:gd name="connsiteY2" fmla="*/ 0 h 236885"/>
              <a:gd name="connsiteX3" fmla="*/ 493059 w 1231853"/>
              <a:gd name="connsiteY3" fmla="*/ 3803 h 236885"/>
              <a:gd name="connsiteX0" fmla="*/ 471971 w 1210765"/>
              <a:gd name="connsiteY0" fmla="*/ 3803 h 236885"/>
              <a:gd name="connsiteX1" fmla="*/ 0 w 1210765"/>
              <a:gd name="connsiteY1" fmla="*/ 236885 h 236885"/>
              <a:gd name="connsiteX2" fmla="*/ 1210765 w 1210765"/>
              <a:gd name="connsiteY2" fmla="*/ 0 h 236885"/>
              <a:gd name="connsiteX3" fmla="*/ 471971 w 1210765"/>
              <a:gd name="connsiteY3" fmla="*/ 3803 h 236885"/>
              <a:gd name="connsiteX0" fmla="*/ 467754 w 1206548"/>
              <a:gd name="connsiteY0" fmla="*/ 3803 h 241142"/>
              <a:gd name="connsiteX1" fmla="*/ 0 w 1206548"/>
              <a:gd name="connsiteY1" fmla="*/ 241142 h 241142"/>
              <a:gd name="connsiteX2" fmla="*/ 1206548 w 1206548"/>
              <a:gd name="connsiteY2" fmla="*/ 0 h 241142"/>
              <a:gd name="connsiteX3" fmla="*/ 467754 w 1206548"/>
              <a:gd name="connsiteY3" fmla="*/ 3803 h 241142"/>
              <a:gd name="connsiteX0" fmla="*/ 493061 w 1206548"/>
              <a:gd name="connsiteY0" fmla="*/ 0 h 245851"/>
              <a:gd name="connsiteX1" fmla="*/ 0 w 1206548"/>
              <a:gd name="connsiteY1" fmla="*/ 245851 h 245851"/>
              <a:gd name="connsiteX2" fmla="*/ 1206548 w 1206548"/>
              <a:gd name="connsiteY2" fmla="*/ 4709 h 245851"/>
              <a:gd name="connsiteX3" fmla="*/ 493061 w 1206548"/>
              <a:gd name="connsiteY3" fmla="*/ 0 h 245851"/>
              <a:gd name="connsiteX0" fmla="*/ 480408 w 1193895"/>
              <a:gd name="connsiteY0" fmla="*/ 0 h 233083"/>
              <a:gd name="connsiteX1" fmla="*/ 0 w 1193895"/>
              <a:gd name="connsiteY1" fmla="*/ 233083 h 233083"/>
              <a:gd name="connsiteX2" fmla="*/ 1193895 w 1193895"/>
              <a:gd name="connsiteY2" fmla="*/ 4709 h 233083"/>
              <a:gd name="connsiteX3" fmla="*/ 480408 w 1193895"/>
              <a:gd name="connsiteY3" fmla="*/ 0 h 233083"/>
            </a:gdLst>
            <a:ahLst/>
            <a:cxnLst>
              <a:cxn ang="0">
                <a:pos x="connsiteX0" y="connsiteY0"/>
              </a:cxn>
              <a:cxn ang="0">
                <a:pos x="connsiteX1" y="connsiteY1"/>
              </a:cxn>
              <a:cxn ang="0">
                <a:pos x="connsiteX2" y="connsiteY2"/>
              </a:cxn>
              <a:cxn ang="0">
                <a:pos x="connsiteX3" y="connsiteY3"/>
              </a:cxn>
            </a:cxnLst>
            <a:rect l="l" t="t" r="r" b="b"/>
            <a:pathLst>
              <a:path w="1193895" h="233083">
                <a:moveTo>
                  <a:pt x="480408" y="0"/>
                </a:moveTo>
                <a:lnTo>
                  <a:pt x="0" y="233083"/>
                </a:lnTo>
                <a:lnTo>
                  <a:pt x="1193895" y="4709"/>
                </a:lnTo>
                <a:lnTo>
                  <a:pt x="480408" y="0"/>
                </a:lnTo>
                <a:close/>
              </a:path>
            </a:pathLst>
          </a:custGeom>
          <a:solidFill>
            <a:srgbClr val="FFD7D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FFD7DC"/>
              </a:solidFill>
            </a:endParaRPr>
          </a:p>
        </xdr:txBody>
      </xdr:sp>
    </xdr:grpSp>
    <xdr:clientData/>
  </xdr:twoCellAnchor>
  <xdr:oneCellAnchor>
    <xdr:from>
      <xdr:col>2</xdr:col>
      <xdr:colOff>426720</xdr:colOff>
      <xdr:row>1048</xdr:row>
      <xdr:rowOff>205740</xdr:rowOff>
    </xdr:from>
    <xdr:ext cx="848412" cy="914400"/>
    <xdr:pic>
      <xdr:nvPicPr>
        <xdr:cNvPr id="1763" name="thumbs down, light red" hidden="1">
          <a:extLst>
            <a:ext uri="{FF2B5EF4-FFF2-40B4-BE49-F238E27FC236}">
              <a16:creationId xmlns:a16="http://schemas.microsoft.com/office/drawing/2014/main" id="{00000000-0008-0000-0200-0000E306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330440" y="10431780"/>
          <a:ext cx="848412" cy="914400"/>
        </a:xfrm>
        <a:prstGeom prst="rect">
          <a:avLst/>
        </a:prstGeom>
      </xdr:spPr>
    </xdr:pic>
    <xdr:clientData/>
  </xdr:oneCellAnchor>
  <xdr:oneCellAnchor>
    <xdr:from>
      <xdr:col>10</xdr:col>
      <xdr:colOff>231420</xdr:colOff>
      <xdr:row>1048</xdr:row>
      <xdr:rowOff>33300</xdr:rowOff>
    </xdr:from>
    <xdr:ext cx="848412" cy="914400"/>
    <xdr:pic>
      <xdr:nvPicPr>
        <xdr:cNvPr id="1764" name="thumbs up, light green" hidden="1">
          <a:extLst>
            <a:ext uri="{FF2B5EF4-FFF2-40B4-BE49-F238E27FC236}">
              <a16:creationId xmlns:a16="http://schemas.microsoft.com/office/drawing/2014/main" id="{00000000-0008-0000-0200-0000E406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flipH="1">
          <a:off x="11158500" y="10259340"/>
          <a:ext cx="848412" cy="914400"/>
        </a:xfrm>
        <a:prstGeom prst="rect">
          <a:avLst/>
        </a:prstGeom>
      </xdr:spPr>
    </xdr:pic>
    <xdr:clientData/>
  </xdr:oneCellAnchor>
  <xdr:twoCellAnchor>
    <xdr:from>
      <xdr:col>1</xdr:col>
      <xdr:colOff>45720</xdr:colOff>
      <xdr:row>1126</xdr:row>
      <xdr:rowOff>30472</xdr:rowOff>
    </xdr:from>
    <xdr:to>
      <xdr:col>12</xdr:col>
      <xdr:colOff>441960</xdr:colOff>
      <xdr:row>1135</xdr:row>
      <xdr:rowOff>30472</xdr:rowOff>
    </xdr:to>
    <xdr:grpSp>
      <xdr:nvGrpSpPr>
        <xdr:cNvPr id="1765" name="vulnerable needs ICEBERGs">
          <a:extLst>
            <a:ext uri="{FF2B5EF4-FFF2-40B4-BE49-F238E27FC236}">
              <a16:creationId xmlns:a16="http://schemas.microsoft.com/office/drawing/2014/main" id="{00000000-0008-0000-0200-0000E5060000}"/>
            </a:ext>
          </a:extLst>
        </xdr:cNvPr>
        <xdr:cNvGrpSpPr/>
      </xdr:nvGrpSpPr>
      <xdr:grpSpPr>
        <a:xfrm>
          <a:off x="160020" y="224233732"/>
          <a:ext cx="5928360" cy="1920240"/>
          <a:chOff x="6357620" y="19964193"/>
          <a:chExt cx="5844540" cy="1787520"/>
        </a:xfrm>
      </xdr:grpSpPr>
      <xdr:sp macro="" textlink="">
        <xdr:nvSpPr>
          <xdr:cNvPr id="1766" name="iceberg: far left socialist">
            <a:extLst>
              <a:ext uri="{FF2B5EF4-FFF2-40B4-BE49-F238E27FC236}">
                <a16:creationId xmlns:a16="http://schemas.microsoft.com/office/drawing/2014/main" id="{00000000-0008-0000-0200-0000E6060000}"/>
              </a:ext>
            </a:extLst>
          </xdr:cNvPr>
          <xdr:cNvSpPr/>
        </xdr:nvSpPr>
        <xdr:spPr>
          <a:xfrm>
            <a:off x="635762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4472C4">
              <a:alpha val="10196"/>
            </a:srgbClr>
          </a:solidFill>
          <a:ln>
            <a:solidFill>
              <a:srgbClr val="2F528F">
                <a:alpha val="25098"/>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7" name="iceberg: social progressive">
            <a:extLst>
              <a:ext uri="{FF2B5EF4-FFF2-40B4-BE49-F238E27FC236}">
                <a16:creationId xmlns:a16="http://schemas.microsoft.com/office/drawing/2014/main" id="{00000000-0008-0000-0200-0000E7060000}"/>
              </a:ext>
            </a:extLst>
          </xdr:cNvPr>
          <xdr:cNvSpPr/>
        </xdr:nvSpPr>
        <xdr:spPr>
          <a:xfrm>
            <a:off x="736346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4472C4">
              <a:alpha val="10196"/>
            </a:srgbClr>
          </a:solidFill>
          <a:ln>
            <a:solidFill>
              <a:srgbClr val="2F528F">
                <a:alpha val="25098"/>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8" name="iceberg: center left liberal">
            <a:extLst>
              <a:ext uri="{FF2B5EF4-FFF2-40B4-BE49-F238E27FC236}">
                <a16:creationId xmlns:a16="http://schemas.microsoft.com/office/drawing/2014/main" id="{00000000-0008-0000-0200-0000E8060000}"/>
              </a:ext>
            </a:extLst>
          </xdr:cNvPr>
          <xdr:cNvSpPr/>
        </xdr:nvSpPr>
        <xdr:spPr>
          <a:xfrm>
            <a:off x="833120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4472C4">
              <a:alpha val="10196"/>
            </a:srgbClr>
          </a:solidFill>
          <a:ln>
            <a:solidFill>
              <a:srgbClr val="2F528F">
                <a:alpha val="25098"/>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9" name="iceberg: center right conserv">
            <a:extLst>
              <a:ext uri="{FF2B5EF4-FFF2-40B4-BE49-F238E27FC236}">
                <a16:creationId xmlns:a16="http://schemas.microsoft.com/office/drawing/2014/main" id="{00000000-0008-0000-0200-0000E9060000}"/>
              </a:ext>
            </a:extLst>
          </xdr:cNvPr>
          <xdr:cNvSpPr/>
        </xdr:nvSpPr>
        <xdr:spPr>
          <a:xfrm flipH="1">
            <a:off x="932942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FF9999">
              <a:alpha val="10196"/>
            </a:srgbClr>
          </a:solidFill>
          <a:ln>
            <a:solidFill>
              <a:srgbClr val="FF9999">
                <a:alpha val="10196"/>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0" name="iceberg: new rt reactionary">
            <a:extLst>
              <a:ext uri="{FF2B5EF4-FFF2-40B4-BE49-F238E27FC236}">
                <a16:creationId xmlns:a16="http://schemas.microsoft.com/office/drawing/2014/main" id="{00000000-0008-0000-0200-0000EA060000}"/>
              </a:ext>
            </a:extLst>
          </xdr:cNvPr>
          <xdr:cNvSpPr/>
        </xdr:nvSpPr>
        <xdr:spPr>
          <a:xfrm flipH="1">
            <a:off x="1033526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FF9999">
              <a:alpha val="10196"/>
            </a:srgbClr>
          </a:solidFill>
          <a:ln>
            <a:solidFill>
              <a:srgbClr val="FF9999">
                <a:alpha val="10196"/>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1" name="iceberg: far rt or alt-right">
            <a:extLst>
              <a:ext uri="{FF2B5EF4-FFF2-40B4-BE49-F238E27FC236}">
                <a16:creationId xmlns:a16="http://schemas.microsoft.com/office/drawing/2014/main" id="{00000000-0008-0000-0200-0000EB060000}"/>
              </a:ext>
            </a:extLst>
          </xdr:cNvPr>
          <xdr:cNvSpPr/>
        </xdr:nvSpPr>
        <xdr:spPr>
          <a:xfrm flipH="1">
            <a:off x="1130300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FF9999">
              <a:alpha val="10196"/>
            </a:srgbClr>
          </a:solidFill>
          <a:ln>
            <a:solidFill>
              <a:srgbClr val="FF9999">
                <a:alpha val="10196"/>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2" name="iceberg: center right - tip">
            <a:extLst>
              <a:ext uri="{FF2B5EF4-FFF2-40B4-BE49-F238E27FC236}">
                <a16:creationId xmlns:a16="http://schemas.microsoft.com/office/drawing/2014/main" id="{00000000-0008-0000-0200-0000EC060000}"/>
              </a:ext>
            </a:extLst>
          </xdr:cNvPr>
          <xdr:cNvSpPr/>
        </xdr:nvSpPr>
        <xdr:spPr>
          <a:xfrm flipH="1">
            <a:off x="9343813" y="19964193"/>
            <a:ext cx="869527" cy="560381"/>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0580 w 899160"/>
              <a:gd name="connsiteY38" fmla="*/ 822960 h 1790700"/>
              <a:gd name="connsiteX39" fmla="*/ 807720 w 899160"/>
              <a:gd name="connsiteY39" fmla="*/ 876300 h 1790700"/>
              <a:gd name="connsiteX40" fmla="*/ 815340 w 899160"/>
              <a:gd name="connsiteY40" fmla="*/ 922020 h 1790700"/>
              <a:gd name="connsiteX41" fmla="*/ 830580 w 899160"/>
              <a:gd name="connsiteY41" fmla="*/ 967740 h 1790700"/>
              <a:gd name="connsiteX42" fmla="*/ 838200 w 899160"/>
              <a:gd name="connsiteY42" fmla="*/ 990600 h 1790700"/>
              <a:gd name="connsiteX43" fmla="*/ 853440 w 899160"/>
              <a:gd name="connsiteY43" fmla="*/ 1059180 h 1790700"/>
              <a:gd name="connsiteX44" fmla="*/ 838200 w 899160"/>
              <a:gd name="connsiteY44" fmla="*/ 1150620 h 1790700"/>
              <a:gd name="connsiteX45" fmla="*/ 822960 w 899160"/>
              <a:gd name="connsiteY45" fmla="*/ 1173480 h 1790700"/>
              <a:gd name="connsiteX46" fmla="*/ 807720 w 899160"/>
              <a:gd name="connsiteY46" fmla="*/ 1219200 h 1790700"/>
              <a:gd name="connsiteX47" fmla="*/ 777240 w 899160"/>
              <a:gd name="connsiteY47" fmla="*/ 1264920 h 1790700"/>
              <a:gd name="connsiteX48" fmla="*/ 769620 w 899160"/>
              <a:gd name="connsiteY48" fmla="*/ 1386840 h 1790700"/>
              <a:gd name="connsiteX49" fmla="*/ 754380 w 899160"/>
              <a:gd name="connsiteY49" fmla="*/ 1409700 h 1790700"/>
              <a:gd name="connsiteX50" fmla="*/ 746760 w 899160"/>
              <a:gd name="connsiteY50" fmla="*/ 1432560 h 1790700"/>
              <a:gd name="connsiteX51" fmla="*/ 716280 w 899160"/>
              <a:gd name="connsiteY51" fmla="*/ 1478280 h 1790700"/>
              <a:gd name="connsiteX52" fmla="*/ 685800 w 899160"/>
              <a:gd name="connsiteY52" fmla="*/ 1569720 h 1790700"/>
              <a:gd name="connsiteX53" fmla="*/ 678180 w 899160"/>
              <a:gd name="connsiteY53" fmla="*/ 1592580 h 1790700"/>
              <a:gd name="connsiteX54" fmla="*/ 670560 w 899160"/>
              <a:gd name="connsiteY54" fmla="*/ 1615440 h 1790700"/>
              <a:gd name="connsiteX55" fmla="*/ 655320 w 899160"/>
              <a:gd name="connsiteY55" fmla="*/ 1676400 h 1790700"/>
              <a:gd name="connsiteX56" fmla="*/ 632460 w 899160"/>
              <a:gd name="connsiteY56" fmla="*/ 1729740 h 1790700"/>
              <a:gd name="connsiteX57" fmla="*/ 609600 w 899160"/>
              <a:gd name="connsiteY57" fmla="*/ 1760220 h 1790700"/>
              <a:gd name="connsiteX58" fmla="*/ 563880 w 899160"/>
              <a:gd name="connsiteY58" fmla="*/ 1775460 h 1790700"/>
              <a:gd name="connsiteX59" fmla="*/ 495300 w 899160"/>
              <a:gd name="connsiteY59" fmla="*/ 1790700 h 1790700"/>
              <a:gd name="connsiteX60" fmla="*/ 388620 w 899160"/>
              <a:gd name="connsiteY60" fmla="*/ 1783080 h 1790700"/>
              <a:gd name="connsiteX61" fmla="*/ 342900 w 899160"/>
              <a:gd name="connsiteY61" fmla="*/ 1752600 h 1790700"/>
              <a:gd name="connsiteX62" fmla="*/ 320040 w 899160"/>
              <a:gd name="connsiteY62" fmla="*/ 1737360 h 1790700"/>
              <a:gd name="connsiteX63" fmla="*/ 274320 w 899160"/>
              <a:gd name="connsiteY63" fmla="*/ 1699260 h 1790700"/>
              <a:gd name="connsiteX64" fmla="*/ 251460 w 899160"/>
              <a:gd name="connsiteY64" fmla="*/ 1546860 h 1790700"/>
              <a:gd name="connsiteX65" fmla="*/ 228600 w 899160"/>
              <a:gd name="connsiteY65" fmla="*/ 1524000 h 1790700"/>
              <a:gd name="connsiteX66" fmla="*/ 213360 w 899160"/>
              <a:gd name="connsiteY66" fmla="*/ 1501140 h 1790700"/>
              <a:gd name="connsiteX67" fmla="*/ 198120 w 899160"/>
              <a:gd name="connsiteY67" fmla="*/ 1348740 h 1790700"/>
              <a:gd name="connsiteX68" fmla="*/ 190500 w 899160"/>
              <a:gd name="connsiteY68" fmla="*/ 1325880 h 1790700"/>
              <a:gd name="connsiteX69" fmla="*/ 182880 w 899160"/>
              <a:gd name="connsiteY69" fmla="*/ 1181100 h 1790700"/>
              <a:gd name="connsiteX70" fmla="*/ 175260 w 899160"/>
              <a:gd name="connsiteY70" fmla="*/ 1143000 h 1790700"/>
              <a:gd name="connsiteX71" fmla="*/ 190500 w 899160"/>
              <a:gd name="connsiteY71" fmla="*/ 1043940 h 1790700"/>
              <a:gd name="connsiteX72" fmla="*/ 182880 w 899160"/>
              <a:gd name="connsiteY72" fmla="*/ 929640 h 1790700"/>
              <a:gd name="connsiteX73" fmla="*/ 160020 w 899160"/>
              <a:gd name="connsiteY73" fmla="*/ 914400 h 1790700"/>
              <a:gd name="connsiteX74" fmla="*/ 121920 w 899160"/>
              <a:gd name="connsiteY74" fmla="*/ 906780 h 1790700"/>
              <a:gd name="connsiteX75" fmla="*/ 53340 w 899160"/>
              <a:gd name="connsiteY75" fmla="*/ 876300 h 1790700"/>
              <a:gd name="connsiteX76" fmla="*/ 60960 w 899160"/>
              <a:gd name="connsiteY76" fmla="*/ 784860 h 1790700"/>
              <a:gd name="connsiteX77" fmla="*/ 76200 w 899160"/>
              <a:gd name="connsiteY77" fmla="*/ 731520 h 1790700"/>
              <a:gd name="connsiteX78" fmla="*/ 53340 w 899160"/>
              <a:gd name="connsiteY78" fmla="*/ 662940 h 1790700"/>
              <a:gd name="connsiteX79" fmla="*/ 45720 w 899160"/>
              <a:gd name="connsiteY79" fmla="*/ 640080 h 1790700"/>
              <a:gd name="connsiteX80" fmla="*/ 22860 w 899160"/>
              <a:gd name="connsiteY8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07720 w 899160"/>
              <a:gd name="connsiteY38" fmla="*/ 876300 h 1790700"/>
              <a:gd name="connsiteX39" fmla="*/ 815340 w 899160"/>
              <a:gd name="connsiteY39" fmla="*/ 922020 h 1790700"/>
              <a:gd name="connsiteX40" fmla="*/ 830580 w 899160"/>
              <a:gd name="connsiteY40" fmla="*/ 967740 h 1790700"/>
              <a:gd name="connsiteX41" fmla="*/ 838200 w 899160"/>
              <a:gd name="connsiteY41" fmla="*/ 990600 h 1790700"/>
              <a:gd name="connsiteX42" fmla="*/ 853440 w 899160"/>
              <a:gd name="connsiteY42" fmla="*/ 1059180 h 1790700"/>
              <a:gd name="connsiteX43" fmla="*/ 838200 w 899160"/>
              <a:gd name="connsiteY43" fmla="*/ 1150620 h 1790700"/>
              <a:gd name="connsiteX44" fmla="*/ 822960 w 899160"/>
              <a:gd name="connsiteY44" fmla="*/ 1173480 h 1790700"/>
              <a:gd name="connsiteX45" fmla="*/ 807720 w 899160"/>
              <a:gd name="connsiteY45" fmla="*/ 1219200 h 1790700"/>
              <a:gd name="connsiteX46" fmla="*/ 777240 w 899160"/>
              <a:gd name="connsiteY46" fmla="*/ 1264920 h 1790700"/>
              <a:gd name="connsiteX47" fmla="*/ 769620 w 899160"/>
              <a:gd name="connsiteY47" fmla="*/ 1386840 h 1790700"/>
              <a:gd name="connsiteX48" fmla="*/ 754380 w 899160"/>
              <a:gd name="connsiteY48" fmla="*/ 1409700 h 1790700"/>
              <a:gd name="connsiteX49" fmla="*/ 746760 w 899160"/>
              <a:gd name="connsiteY49" fmla="*/ 1432560 h 1790700"/>
              <a:gd name="connsiteX50" fmla="*/ 716280 w 899160"/>
              <a:gd name="connsiteY50" fmla="*/ 1478280 h 1790700"/>
              <a:gd name="connsiteX51" fmla="*/ 685800 w 899160"/>
              <a:gd name="connsiteY51" fmla="*/ 1569720 h 1790700"/>
              <a:gd name="connsiteX52" fmla="*/ 678180 w 899160"/>
              <a:gd name="connsiteY52" fmla="*/ 1592580 h 1790700"/>
              <a:gd name="connsiteX53" fmla="*/ 670560 w 899160"/>
              <a:gd name="connsiteY53" fmla="*/ 1615440 h 1790700"/>
              <a:gd name="connsiteX54" fmla="*/ 655320 w 899160"/>
              <a:gd name="connsiteY54" fmla="*/ 1676400 h 1790700"/>
              <a:gd name="connsiteX55" fmla="*/ 632460 w 899160"/>
              <a:gd name="connsiteY55" fmla="*/ 1729740 h 1790700"/>
              <a:gd name="connsiteX56" fmla="*/ 609600 w 899160"/>
              <a:gd name="connsiteY56" fmla="*/ 1760220 h 1790700"/>
              <a:gd name="connsiteX57" fmla="*/ 563880 w 899160"/>
              <a:gd name="connsiteY57" fmla="*/ 1775460 h 1790700"/>
              <a:gd name="connsiteX58" fmla="*/ 495300 w 899160"/>
              <a:gd name="connsiteY58" fmla="*/ 1790700 h 1790700"/>
              <a:gd name="connsiteX59" fmla="*/ 388620 w 899160"/>
              <a:gd name="connsiteY59" fmla="*/ 1783080 h 1790700"/>
              <a:gd name="connsiteX60" fmla="*/ 342900 w 899160"/>
              <a:gd name="connsiteY60" fmla="*/ 1752600 h 1790700"/>
              <a:gd name="connsiteX61" fmla="*/ 320040 w 899160"/>
              <a:gd name="connsiteY61" fmla="*/ 1737360 h 1790700"/>
              <a:gd name="connsiteX62" fmla="*/ 274320 w 899160"/>
              <a:gd name="connsiteY62" fmla="*/ 1699260 h 1790700"/>
              <a:gd name="connsiteX63" fmla="*/ 251460 w 899160"/>
              <a:gd name="connsiteY63" fmla="*/ 1546860 h 1790700"/>
              <a:gd name="connsiteX64" fmla="*/ 228600 w 899160"/>
              <a:gd name="connsiteY64" fmla="*/ 1524000 h 1790700"/>
              <a:gd name="connsiteX65" fmla="*/ 213360 w 899160"/>
              <a:gd name="connsiteY65" fmla="*/ 1501140 h 1790700"/>
              <a:gd name="connsiteX66" fmla="*/ 198120 w 899160"/>
              <a:gd name="connsiteY66" fmla="*/ 1348740 h 1790700"/>
              <a:gd name="connsiteX67" fmla="*/ 190500 w 899160"/>
              <a:gd name="connsiteY67" fmla="*/ 1325880 h 1790700"/>
              <a:gd name="connsiteX68" fmla="*/ 182880 w 899160"/>
              <a:gd name="connsiteY68" fmla="*/ 1181100 h 1790700"/>
              <a:gd name="connsiteX69" fmla="*/ 175260 w 899160"/>
              <a:gd name="connsiteY69" fmla="*/ 1143000 h 1790700"/>
              <a:gd name="connsiteX70" fmla="*/ 190500 w 899160"/>
              <a:gd name="connsiteY70" fmla="*/ 1043940 h 1790700"/>
              <a:gd name="connsiteX71" fmla="*/ 182880 w 899160"/>
              <a:gd name="connsiteY71" fmla="*/ 929640 h 1790700"/>
              <a:gd name="connsiteX72" fmla="*/ 160020 w 899160"/>
              <a:gd name="connsiteY72" fmla="*/ 914400 h 1790700"/>
              <a:gd name="connsiteX73" fmla="*/ 121920 w 899160"/>
              <a:gd name="connsiteY73" fmla="*/ 906780 h 1790700"/>
              <a:gd name="connsiteX74" fmla="*/ 53340 w 899160"/>
              <a:gd name="connsiteY74" fmla="*/ 876300 h 1790700"/>
              <a:gd name="connsiteX75" fmla="*/ 60960 w 899160"/>
              <a:gd name="connsiteY75" fmla="*/ 784860 h 1790700"/>
              <a:gd name="connsiteX76" fmla="*/ 76200 w 899160"/>
              <a:gd name="connsiteY76" fmla="*/ 731520 h 1790700"/>
              <a:gd name="connsiteX77" fmla="*/ 53340 w 899160"/>
              <a:gd name="connsiteY77" fmla="*/ 662940 h 1790700"/>
              <a:gd name="connsiteX78" fmla="*/ 45720 w 899160"/>
              <a:gd name="connsiteY78" fmla="*/ 640080 h 1790700"/>
              <a:gd name="connsiteX79" fmla="*/ 22860 w 899160"/>
              <a:gd name="connsiteY7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990600 h 1790700"/>
              <a:gd name="connsiteX41" fmla="*/ 853440 w 899160"/>
              <a:gd name="connsiteY41" fmla="*/ 1059180 h 1790700"/>
              <a:gd name="connsiteX42" fmla="*/ 838200 w 899160"/>
              <a:gd name="connsiteY42" fmla="*/ 1150620 h 1790700"/>
              <a:gd name="connsiteX43" fmla="*/ 822960 w 899160"/>
              <a:gd name="connsiteY43" fmla="*/ 1173480 h 1790700"/>
              <a:gd name="connsiteX44" fmla="*/ 807720 w 899160"/>
              <a:gd name="connsiteY44" fmla="*/ 1219200 h 1790700"/>
              <a:gd name="connsiteX45" fmla="*/ 777240 w 899160"/>
              <a:gd name="connsiteY45" fmla="*/ 1264920 h 1790700"/>
              <a:gd name="connsiteX46" fmla="*/ 769620 w 899160"/>
              <a:gd name="connsiteY46" fmla="*/ 1386840 h 1790700"/>
              <a:gd name="connsiteX47" fmla="*/ 754380 w 899160"/>
              <a:gd name="connsiteY47" fmla="*/ 1409700 h 1790700"/>
              <a:gd name="connsiteX48" fmla="*/ 746760 w 899160"/>
              <a:gd name="connsiteY48" fmla="*/ 1432560 h 1790700"/>
              <a:gd name="connsiteX49" fmla="*/ 716280 w 899160"/>
              <a:gd name="connsiteY49" fmla="*/ 1478280 h 1790700"/>
              <a:gd name="connsiteX50" fmla="*/ 685800 w 899160"/>
              <a:gd name="connsiteY50" fmla="*/ 1569720 h 1790700"/>
              <a:gd name="connsiteX51" fmla="*/ 678180 w 899160"/>
              <a:gd name="connsiteY51" fmla="*/ 1592580 h 1790700"/>
              <a:gd name="connsiteX52" fmla="*/ 670560 w 899160"/>
              <a:gd name="connsiteY52" fmla="*/ 1615440 h 1790700"/>
              <a:gd name="connsiteX53" fmla="*/ 655320 w 899160"/>
              <a:gd name="connsiteY53" fmla="*/ 1676400 h 1790700"/>
              <a:gd name="connsiteX54" fmla="*/ 632460 w 899160"/>
              <a:gd name="connsiteY54" fmla="*/ 1729740 h 1790700"/>
              <a:gd name="connsiteX55" fmla="*/ 609600 w 899160"/>
              <a:gd name="connsiteY55" fmla="*/ 1760220 h 1790700"/>
              <a:gd name="connsiteX56" fmla="*/ 563880 w 899160"/>
              <a:gd name="connsiteY56" fmla="*/ 1775460 h 1790700"/>
              <a:gd name="connsiteX57" fmla="*/ 495300 w 899160"/>
              <a:gd name="connsiteY57" fmla="*/ 1790700 h 1790700"/>
              <a:gd name="connsiteX58" fmla="*/ 388620 w 899160"/>
              <a:gd name="connsiteY58" fmla="*/ 1783080 h 1790700"/>
              <a:gd name="connsiteX59" fmla="*/ 342900 w 899160"/>
              <a:gd name="connsiteY59" fmla="*/ 1752600 h 1790700"/>
              <a:gd name="connsiteX60" fmla="*/ 320040 w 899160"/>
              <a:gd name="connsiteY60" fmla="*/ 1737360 h 1790700"/>
              <a:gd name="connsiteX61" fmla="*/ 274320 w 899160"/>
              <a:gd name="connsiteY61" fmla="*/ 1699260 h 1790700"/>
              <a:gd name="connsiteX62" fmla="*/ 251460 w 899160"/>
              <a:gd name="connsiteY62" fmla="*/ 1546860 h 1790700"/>
              <a:gd name="connsiteX63" fmla="*/ 228600 w 899160"/>
              <a:gd name="connsiteY63" fmla="*/ 1524000 h 1790700"/>
              <a:gd name="connsiteX64" fmla="*/ 213360 w 899160"/>
              <a:gd name="connsiteY64" fmla="*/ 1501140 h 1790700"/>
              <a:gd name="connsiteX65" fmla="*/ 198120 w 899160"/>
              <a:gd name="connsiteY65" fmla="*/ 1348740 h 1790700"/>
              <a:gd name="connsiteX66" fmla="*/ 190500 w 899160"/>
              <a:gd name="connsiteY66" fmla="*/ 1325880 h 1790700"/>
              <a:gd name="connsiteX67" fmla="*/ 182880 w 899160"/>
              <a:gd name="connsiteY67" fmla="*/ 1181100 h 1790700"/>
              <a:gd name="connsiteX68" fmla="*/ 175260 w 899160"/>
              <a:gd name="connsiteY68" fmla="*/ 1143000 h 1790700"/>
              <a:gd name="connsiteX69" fmla="*/ 190500 w 899160"/>
              <a:gd name="connsiteY69" fmla="*/ 1043940 h 1790700"/>
              <a:gd name="connsiteX70" fmla="*/ 182880 w 899160"/>
              <a:gd name="connsiteY70" fmla="*/ 929640 h 1790700"/>
              <a:gd name="connsiteX71" fmla="*/ 160020 w 899160"/>
              <a:gd name="connsiteY71" fmla="*/ 914400 h 1790700"/>
              <a:gd name="connsiteX72" fmla="*/ 121920 w 899160"/>
              <a:gd name="connsiteY72" fmla="*/ 906780 h 1790700"/>
              <a:gd name="connsiteX73" fmla="*/ 53340 w 899160"/>
              <a:gd name="connsiteY73" fmla="*/ 876300 h 1790700"/>
              <a:gd name="connsiteX74" fmla="*/ 60960 w 899160"/>
              <a:gd name="connsiteY74" fmla="*/ 784860 h 1790700"/>
              <a:gd name="connsiteX75" fmla="*/ 76200 w 899160"/>
              <a:gd name="connsiteY75" fmla="*/ 731520 h 1790700"/>
              <a:gd name="connsiteX76" fmla="*/ 53340 w 899160"/>
              <a:gd name="connsiteY76" fmla="*/ 662940 h 1790700"/>
              <a:gd name="connsiteX77" fmla="*/ 45720 w 899160"/>
              <a:gd name="connsiteY77" fmla="*/ 640080 h 1790700"/>
              <a:gd name="connsiteX78" fmla="*/ 22860 w 899160"/>
              <a:gd name="connsiteY7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53440 w 899160"/>
              <a:gd name="connsiteY40" fmla="*/ 1059180 h 1790700"/>
              <a:gd name="connsiteX41" fmla="*/ 838200 w 899160"/>
              <a:gd name="connsiteY41" fmla="*/ 1150620 h 1790700"/>
              <a:gd name="connsiteX42" fmla="*/ 822960 w 899160"/>
              <a:gd name="connsiteY42" fmla="*/ 1173480 h 1790700"/>
              <a:gd name="connsiteX43" fmla="*/ 807720 w 899160"/>
              <a:gd name="connsiteY43" fmla="*/ 1219200 h 1790700"/>
              <a:gd name="connsiteX44" fmla="*/ 777240 w 899160"/>
              <a:gd name="connsiteY44" fmla="*/ 1264920 h 1790700"/>
              <a:gd name="connsiteX45" fmla="*/ 769620 w 899160"/>
              <a:gd name="connsiteY45" fmla="*/ 1386840 h 1790700"/>
              <a:gd name="connsiteX46" fmla="*/ 754380 w 899160"/>
              <a:gd name="connsiteY46" fmla="*/ 1409700 h 1790700"/>
              <a:gd name="connsiteX47" fmla="*/ 746760 w 899160"/>
              <a:gd name="connsiteY47" fmla="*/ 1432560 h 1790700"/>
              <a:gd name="connsiteX48" fmla="*/ 716280 w 899160"/>
              <a:gd name="connsiteY48" fmla="*/ 1478280 h 1790700"/>
              <a:gd name="connsiteX49" fmla="*/ 685800 w 899160"/>
              <a:gd name="connsiteY49" fmla="*/ 1569720 h 1790700"/>
              <a:gd name="connsiteX50" fmla="*/ 678180 w 899160"/>
              <a:gd name="connsiteY50" fmla="*/ 1592580 h 1790700"/>
              <a:gd name="connsiteX51" fmla="*/ 670560 w 899160"/>
              <a:gd name="connsiteY51" fmla="*/ 1615440 h 1790700"/>
              <a:gd name="connsiteX52" fmla="*/ 655320 w 899160"/>
              <a:gd name="connsiteY52" fmla="*/ 1676400 h 1790700"/>
              <a:gd name="connsiteX53" fmla="*/ 632460 w 899160"/>
              <a:gd name="connsiteY53" fmla="*/ 1729740 h 1790700"/>
              <a:gd name="connsiteX54" fmla="*/ 609600 w 899160"/>
              <a:gd name="connsiteY54" fmla="*/ 1760220 h 1790700"/>
              <a:gd name="connsiteX55" fmla="*/ 563880 w 899160"/>
              <a:gd name="connsiteY55" fmla="*/ 1775460 h 1790700"/>
              <a:gd name="connsiteX56" fmla="*/ 495300 w 899160"/>
              <a:gd name="connsiteY56" fmla="*/ 1790700 h 1790700"/>
              <a:gd name="connsiteX57" fmla="*/ 388620 w 899160"/>
              <a:gd name="connsiteY57" fmla="*/ 1783080 h 1790700"/>
              <a:gd name="connsiteX58" fmla="*/ 342900 w 899160"/>
              <a:gd name="connsiteY58" fmla="*/ 1752600 h 1790700"/>
              <a:gd name="connsiteX59" fmla="*/ 320040 w 899160"/>
              <a:gd name="connsiteY59" fmla="*/ 1737360 h 1790700"/>
              <a:gd name="connsiteX60" fmla="*/ 274320 w 899160"/>
              <a:gd name="connsiteY60" fmla="*/ 1699260 h 1790700"/>
              <a:gd name="connsiteX61" fmla="*/ 251460 w 899160"/>
              <a:gd name="connsiteY61" fmla="*/ 1546860 h 1790700"/>
              <a:gd name="connsiteX62" fmla="*/ 228600 w 899160"/>
              <a:gd name="connsiteY62" fmla="*/ 1524000 h 1790700"/>
              <a:gd name="connsiteX63" fmla="*/ 213360 w 899160"/>
              <a:gd name="connsiteY63" fmla="*/ 1501140 h 1790700"/>
              <a:gd name="connsiteX64" fmla="*/ 198120 w 899160"/>
              <a:gd name="connsiteY64" fmla="*/ 1348740 h 1790700"/>
              <a:gd name="connsiteX65" fmla="*/ 190500 w 899160"/>
              <a:gd name="connsiteY65" fmla="*/ 1325880 h 1790700"/>
              <a:gd name="connsiteX66" fmla="*/ 182880 w 899160"/>
              <a:gd name="connsiteY66" fmla="*/ 1181100 h 1790700"/>
              <a:gd name="connsiteX67" fmla="*/ 175260 w 899160"/>
              <a:gd name="connsiteY67" fmla="*/ 1143000 h 1790700"/>
              <a:gd name="connsiteX68" fmla="*/ 190500 w 899160"/>
              <a:gd name="connsiteY68" fmla="*/ 1043940 h 1790700"/>
              <a:gd name="connsiteX69" fmla="*/ 182880 w 899160"/>
              <a:gd name="connsiteY69" fmla="*/ 929640 h 1790700"/>
              <a:gd name="connsiteX70" fmla="*/ 160020 w 899160"/>
              <a:gd name="connsiteY70" fmla="*/ 914400 h 1790700"/>
              <a:gd name="connsiteX71" fmla="*/ 121920 w 899160"/>
              <a:gd name="connsiteY71" fmla="*/ 906780 h 1790700"/>
              <a:gd name="connsiteX72" fmla="*/ 53340 w 899160"/>
              <a:gd name="connsiteY72" fmla="*/ 876300 h 1790700"/>
              <a:gd name="connsiteX73" fmla="*/ 60960 w 899160"/>
              <a:gd name="connsiteY73" fmla="*/ 784860 h 1790700"/>
              <a:gd name="connsiteX74" fmla="*/ 76200 w 899160"/>
              <a:gd name="connsiteY74" fmla="*/ 731520 h 1790700"/>
              <a:gd name="connsiteX75" fmla="*/ 53340 w 899160"/>
              <a:gd name="connsiteY75" fmla="*/ 662940 h 1790700"/>
              <a:gd name="connsiteX76" fmla="*/ 45720 w 899160"/>
              <a:gd name="connsiteY76" fmla="*/ 640080 h 1790700"/>
              <a:gd name="connsiteX77" fmla="*/ 22860 w 899160"/>
              <a:gd name="connsiteY7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1150620 h 1790700"/>
              <a:gd name="connsiteX41" fmla="*/ 822960 w 899160"/>
              <a:gd name="connsiteY41" fmla="*/ 1173480 h 1790700"/>
              <a:gd name="connsiteX42" fmla="*/ 807720 w 899160"/>
              <a:gd name="connsiteY42" fmla="*/ 1219200 h 1790700"/>
              <a:gd name="connsiteX43" fmla="*/ 777240 w 899160"/>
              <a:gd name="connsiteY43" fmla="*/ 1264920 h 1790700"/>
              <a:gd name="connsiteX44" fmla="*/ 769620 w 899160"/>
              <a:gd name="connsiteY44" fmla="*/ 1386840 h 1790700"/>
              <a:gd name="connsiteX45" fmla="*/ 754380 w 899160"/>
              <a:gd name="connsiteY45" fmla="*/ 1409700 h 1790700"/>
              <a:gd name="connsiteX46" fmla="*/ 746760 w 899160"/>
              <a:gd name="connsiteY46" fmla="*/ 1432560 h 1790700"/>
              <a:gd name="connsiteX47" fmla="*/ 716280 w 899160"/>
              <a:gd name="connsiteY47" fmla="*/ 1478280 h 1790700"/>
              <a:gd name="connsiteX48" fmla="*/ 685800 w 899160"/>
              <a:gd name="connsiteY48" fmla="*/ 1569720 h 1790700"/>
              <a:gd name="connsiteX49" fmla="*/ 678180 w 899160"/>
              <a:gd name="connsiteY49" fmla="*/ 1592580 h 1790700"/>
              <a:gd name="connsiteX50" fmla="*/ 670560 w 899160"/>
              <a:gd name="connsiteY50" fmla="*/ 1615440 h 1790700"/>
              <a:gd name="connsiteX51" fmla="*/ 655320 w 899160"/>
              <a:gd name="connsiteY51" fmla="*/ 1676400 h 1790700"/>
              <a:gd name="connsiteX52" fmla="*/ 632460 w 899160"/>
              <a:gd name="connsiteY52" fmla="*/ 1729740 h 1790700"/>
              <a:gd name="connsiteX53" fmla="*/ 609600 w 899160"/>
              <a:gd name="connsiteY53" fmla="*/ 1760220 h 1790700"/>
              <a:gd name="connsiteX54" fmla="*/ 563880 w 899160"/>
              <a:gd name="connsiteY54" fmla="*/ 1775460 h 1790700"/>
              <a:gd name="connsiteX55" fmla="*/ 495300 w 899160"/>
              <a:gd name="connsiteY55" fmla="*/ 1790700 h 1790700"/>
              <a:gd name="connsiteX56" fmla="*/ 388620 w 899160"/>
              <a:gd name="connsiteY56" fmla="*/ 1783080 h 1790700"/>
              <a:gd name="connsiteX57" fmla="*/ 342900 w 899160"/>
              <a:gd name="connsiteY57" fmla="*/ 1752600 h 1790700"/>
              <a:gd name="connsiteX58" fmla="*/ 320040 w 899160"/>
              <a:gd name="connsiteY58" fmla="*/ 1737360 h 1790700"/>
              <a:gd name="connsiteX59" fmla="*/ 274320 w 899160"/>
              <a:gd name="connsiteY59" fmla="*/ 1699260 h 1790700"/>
              <a:gd name="connsiteX60" fmla="*/ 251460 w 899160"/>
              <a:gd name="connsiteY60" fmla="*/ 1546860 h 1790700"/>
              <a:gd name="connsiteX61" fmla="*/ 228600 w 899160"/>
              <a:gd name="connsiteY61" fmla="*/ 1524000 h 1790700"/>
              <a:gd name="connsiteX62" fmla="*/ 213360 w 899160"/>
              <a:gd name="connsiteY62" fmla="*/ 1501140 h 1790700"/>
              <a:gd name="connsiteX63" fmla="*/ 198120 w 899160"/>
              <a:gd name="connsiteY63" fmla="*/ 1348740 h 1790700"/>
              <a:gd name="connsiteX64" fmla="*/ 190500 w 899160"/>
              <a:gd name="connsiteY64" fmla="*/ 1325880 h 1790700"/>
              <a:gd name="connsiteX65" fmla="*/ 182880 w 899160"/>
              <a:gd name="connsiteY65" fmla="*/ 1181100 h 1790700"/>
              <a:gd name="connsiteX66" fmla="*/ 175260 w 899160"/>
              <a:gd name="connsiteY66" fmla="*/ 1143000 h 1790700"/>
              <a:gd name="connsiteX67" fmla="*/ 190500 w 899160"/>
              <a:gd name="connsiteY67" fmla="*/ 1043940 h 1790700"/>
              <a:gd name="connsiteX68" fmla="*/ 182880 w 899160"/>
              <a:gd name="connsiteY68" fmla="*/ 929640 h 1790700"/>
              <a:gd name="connsiteX69" fmla="*/ 160020 w 899160"/>
              <a:gd name="connsiteY69" fmla="*/ 914400 h 1790700"/>
              <a:gd name="connsiteX70" fmla="*/ 121920 w 899160"/>
              <a:gd name="connsiteY70" fmla="*/ 906780 h 1790700"/>
              <a:gd name="connsiteX71" fmla="*/ 53340 w 899160"/>
              <a:gd name="connsiteY71" fmla="*/ 876300 h 1790700"/>
              <a:gd name="connsiteX72" fmla="*/ 60960 w 899160"/>
              <a:gd name="connsiteY72" fmla="*/ 784860 h 1790700"/>
              <a:gd name="connsiteX73" fmla="*/ 76200 w 899160"/>
              <a:gd name="connsiteY73" fmla="*/ 731520 h 1790700"/>
              <a:gd name="connsiteX74" fmla="*/ 53340 w 899160"/>
              <a:gd name="connsiteY74" fmla="*/ 662940 h 1790700"/>
              <a:gd name="connsiteX75" fmla="*/ 45720 w 899160"/>
              <a:gd name="connsiteY75" fmla="*/ 640080 h 1790700"/>
              <a:gd name="connsiteX76" fmla="*/ 22860 w 899160"/>
              <a:gd name="connsiteY7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8200 w 899160"/>
              <a:gd name="connsiteY39" fmla="*/ 1150620 h 1790700"/>
              <a:gd name="connsiteX40" fmla="*/ 822960 w 899160"/>
              <a:gd name="connsiteY40" fmla="*/ 1173480 h 1790700"/>
              <a:gd name="connsiteX41" fmla="*/ 807720 w 899160"/>
              <a:gd name="connsiteY41" fmla="*/ 1219200 h 1790700"/>
              <a:gd name="connsiteX42" fmla="*/ 777240 w 899160"/>
              <a:gd name="connsiteY42" fmla="*/ 1264920 h 1790700"/>
              <a:gd name="connsiteX43" fmla="*/ 769620 w 899160"/>
              <a:gd name="connsiteY43" fmla="*/ 1386840 h 1790700"/>
              <a:gd name="connsiteX44" fmla="*/ 754380 w 899160"/>
              <a:gd name="connsiteY44" fmla="*/ 1409700 h 1790700"/>
              <a:gd name="connsiteX45" fmla="*/ 746760 w 899160"/>
              <a:gd name="connsiteY45" fmla="*/ 1432560 h 1790700"/>
              <a:gd name="connsiteX46" fmla="*/ 716280 w 899160"/>
              <a:gd name="connsiteY46" fmla="*/ 1478280 h 1790700"/>
              <a:gd name="connsiteX47" fmla="*/ 685800 w 899160"/>
              <a:gd name="connsiteY47" fmla="*/ 1569720 h 1790700"/>
              <a:gd name="connsiteX48" fmla="*/ 678180 w 899160"/>
              <a:gd name="connsiteY48" fmla="*/ 1592580 h 1790700"/>
              <a:gd name="connsiteX49" fmla="*/ 670560 w 899160"/>
              <a:gd name="connsiteY49" fmla="*/ 1615440 h 1790700"/>
              <a:gd name="connsiteX50" fmla="*/ 655320 w 899160"/>
              <a:gd name="connsiteY50" fmla="*/ 1676400 h 1790700"/>
              <a:gd name="connsiteX51" fmla="*/ 632460 w 899160"/>
              <a:gd name="connsiteY51" fmla="*/ 1729740 h 1790700"/>
              <a:gd name="connsiteX52" fmla="*/ 609600 w 899160"/>
              <a:gd name="connsiteY52" fmla="*/ 1760220 h 1790700"/>
              <a:gd name="connsiteX53" fmla="*/ 563880 w 899160"/>
              <a:gd name="connsiteY53" fmla="*/ 1775460 h 1790700"/>
              <a:gd name="connsiteX54" fmla="*/ 495300 w 899160"/>
              <a:gd name="connsiteY54" fmla="*/ 1790700 h 1790700"/>
              <a:gd name="connsiteX55" fmla="*/ 388620 w 899160"/>
              <a:gd name="connsiteY55" fmla="*/ 1783080 h 1790700"/>
              <a:gd name="connsiteX56" fmla="*/ 342900 w 899160"/>
              <a:gd name="connsiteY56" fmla="*/ 1752600 h 1790700"/>
              <a:gd name="connsiteX57" fmla="*/ 320040 w 899160"/>
              <a:gd name="connsiteY57" fmla="*/ 1737360 h 1790700"/>
              <a:gd name="connsiteX58" fmla="*/ 274320 w 899160"/>
              <a:gd name="connsiteY58" fmla="*/ 1699260 h 1790700"/>
              <a:gd name="connsiteX59" fmla="*/ 251460 w 899160"/>
              <a:gd name="connsiteY59" fmla="*/ 1546860 h 1790700"/>
              <a:gd name="connsiteX60" fmla="*/ 228600 w 899160"/>
              <a:gd name="connsiteY60" fmla="*/ 1524000 h 1790700"/>
              <a:gd name="connsiteX61" fmla="*/ 213360 w 899160"/>
              <a:gd name="connsiteY61" fmla="*/ 1501140 h 1790700"/>
              <a:gd name="connsiteX62" fmla="*/ 198120 w 899160"/>
              <a:gd name="connsiteY62" fmla="*/ 1348740 h 1790700"/>
              <a:gd name="connsiteX63" fmla="*/ 190500 w 899160"/>
              <a:gd name="connsiteY63" fmla="*/ 1325880 h 1790700"/>
              <a:gd name="connsiteX64" fmla="*/ 182880 w 899160"/>
              <a:gd name="connsiteY64" fmla="*/ 1181100 h 1790700"/>
              <a:gd name="connsiteX65" fmla="*/ 175260 w 899160"/>
              <a:gd name="connsiteY65" fmla="*/ 1143000 h 1790700"/>
              <a:gd name="connsiteX66" fmla="*/ 190500 w 899160"/>
              <a:gd name="connsiteY66" fmla="*/ 1043940 h 1790700"/>
              <a:gd name="connsiteX67" fmla="*/ 182880 w 899160"/>
              <a:gd name="connsiteY67" fmla="*/ 929640 h 1790700"/>
              <a:gd name="connsiteX68" fmla="*/ 160020 w 899160"/>
              <a:gd name="connsiteY68" fmla="*/ 914400 h 1790700"/>
              <a:gd name="connsiteX69" fmla="*/ 121920 w 899160"/>
              <a:gd name="connsiteY69" fmla="*/ 906780 h 1790700"/>
              <a:gd name="connsiteX70" fmla="*/ 53340 w 899160"/>
              <a:gd name="connsiteY70" fmla="*/ 876300 h 1790700"/>
              <a:gd name="connsiteX71" fmla="*/ 60960 w 899160"/>
              <a:gd name="connsiteY71" fmla="*/ 784860 h 1790700"/>
              <a:gd name="connsiteX72" fmla="*/ 76200 w 899160"/>
              <a:gd name="connsiteY72" fmla="*/ 731520 h 1790700"/>
              <a:gd name="connsiteX73" fmla="*/ 53340 w 899160"/>
              <a:gd name="connsiteY73" fmla="*/ 662940 h 1790700"/>
              <a:gd name="connsiteX74" fmla="*/ 45720 w 899160"/>
              <a:gd name="connsiteY74" fmla="*/ 640080 h 1790700"/>
              <a:gd name="connsiteX75" fmla="*/ 22860 w 899160"/>
              <a:gd name="connsiteY7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807720 w 899160"/>
              <a:gd name="connsiteY40" fmla="*/ 1219200 h 1790700"/>
              <a:gd name="connsiteX41" fmla="*/ 777240 w 899160"/>
              <a:gd name="connsiteY41" fmla="*/ 1264920 h 1790700"/>
              <a:gd name="connsiteX42" fmla="*/ 769620 w 899160"/>
              <a:gd name="connsiteY42" fmla="*/ 1386840 h 1790700"/>
              <a:gd name="connsiteX43" fmla="*/ 754380 w 899160"/>
              <a:gd name="connsiteY43" fmla="*/ 1409700 h 1790700"/>
              <a:gd name="connsiteX44" fmla="*/ 746760 w 899160"/>
              <a:gd name="connsiteY44" fmla="*/ 1432560 h 1790700"/>
              <a:gd name="connsiteX45" fmla="*/ 716280 w 899160"/>
              <a:gd name="connsiteY45" fmla="*/ 1478280 h 1790700"/>
              <a:gd name="connsiteX46" fmla="*/ 685800 w 899160"/>
              <a:gd name="connsiteY46" fmla="*/ 1569720 h 1790700"/>
              <a:gd name="connsiteX47" fmla="*/ 678180 w 899160"/>
              <a:gd name="connsiteY47" fmla="*/ 1592580 h 1790700"/>
              <a:gd name="connsiteX48" fmla="*/ 670560 w 899160"/>
              <a:gd name="connsiteY48" fmla="*/ 1615440 h 1790700"/>
              <a:gd name="connsiteX49" fmla="*/ 655320 w 899160"/>
              <a:gd name="connsiteY49" fmla="*/ 1676400 h 1790700"/>
              <a:gd name="connsiteX50" fmla="*/ 632460 w 899160"/>
              <a:gd name="connsiteY50" fmla="*/ 1729740 h 1790700"/>
              <a:gd name="connsiteX51" fmla="*/ 609600 w 899160"/>
              <a:gd name="connsiteY51" fmla="*/ 1760220 h 1790700"/>
              <a:gd name="connsiteX52" fmla="*/ 563880 w 899160"/>
              <a:gd name="connsiteY52" fmla="*/ 1775460 h 1790700"/>
              <a:gd name="connsiteX53" fmla="*/ 495300 w 899160"/>
              <a:gd name="connsiteY53" fmla="*/ 1790700 h 1790700"/>
              <a:gd name="connsiteX54" fmla="*/ 388620 w 899160"/>
              <a:gd name="connsiteY54" fmla="*/ 1783080 h 1790700"/>
              <a:gd name="connsiteX55" fmla="*/ 342900 w 899160"/>
              <a:gd name="connsiteY55" fmla="*/ 1752600 h 1790700"/>
              <a:gd name="connsiteX56" fmla="*/ 320040 w 899160"/>
              <a:gd name="connsiteY56" fmla="*/ 1737360 h 1790700"/>
              <a:gd name="connsiteX57" fmla="*/ 274320 w 899160"/>
              <a:gd name="connsiteY57" fmla="*/ 1699260 h 1790700"/>
              <a:gd name="connsiteX58" fmla="*/ 251460 w 899160"/>
              <a:gd name="connsiteY58" fmla="*/ 1546860 h 1790700"/>
              <a:gd name="connsiteX59" fmla="*/ 228600 w 899160"/>
              <a:gd name="connsiteY59" fmla="*/ 1524000 h 1790700"/>
              <a:gd name="connsiteX60" fmla="*/ 213360 w 899160"/>
              <a:gd name="connsiteY60" fmla="*/ 1501140 h 1790700"/>
              <a:gd name="connsiteX61" fmla="*/ 198120 w 899160"/>
              <a:gd name="connsiteY61" fmla="*/ 1348740 h 1790700"/>
              <a:gd name="connsiteX62" fmla="*/ 190500 w 899160"/>
              <a:gd name="connsiteY62" fmla="*/ 1325880 h 1790700"/>
              <a:gd name="connsiteX63" fmla="*/ 182880 w 899160"/>
              <a:gd name="connsiteY63" fmla="*/ 1181100 h 1790700"/>
              <a:gd name="connsiteX64" fmla="*/ 175260 w 899160"/>
              <a:gd name="connsiteY64" fmla="*/ 1143000 h 1790700"/>
              <a:gd name="connsiteX65" fmla="*/ 190500 w 899160"/>
              <a:gd name="connsiteY65" fmla="*/ 1043940 h 1790700"/>
              <a:gd name="connsiteX66" fmla="*/ 182880 w 899160"/>
              <a:gd name="connsiteY66" fmla="*/ 929640 h 1790700"/>
              <a:gd name="connsiteX67" fmla="*/ 160020 w 899160"/>
              <a:gd name="connsiteY67" fmla="*/ 914400 h 1790700"/>
              <a:gd name="connsiteX68" fmla="*/ 121920 w 899160"/>
              <a:gd name="connsiteY68" fmla="*/ 906780 h 1790700"/>
              <a:gd name="connsiteX69" fmla="*/ 53340 w 899160"/>
              <a:gd name="connsiteY69" fmla="*/ 876300 h 1790700"/>
              <a:gd name="connsiteX70" fmla="*/ 60960 w 899160"/>
              <a:gd name="connsiteY70" fmla="*/ 784860 h 1790700"/>
              <a:gd name="connsiteX71" fmla="*/ 76200 w 899160"/>
              <a:gd name="connsiteY71" fmla="*/ 731520 h 1790700"/>
              <a:gd name="connsiteX72" fmla="*/ 53340 w 899160"/>
              <a:gd name="connsiteY72" fmla="*/ 662940 h 1790700"/>
              <a:gd name="connsiteX73" fmla="*/ 45720 w 899160"/>
              <a:gd name="connsiteY73" fmla="*/ 640080 h 1790700"/>
              <a:gd name="connsiteX74" fmla="*/ 22860 w 899160"/>
              <a:gd name="connsiteY7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777240 w 899160"/>
              <a:gd name="connsiteY40" fmla="*/ 1264920 h 1790700"/>
              <a:gd name="connsiteX41" fmla="*/ 769620 w 899160"/>
              <a:gd name="connsiteY41" fmla="*/ 1386840 h 1790700"/>
              <a:gd name="connsiteX42" fmla="*/ 754380 w 899160"/>
              <a:gd name="connsiteY42" fmla="*/ 1409700 h 1790700"/>
              <a:gd name="connsiteX43" fmla="*/ 746760 w 899160"/>
              <a:gd name="connsiteY43" fmla="*/ 1432560 h 1790700"/>
              <a:gd name="connsiteX44" fmla="*/ 716280 w 899160"/>
              <a:gd name="connsiteY44" fmla="*/ 1478280 h 1790700"/>
              <a:gd name="connsiteX45" fmla="*/ 685800 w 899160"/>
              <a:gd name="connsiteY45" fmla="*/ 1569720 h 1790700"/>
              <a:gd name="connsiteX46" fmla="*/ 678180 w 899160"/>
              <a:gd name="connsiteY46" fmla="*/ 1592580 h 1790700"/>
              <a:gd name="connsiteX47" fmla="*/ 670560 w 899160"/>
              <a:gd name="connsiteY47" fmla="*/ 1615440 h 1790700"/>
              <a:gd name="connsiteX48" fmla="*/ 655320 w 899160"/>
              <a:gd name="connsiteY48" fmla="*/ 1676400 h 1790700"/>
              <a:gd name="connsiteX49" fmla="*/ 632460 w 899160"/>
              <a:gd name="connsiteY49" fmla="*/ 1729740 h 1790700"/>
              <a:gd name="connsiteX50" fmla="*/ 609600 w 899160"/>
              <a:gd name="connsiteY50" fmla="*/ 1760220 h 1790700"/>
              <a:gd name="connsiteX51" fmla="*/ 563880 w 899160"/>
              <a:gd name="connsiteY51" fmla="*/ 1775460 h 1790700"/>
              <a:gd name="connsiteX52" fmla="*/ 495300 w 899160"/>
              <a:gd name="connsiteY52" fmla="*/ 1790700 h 1790700"/>
              <a:gd name="connsiteX53" fmla="*/ 388620 w 899160"/>
              <a:gd name="connsiteY53" fmla="*/ 1783080 h 1790700"/>
              <a:gd name="connsiteX54" fmla="*/ 342900 w 899160"/>
              <a:gd name="connsiteY54" fmla="*/ 1752600 h 1790700"/>
              <a:gd name="connsiteX55" fmla="*/ 320040 w 899160"/>
              <a:gd name="connsiteY55" fmla="*/ 1737360 h 1790700"/>
              <a:gd name="connsiteX56" fmla="*/ 274320 w 899160"/>
              <a:gd name="connsiteY56" fmla="*/ 1699260 h 1790700"/>
              <a:gd name="connsiteX57" fmla="*/ 251460 w 899160"/>
              <a:gd name="connsiteY57" fmla="*/ 1546860 h 1790700"/>
              <a:gd name="connsiteX58" fmla="*/ 228600 w 899160"/>
              <a:gd name="connsiteY58" fmla="*/ 1524000 h 1790700"/>
              <a:gd name="connsiteX59" fmla="*/ 213360 w 899160"/>
              <a:gd name="connsiteY59" fmla="*/ 1501140 h 1790700"/>
              <a:gd name="connsiteX60" fmla="*/ 198120 w 899160"/>
              <a:gd name="connsiteY60" fmla="*/ 1348740 h 1790700"/>
              <a:gd name="connsiteX61" fmla="*/ 190500 w 899160"/>
              <a:gd name="connsiteY61" fmla="*/ 1325880 h 1790700"/>
              <a:gd name="connsiteX62" fmla="*/ 182880 w 899160"/>
              <a:gd name="connsiteY62" fmla="*/ 1181100 h 1790700"/>
              <a:gd name="connsiteX63" fmla="*/ 175260 w 899160"/>
              <a:gd name="connsiteY63" fmla="*/ 1143000 h 1790700"/>
              <a:gd name="connsiteX64" fmla="*/ 190500 w 899160"/>
              <a:gd name="connsiteY64" fmla="*/ 1043940 h 1790700"/>
              <a:gd name="connsiteX65" fmla="*/ 182880 w 899160"/>
              <a:gd name="connsiteY65" fmla="*/ 929640 h 1790700"/>
              <a:gd name="connsiteX66" fmla="*/ 160020 w 899160"/>
              <a:gd name="connsiteY66" fmla="*/ 914400 h 1790700"/>
              <a:gd name="connsiteX67" fmla="*/ 121920 w 899160"/>
              <a:gd name="connsiteY67" fmla="*/ 906780 h 1790700"/>
              <a:gd name="connsiteX68" fmla="*/ 53340 w 899160"/>
              <a:gd name="connsiteY68" fmla="*/ 876300 h 1790700"/>
              <a:gd name="connsiteX69" fmla="*/ 60960 w 899160"/>
              <a:gd name="connsiteY69" fmla="*/ 784860 h 1790700"/>
              <a:gd name="connsiteX70" fmla="*/ 76200 w 899160"/>
              <a:gd name="connsiteY70" fmla="*/ 731520 h 1790700"/>
              <a:gd name="connsiteX71" fmla="*/ 53340 w 899160"/>
              <a:gd name="connsiteY71" fmla="*/ 662940 h 1790700"/>
              <a:gd name="connsiteX72" fmla="*/ 45720 w 899160"/>
              <a:gd name="connsiteY72" fmla="*/ 640080 h 1790700"/>
              <a:gd name="connsiteX73" fmla="*/ 22860 w 899160"/>
              <a:gd name="connsiteY7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77240 w 899160"/>
              <a:gd name="connsiteY39" fmla="*/ 1264920 h 1790700"/>
              <a:gd name="connsiteX40" fmla="*/ 769620 w 899160"/>
              <a:gd name="connsiteY40" fmla="*/ 1386840 h 1790700"/>
              <a:gd name="connsiteX41" fmla="*/ 754380 w 899160"/>
              <a:gd name="connsiteY41" fmla="*/ 1409700 h 1790700"/>
              <a:gd name="connsiteX42" fmla="*/ 746760 w 899160"/>
              <a:gd name="connsiteY42" fmla="*/ 1432560 h 1790700"/>
              <a:gd name="connsiteX43" fmla="*/ 716280 w 899160"/>
              <a:gd name="connsiteY43" fmla="*/ 1478280 h 1790700"/>
              <a:gd name="connsiteX44" fmla="*/ 685800 w 899160"/>
              <a:gd name="connsiteY44" fmla="*/ 1569720 h 1790700"/>
              <a:gd name="connsiteX45" fmla="*/ 678180 w 899160"/>
              <a:gd name="connsiteY45" fmla="*/ 1592580 h 1790700"/>
              <a:gd name="connsiteX46" fmla="*/ 670560 w 899160"/>
              <a:gd name="connsiteY46" fmla="*/ 1615440 h 1790700"/>
              <a:gd name="connsiteX47" fmla="*/ 655320 w 899160"/>
              <a:gd name="connsiteY47" fmla="*/ 1676400 h 1790700"/>
              <a:gd name="connsiteX48" fmla="*/ 632460 w 899160"/>
              <a:gd name="connsiteY48" fmla="*/ 1729740 h 1790700"/>
              <a:gd name="connsiteX49" fmla="*/ 609600 w 899160"/>
              <a:gd name="connsiteY49" fmla="*/ 1760220 h 1790700"/>
              <a:gd name="connsiteX50" fmla="*/ 563880 w 899160"/>
              <a:gd name="connsiteY50" fmla="*/ 1775460 h 1790700"/>
              <a:gd name="connsiteX51" fmla="*/ 495300 w 899160"/>
              <a:gd name="connsiteY51" fmla="*/ 1790700 h 1790700"/>
              <a:gd name="connsiteX52" fmla="*/ 388620 w 899160"/>
              <a:gd name="connsiteY52" fmla="*/ 1783080 h 1790700"/>
              <a:gd name="connsiteX53" fmla="*/ 342900 w 899160"/>
              <a:gd name="connsiteY53" fmla="*/ 1752600 h 1790700"/>
              <a:gd name="connsiteX54" fmla="*/ 320040 w 899160"/>
              <a:gd name="connsiteY54" fmla="*/ 1737360 h 1790700"/>
              <a:gd name="connsiteX55" fmla="*/ 274320 w 899160"/>
              <a:gd name="connsiteY55" fmla="*/ 1699260 h 1790700"/>
              <a:gd name="connsiteX56" fmla="*/ 251460 w 899160"/>
              <a:gd name="connsiteY56" fmla="*/ 1546860 h 1790700"/>
              <a:gd name="connsiteX57" fmla="*/ 228600 w 899160"/>
              <a:gd name="connsiteY57" fmla="*/ 1524000 h 1790700"/>
              <a:gd name="connsiteX58" fmla="*/ 213360 w 899160"/>
              <a:gd name="connsiteY58" fmla="*/ 1501140 h 1790700"/>
              <a:gd name="connsiteX59" fmla="*/ 198120 w 899160"/>
              <a:gd name="connsiteY59" fmla="*/ 1348740 h 1790700"/>
              <a:gd name="connsiteX60" fmla="*/ 190500 w 899160"/>
              <a:gd name="connsiteY60" fmla="*/ 1325880 h 1790700"/>
              <a:gd name="connsiteX61" fmla="*/ 182880 w 899160"/>
              <a:gd name="connsiteY61" fmla="*/ 1181100 h 1790700"/>
              <a:gd name="connsiteX62" fmla="*/ 175260 w 899160"/>
              <a:gd name="connsiteY62" fmla="*/ 1143000 h 1790700"/>
              <a:gd name="connsiteX63" fmla="*/ 190500 w 899160"/>
              <a:gd name="connsiteY63" fmla="*/ 1043940 h 1790700"/>
              <a:gd name="connsiteX64" fmla="*/ 182880 w 899160"/>
              <a:gd name="connsiteY64" fmla="*/ 929640 h 1790700"/>
              <a:gd name="connsiteX65" fmla="*/ 160020 w 899160"/>
              <a:gd name="connsiteY65" fmla="*/ 914400 h 1790700"/>
              <a:gd name="connsiteX66" fmla="*/ 121920 w 899160"/>
              <a:gd name="connsiteY66" fmla="*/ 906780 h 1790700"/>
              <a:gd name="connsiteX67" fmla="*/ 53340 w 899160"/>
              <a:gd name="connsiteY67" fmla="*/ 876300 h 1790700"/>
              <a:gd name="connsiteX68" fmla="*/ 60960 w 899160"/>
              <a:gd name="connsiteY68" fmla="*/ 784860 h 1790700"/>
              <a:gd name="connsiteX69" fmla="*/ 76200 w 899160"/>
              <a:gd name="connsiteY69" fmla="*/ 731520 h 1790700"/>
              <a:gd name="connsiteX70" fmla="*/ 53340 w 899160"/>
              <a:gd name="connsiteY70" fmla="*/ 662940 h 1790700"/>
              <a:gd name="connsiteX71" fmla="*/ 45720 w 899160"/>
              <a:gd name="connsiteY71" fmla="*/ 640080 h 1790700"/>
              <a:gd name="connsiteX72" fmla="*/ 22860 w 899160"/>
              <a:gd name="connsiteY7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716280 w 899160"/>
              <a:gd name="connsiteY42" fmla="*/ 1478280 h 1790700"/>
              <a:gd name="connsiteX43" fmla="*/ 685800 w 899160"/>
              <a:gd name="connsiteY43" fmla="*/ 1569720 h 1790700"/>
              <a:gd name="connsiteX44" fmla="*/ 678180 w 899160"/>
              <a:gd name="connsiteY44" fmla="*/ 1592580 h 1790700"/>
              <a:gd name="connsiteX45" fmla="*/ 670560 w 899160"/>
              <a:gd name="connsiteY45" fmla="*/ 1615440 h 1790700"/>
              <a:gd name="connsiteX46" fmla="*/ 655320 w 899160"/>
              <a:gd name="connsiteY46" fmla="*/ 1676400 h 1790700"/>
              <a:gd name="connsiteX47" fmla="*/ 632460 w 899160"/>
              <a:gd name="connsiteY47" fmla="*/ 1729740 h 1790700"/>
              <a:gd name="connsiteX48" fmla="*/ 609600 w 899160"/>
              <a:gd name="connsiteY48" fmla="*/ 1760220 h 1790700"/>
              <a:gd name="connsiteX49" fmla="*/ 563880 w 899160"/>
              <a:gd name="connsiteY49" fmla="*/ 1775460 h 1790700"/>
              <a:gd name="connsiteX50" fmla="*/ 495300 w 899160"/>
              <a:gd name="connsiteY50" fmla="*/ 1790700 h 1790700"/>
              <a:gd name="connsiteX51" fmla="*/ 388620 w 899160"/>
              <a:gd name="connsiteY51" fmla="*/ 1783080 h 1790700"/>
              <a:gd name="connsiteX52" fmla="*/ 342900 w 899160"/>
              <a:gd name="connsiteY52" fmla="*/ 1752600 h 1790700"/>
              <a:gd name="connsiteX53" fmla="*/ 320040 w 899160"/>
              <a:gd name="connsiteY53" fmla="*/ 1737360 h 1790700"/>
              <a:gd name="connsiteX54" fmla="*/ 274320 w 899160"/>
              <a:gd name="connsiteY54" fmla="*/ 1699260 h 1790700"/>
              <a:gd name="connsiteX55" fmla="*/ 251460 w 899160"/>
              <a:gd name="connsiteY55" fmla="*/ 1546860 h 1790700"/>
              <a:gd name="connsiteX56" fmla="*/ 228600 w 899160"/>
              <a:gd name="connsiteY56" fmla="*/ 1524000 h 1790700"/>
              <a:gd name="connsiteX57" fmla="*/ 213360 w 899160"/>
              <a:gd name="connsiteY57" fmla="*/ 1501140 h 1790700"/>
              <a:gd name="connsiteX58" fmla="*/ 198120 w 899160"/>
              <a:gd name="connsiteY58" fmla="*/ 1348740 h 1790700"/>
              <a:gd name="connsiteX59" fmla="*/ 190500 w 899160"/>
              <a:gd name="connsiteY59" fmla="*/ 1325880 h 1790700"/>
              <a:gd name="connsiteX60" fmla="*/ 182880 w 899160"/>
              <a:gd name="connsiteY60" fmla="*/ 1181100 h 1790700"/>
              <a:gd name="connsiteX61" fmla="*/ 175260 w 899160"/>
              <a:gd name="connsiteY61" fmla="*/ 1143000 h 1790700"/>
              <a:gd name="connsiteX62" fmla="*/ 190500 w 899160"/>
              <a:gd name="connsiteY62" fmla="*/ 1043940 h 1790700"/>
              <a:gd name="connsiteX63" fmla="*/ 182880 w 899160"/>
              <a:gd name="connsiteY63" fmla="*/ 929640 h 1790700"/>
              <a:gd name="connsiteX64" fmla="*/ 160020 w 899160"/>
              <a:gd name="connsiteY64" fmla="*/ 914400 h 1790700"/>
              <a:gd name="connsiteX65" fmla="*/ 121920 w 899160"/>
              <a:gd name="connsiteY65" fmla="*/ 906780 h 1790700"/>
              <a:gd name="connsiteX66" fmla="*/ 53340 w 899160"/>
              <a:gd name="connsiteY66" fmla="*/ 876300 h 1790700"/>
              <a:gd name="connsiteX67" fmla="*/ 60960 w 899160"/>
              <a:gd name="connsiteY67" fmla="*/ 784860 h 1790700"/>
              <a:gd name="connsiteX68" fmla="*/ 76200 w 899160"/>
              <a:gd name="connsiteY68" fmla="*/ 731520 h 1790700"/>
              <a:gd name="connsiteX69" fmla="*/ 53340 w 899160"/>
              <a:gd name="connsiteY69" fmla="*/ 662940 h 1790700"/>
              <a:gd name="connsiteX70" fmla="*/ 45720 w 899160"/>
              <a:gd name="connsiteY70" fmla="*/ 640080 h 1790700"/>
              <a:gd name="connsiteX71" fmla="*/ 22860 w 899160"/>
              <a:gd name="connsiteY7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70560 w 899160"/>
              <a:gd name="connsiteY44" fmla="*/ 1615440 h 1790700"/>
              <a:gd name="connsiteX45" fmla="*/ 655320 w 899160"/>
              <a:gd name="connsiteY45" fmla="*/ 1676400 h 1790700"/>
              <a:gd name="connsiteX46" fmla="*/ 632460 w 899160"/>
              <a:gd name="connsiteY46" fmla="*/ 1729740 h 1790700"/>
              <a:gd name="connsiteX47" fmla="*/ 609600 w 899160"/>
              <a:gd name="connsiteY47" fmla="*/ 1760220 h 1790700"/>
              <a:gd name="connsiteX48" fmla="*/ 563880 w 899160"/>
              <a:gd name="connsiteY48" fmla="*/ 1775460 h 1790700"/>
              <a:gd name="connsiteX49" fmla="*/ 495300 w 899160"/>
              <a:gd name="connsiteY49" fmla="*/ 1790700 h 1790700"/>
              <a:gd name="connsiteX50" fmla="*/ 388620 w 899160"/>
              <a:gd name="connsiteY50" fmla="*/ 1783080 h 1790700"/>
              <a:gd name="connsiteX51" fmla="*/ 342900 w 899160"/>
              <a:gd name="connsiteY51" fmla="*/ 1752600 h 1790700"/>
              <a:gd name="connsiteX52" fmla="*/ 320040 w 899160"/>
              <a:gd name="connsiteY52" fmla="*/ 1737360 h 1790700"/>
              <a:gd name="connsiteX53" fmla="*/ 274320 w 899160"/>
              <a:gd name="connsiteY53" fmla="*/ 1699260 h 1790700"/>
              <a:gd name="connsiteX54" fmla="*/ 251460 w 899160"/>
              <a:gd name="connsiteY54" fmla="*/ 1546860 h 1790700"/>
              <a:gd name="connsiteX55" fmla="*/ 228600 w 899160"/>
              <a:gd name="connsiteY55" fmla="*/ 1524000 h 1790700"/>
              <a:gd name="connsiteX56" fmla="*/ 213360 w 899160"/>
              <a:gd name="connsiteY56" fmla="*/ 1501140 h 1790700"/>
              <a:gd name="connsiteX57" fmla="*/ 198120 w 899160"/>
              <a:gd name="connsiteY57" fmla="*/ 1348740 h 1790700"/>
              <a:gd name="connsiteX58" fmla="*/ 190500 w 899160"/>
              <a:gd name="connsiteY58" fmla="*/ 1325880 h 1790700"/>
              <a:gd name="connsiteX59" fmla="*/ 182880 w 899160"/>
              <a:gd name="connsiteY59" fmla="*/ 1181100 h 1790700"/>
              <a:gd name="connsiteX60" fmla="*/ 175260 w 899160"/>
              <a:gd name="connsiteY60" fmla="*/ 1143000 h 1790700"/>
              <a:gd name="connsiteX61" fmla="*/ 190500 w 899160"/>
              <a:gd name="connsiteY61" fmla="*/ 1043940 h 1790700"/>
              <a:gd name="connsiteX62" fmla="*/ 182880 w 899160"/>
              <a:gd name="connsiteY62" fmla="*/ 929640 h 1790700"/>
              <a:gd name="connsiteX63" fmla="*/ 160020 w 899160"/>
              <a:gd name="connsiteY63" fmla="*/ 914400 h 1790700"/>
              <a:gd name="connsiteX64" fmla="*/ 121920 w 899160"/>
              <a:gd name="connsiteY64" fmla="*/ 906780 h 1790700"/>
              <a:gd name="connsiteX65" fmla="*/ 53340 w 899160"/>
              <a:gd name="connsiteY65" fmla="*/ 876300 h 1790700"/>
              <a:gd name="connsiteX66" fmla="*/ 60960 w 899160"/>
              <a:gd name="connsiteY66" fmla="*/ 784860 h 1790700"/>
              <a:gd name="connsiteX67" fmla="*/ 76200 w 899160"/>
              <a:gd name="connsiteY67" fmla="*/ 731520 h 1790700"/>
              <a:gd name="connsiteX68" fmla="*/ 53340 w 899160"/>
              <a:gd name="connsiteY68" fmla="*/ 662940 h 1790700"/>
              <a:gd name="connsiteX69" fmla="*/ 45720 w 899160"/>
              <a:gd name="connsiteY69" fmla="*/ 640080 h 1790700"/>
              <a:gd name="connsiteX70" fmla="*/ 22860 w 899160"/>
              <a:gd name="connsiteY7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55320 w 899160"/>
              <a:gd name="connsiteY44" fmla="*/ 1676400 h 1790700"/>
              <a:gd name="connsiteX45" fmla="*/ 632460 w 899160"/>
              <a:gd name="connsiteY45" fmla="*/ 1729740 h 1790700"/>
              <a:gd name="connsiteX46" fmla="*/ 609600 w 899160"/>
              <a:gd name="connsiteY46" fmla="*/ 1760220 h 1790700"/>
              <a:gd name="connsiteX47" fmla="*/ 563880 w 899160"/>
              <a:gd name="connsiteY47" fmla="*/ 1775460 h 1790700"/>
              <a:gd name="connsiteX48" fmla="*/ 495300 w 899160"/>
              <a:gd name="connsiteY48" fmla="*/ 1790700 h 1790700"/>
              <a:gd name="connsiteX49" fmla="*/ 388620 w 899160"/>
              <a:gd name="connsiteY49" fmla="*/ 1783080 h 1790700"/>
              <a:gd name="connsiteX50" fmla="*/ 342900 w 899160"/>
              <a:gd name="connsiteY50" fmla="*/ 1752600 h 1790700"/>
              <a:gd name="connsiteX51" fmla="*/ 320040 w 899160"/>
              <a:gd name="connsiteY51" fmla="*/ 1737360 h 1790700"/>
              <a:gd name="connsiteX52" fmla="*/ 274320 w 899160"/>
              <a:gd name="connsiteY52" fmla="*/ 1699260 h 1790700"/>
              <a:gd name="connsiteX53" fmla="*/ 251460 w 899160"/>
              <a:gd name="connsiteY53" fmla="*/ 1546860 h 1790700"/>
              <a:gd name="connsiteX54" fmla="*/ 228600 w 899160"/>
              <a:gd name="connsiteY54" fmla="*/ 1524000 h 1790700"/>
              <a:gd name="connsiteX55" fmla="*/ 213360 w 899160"/>
              <a:gd name="connsiteY55" fmla="*/ 1501140 h 1790700"/>
              <a:gd name="connsiteX56" fmla="*/ 198120 w 899160"/>
              <a:gd name="connsiteY56" fmla="*/ 1348740 h 1790700"/>
              <a:gd name="connsiteX57" fmla="*/ 190500 w 899160"/>
              <a:gd name="connsiteY57" fmla="*/ 1325880 h 1790700"/>
              <a:gd name="connsiteX58" fmla="*/ 182880 w 899160"/>
              <a:gd name="connsiteY58" fmla="*/ 1181100 h 1790700"/>
              <a:gd name="connsiteX59" fmla="*/ 175260 w 899160"/>
              <a:gd name="connsiteY59" fmla="*/ 1143000 h 1790700"/>
              <a:gd name="connsiteX60" fmla="*/ 190500 w 899160"/>
              <a:gd name="connsiteY60" fmla="*/ 1043940 h 1790700"/>
              <a:gd name="connsiteX61" fmla="*/ 182880 w 899160"/>
              <a:gd name="connsiteY61" fmla="*/ 929640 h 1790700"/>
              <a:gd name="connsiteX62" fmla="*/ 160020 w 899160"/>
              <a:gd name="connsiteY62" fmla="*/ 914400 h 1790700"/>
              <a:gd name="connsiteX63" fmla="*/ 121920 w 899160"/>
              <a:gd name="connsiteY63" fmla="*/ 906780 h 1790700"/>
              <a:gd name="connsiteX64" fmla="*/ 53340 w 899160"/>
              <a:gd name="connsiteY64" fmla="*/ 876300 h 1790700"/>
              <a:gd name="connsiteX65" fmla="*/ 60960 w 899160"/>
              <a:gd name="connsiteY65" fmla="*/ 784860 h 1790700"/>
              <a:gd name="connsiteX66" fmla="*/ 76200 w 899160"/>
              <a:gd name="connsiteY66" fmla="*/ 731520 h 1790700"/>
              <a:gd name="connsiteX67" fmla="*/ 53340 w 899160"/>
              <a:gd name="connsiteY67" fmla="*/ 662940 h 1790700"/>
              <a:gd name="connsiteX68" fmla="*/ 45720 w 899160"/>
              <a:gd name="connsiteY68" fmla="*/ 640080 h 1790700"/>
              <a:gd name="connsiteX69" fmla="*/ 22860 w 899160"/>
              <a:gd name="connsiteY6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32460 w 899160"/>
              <a:gd name="connsiteY44" fmla="*/ 1729740 h 1790700"/>
              <a:gd name="connsiteX45" fmla="*/ 609600 w 899160"/>
              <a:gd name="connsiteY45" fmla="*/ 1760220 h 1790700"/>
              <a:gd name="connsiteX46" fmla="*/ 563880 w 899160"/>
              <a:gd name="connsiteY46" fmla="*/ 1775460 h 1790700"/>
              <a:gd name="connsiteX47" fmla="*/ 495300 w 899160"/>
              <a:gd name="connsiteY47" fmla="*/ 1790700 h 1790700"/>
              <a:gd name="connsiteX48" fmla="*/ 388620 w 899160"/>
              <a:gd name="connsiteY48" fmla="*/ 1783080 h 1790700"/>
              <a:gd name="connsiteX49" fmla="*/ 342900 w 899160"/>
              <a:gd name="connsiteY49" fmla="*/ 1752600 h 1790700"/>
              <a:gd name="connsiteX50" fmla="*/ 320040 w 899160"/>
              <a:gd name="connsiteY50" fmla="*/ 1737360 h 1790700"/>
              <a:gd name="connsiteX51" fmla="*/ 274320 w 899160"/>
              <a:gd name="connsiteY51" fmla="*/ 1699260 h 1790700"/>
              <a:gd name="connsiteX52" fmla="*/ 251460 w 899160"/>
              <a:gd name="connsiteY52" fmla="*/ 1546860 h 1790700"/>
              <a:gd name="connsiteX53" fmla="*/ 228600 w 899160"/>
              <a:gd name="connsiteY53" fmla="*/ 1524000 h 1790700"/>
              <a:gd name="connsiteX54" fmla="*/ 213360 w 899160"/>
              <a:gd name="connsiteY54" fmla="*/ 1501140 h 1790700"/>
              <a:gd name="connsiteX55" fmla="*/ 198120 w 899160"/>
              <a:gd name="connsiteY55" fmla="*/ 1348740 h 1790700"/>
              <a:gd name="connsiteX56" fmla="*/ 190500 w 899160"/>
              <a:gd name="connsiteY56" fmla="*/ 1325880 h 1790700"/>
              <a:gd name="connsiteX57" fmla="*/ 182880 w 899160"/>
              <a:gd name="connsiteY57" fmla="*/ 1181100 h 1790700"/>
              <a:gd name="connsiteX58" fmla="*/ 175260 w 899160"/>
              <a:gd name="connsiteY58" fmla="*/ 1143000 h 1790700"/>
              <a:gd name="connsiteX59" fmla="*/ 190500 w 899160"/>
              <a:gd name="connsiteY59" fmla="*/ 1043940 h 1790700"/>
              <a:gd name="connsiteX60" fmla="*/ 182880 w 899160"/>
              <a:gd name="connsiteY60" fmla="*/ 929640 h 1790700"/>
              <a:gd name="connsiteX61" fmla="*/ 160020 w 899160"/>
              <a:gd name="connsiteY61" fmla="*/ 914400 h 1790700"/>
              <a:gd name="connsiteX62" fmla="*/ 121920 w 899160"/>
              <a:gd name="connsiteY62" fmla="*/ 906780 h 1790700"/>
              <a:gd name="connsiteX63" fmla="*/ 53340 w 899160"/>
              <a:gd name="connsiteY63" fmla="*/ 876300 h 1790700"/>
              <a:gd name="connsiteX64" fmla="*/ 60960 w 899160"/>
              <a:gd name="connsiteY64" fmla="*/ 784860 h 1790700"/>
              <a:gd name="connsiteX65" fmla="*/ 76200 w 899160"/>
              <a:gd name="connsiteY65" fmla="*/ 731520 h 1790700"/>
              <a:gd name="connsiteX66" fmla="*/ 53340 w 899160"/>
              <a:gd name="connsiteY66" fmla="*/ 662940 h 1790700"/>
              <a:gd name="connsiteX67" fmla="*/ 45720 w 899160"/>
              <a:gd name="connsiteY67" fmla="*/ 640080 h 1790700"/>
              <a:gd name="connsiteX68" fmla="*/ 22860 w 899160"/>
              <a:gd name="connsiteY6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685800 w 899160"/>
              <a:gd name="connsiteY41" fmla="*/ 1569720 h 1790700"/>
              <a:gd name="connsiteX42" fmla="*/ 678180 w 899160"/>
              <a:gd name="connsiteY42" fmla="*/ 1592580 h 1790700"/>
              <a:gd name="connsiteX43" fmla="*/ 632460 w 899160"/>
              <a:gd name="connsiteY43" fmla="*/ 1729740 h 1790700"/>
              <a:gd name="connsiteX44" fmla="*/ 609600 w 899160"/>
              <a:gd name="connsiteY44" fmla="*/ 1760220 h 1790700"/>
              <a:gd name="connsiteX45" fmla="*/ 563880 w 899160"/>
              <a:gd name="connsiteY45" fmla="*/ 1775460 h 1790700"/>
              <a:gd name="connsiteX46" fmla="*/ 495300 w 899160"/>
              <a:gd name="connsiteY46" fmla="*/ 1790700 h 1790700"/>
              <a:gd name="connsiteX47" fmla="*/ 388620 w 899160"/>
              <a:gd name="connsiteY47" fmla="*/ 1783080 h 1790700"/>
              <a:gd name="connsiteX48" fmla="*/ 342900 w 899160"/>
              <a:gd name="connsiteY48" fmla="*/ 1752600 h 1790700"/>
              <a:gd name="connsiteX49" fmla="*/ 320040 w 899160"/>
              <a:gd name="connsiteY49" fmla="*/ 1737360 h 1790700"/>
              <a:gd name="connsiteX50" fmla="*/ 274320 w 899160"/>
              <a:gd name="connsiteY50" fmla="*/ 1699260 h 1790700"/>
              <a:gd name="connsiteX51" fmla="*/ 251460 w 899160"/>
              <a:gd name="connsiteY51" fmla="*/ 1546860 h 1790700"/>
              <a:gd name="connsiteX52" fmla="*/ 228600 w 899160"/>
              <a:gd name="connsiteY52" fmla="*/ 1524000 h 1790700"/>
              <a:gd name="connsiteX53" fmla="*/ 213360 w 899160"/>
              <a:gd name="connsiteY53" fmla="*/ 1501140 h 1790700"/>
              <a:gd name="connsiteX54" fmla="*/ 198120 w 899160"/>
              <a:gd name="connsiteY54" fmla="*/ 1348740 h 1790700"/>
              <a:gd name="connsiteX55" fmla="*/ 190500 w 899160"/>
              <a:gd name="connsiteY55" fmla="*/ 1325880 h 1790700"/>
              <a:gd name="connsiteX56" fmla="*/ 182880 w 899160"/>
              <a:gd name="connsiteY56" fmla="*/ 1181100 h 1790700"/>
              <a:gd name="connsiteX57" fmla="*/ 175260 w 899160"/>
              <a:gd name="connsiteY57" fmla="*/ 1143000 h 1790700"/>
              <a:gd name="connsiteX58" fmla="*/ 190500 w 899160"/>
              <a:gd name="connsiteY58" fmla="*/ 1043940 h 1790700"/>
              <a:gd name="connsiteX59" fmla="*/ 182880 w 899160"/>
              <a:gd name="connsiteY59" fmla="*/ 929640 h 1790700"/>
              <a:gd name="connsiteX60" fmla="*/ 160020 w 899160"/>
              <a:gd name="connsiteY60" fmla="*/ 914400 h 1790700"/>
              <a:gd name="connsiteX61" fmla="*/ 121920 w 899160"/>
              <a:gd name="connsiteY61" fmla="*/ 906780 h 1790700"/>
              <a:gd name="connsiteX62" fmla="*/ 53340 w 899160"/>
              <a:gd name="connsiteY62" fmla="*/ 876300 h 1790700"/>
              <a:gd name="connsiteX63" fmla="*/ 60960 w 899160"/>
              <a:gd name="connsiteY63" fmla="*/ 784860 h 1790700"/>
              <a:gd name="connsiteX64" fmla="*/ 76200 w 899160"/>
              <a:gd name="connsiteY64" fmla="*/ 731520 h 1790700"/>
              <a:gd name="connsiteX65" fmla="*/ 53340 w 899160"/>
              <a:gd name="connsiteY65" fmla="*/ 662940 h 1790700"/>
              <a:gd name="connsiteX66" fmla="*/ 45720 w 899160"/>
              <a:gd name="connsiteY66" fmla="*/ 640080 h 1790700"/>
              <a:gd name="connsiteX67" fmla="*/ 22860 w 899160"/>
              <a:gd name="connsiteY6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769620 w 899160"/>
              <a:gd name="connsiteY38" fmla="*/ 1386840 h 1790700"/>
              <a:gd name="connsiteX39" fmla="*/ 754380 w 899160"/>
              <a:gd name="connsiteY39" fmla="*/ 1409700 h 1790700"/>
              <a:gd name="connsiteX40" fmla="*/ 685800 w 899160"/>
              <a:gd name="connsiteY40" fmla="*/ 1569720 h 1790700"/>
              <a:gd name="connsiteX41" fmla="*/ 678180 w 899160"/>
              <a:gd name="connsiteY41" fmla="*/ 1592580 h 1790700"/>
              <a:gd name="connsiteX42" fmla="*/ 632460 w 899160"/>
              <a:gd name="connsiteY42" fmla="*/ 1729740 h 1790700"/>
              <a:gd name="connsiteX43" fmla="*/ 609600 w 899160"/>
              <a:gd name="connsiteY43" fmla="*/ 1760220 h 1790700"/>
              <a:gd name="connsiteX44" fmla="*/ 563880 w 899160"/>
              <a:gd name="connsiteY44" fmla="*/ 1775460 h 1790700"/>
              <a:gd name="connsiteX45" fmla="*/ 495300 w 899160"/>
              <a:gd name="connsiteY45" fmla="*/ 1790700 h 1790700"/>
              <a:gd name="connsiteX46" fmla="*/ 388620 w 899160"/>
              <a:gd name="connsiteY46" fmla="*/ 1783080 h 1790700"/>
              <a:gd name="connsiteX47" fmla="*/ 342900 w 899160"/>
              <a:gd name="connsiteY47" fmla="*/ 1752600 h 1790700"/>
              <a:gd name="connsiteX48" fmla="*/ 320040 w 899160"/>
              <a:gd name="connsiteY48" fmla="*/ 1737360 h 1790700"/>
              <a:gd name="connsiteX49" fmla="*/ 274320 w 899160"/>
              <a:gd name="connsiteY49" fmla="*/ 1699260 h 1790700"/>
              <a:gd name="connsiteX50" fmla="*/ 251460 w 899160"/>
              <a:gd name="connsiteY50" fmla="*/ 1546860 h 1790700"/>
              <a:gd name="connsiteX51" fmla="*/ 228600 w 899160"/>
              <a:gd name="connsiteY51" fmla="*/ 1524000 h 1790700"/>
              <a:gd name="connsiteX52" fmla="*/ 213360 w 899160"/>
              <a:gd name="connsiteY52" fmla="*/ 1501140 h 1790700"/>
              <a:gd name="connsiteX53" fmla="*/ 198120 w 899160"/>
              <a:gd name="connsiteY53" fmla="*/ 1348740 h 1790700"/>
              <a:gd name="connsiteX54" fmla="*/ 190500 w 899160"/>
              <a:gd name="connsiteY54" fmla="*/ 1325880 h 1790700"/>
              <a:gd name="connsiteX55" fmla="*/ 182880 w 899160"/>
              <a:gd name="connsiteY55" fmla="*/ 1181100 h 1790700"/>
              <a:gd name="connsiteX56" fmla="*/ 175260 w 899160"/>
              <a:gd name="connsiteY56" fmla="*/ 1143000 h 1790700"/>
              <a:gd name="connsiteX57" fmla="*/ 190500 w 899160"/>
              <a:gd name="connsiteY57" fmla="*/ 1043940 h 1790700"/>
              <a:gd name="connsiteX58" fmla="*/ 182880 w 899160"/>
              <a:gd name="connsiteY58" fmla="*/ 929640 h 1790700"/>
              <a:gd name="connsiteX59" fmla="*/ 160020 w 899160"/>
              <a:gd name="connsiteY59" fmla="*/ 914400 h 1790700"/>
              <a:gd name="connsiteX60" fmla="*/ 121920 w 899160"/>
              <a:gd name="connsiteY60" fmla="*/ 906780 h 1790700"/>
              <a:gd name="connsiteX61" fmla="*/ 53340 w 899160"/>
              <a:gd name="connsiteY61" fmla="*/ 876300 h 1790700"/>
              <a:gd name="connsiteX62" fmla="*/ 60960 w 899160"/>
              <a:gd name="connsiteY62" fmla="*/ 784860 h 1790700"/>
              <a:gd name="connsiteX63" fmla="*/ 76200 w 899160"/>
              <a:gd name="connsiteY63" fmla="*/ 731520 h 1790700"/>
              <a:gd name="connsiteX64" fmla="*/ 53340 w 899160"/>
              <a:gd name="connsiteY64" fmla="*/ 662940 h 1790700"/>
              <a:gd name="connsiteX65" fmla="*/ 45720 w 899160"/>
              <a:gd name="connsiteY65" fmla="*/ 640080 h 1790700"/>
              <a:gd name="connsiteX66" fmla="*/ 22860 w 899160"/>
              <a:gd name="connsiteY6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769620 w 899160"/>
              <a:gd name="connsiteY37" fmla="*/ 1386840 h 1790700"/>
              <a:gd name="connsiteX38" fmla="*/ 754380 w 899160"/>
              <a:gd name="connsiteY38" fmla="*/ 1409700 h 1790700"/>
              <a:gd name="connsiteX39" fmla="*/ 685800 w 899160"/>
              <a:gd name="connsiteY39" fmla="*/ 1569720 h 1790700"/>
              <a:gd name="connsiteX40" fmla="*/ 678180 w 899160"/>
              <a:gd name="connsiteY40" fmla="*/ 1592580 h 1790700"/>
              <a:gd name="connsiteX41" fmla="*/ 632460 w 899160"/>
              <a:gd name="connsiteY41" fmla="*/ 1729740 h 1790700"/>
              <a:gd name="connsiteX42" fmla="*/ 609600 w 899160"/>
              <a:gd name="connsiteY42" fmla="*/ 1760220 h 1790700"/>
              <a:gd name="connsiteX43" fmla="*/ 563880 w 899160"/>
              <a:gd name="connsiteY43" fmla="*/ 1775460 h 1790700"/>
              <a:gd name="connsiteX44" fmla="*/ 495300 w 899160"/>
              <a:gd name="connsiteY44" fmla="*/ 1790700 h 1790700"/>
              <a:gd name="connsiteX45" fmla="*/ 388620 w 899160"/>
              <a:gd name="connsiteY45" fmla="*/ 1783080 h 1790700"/>
              <a:gd name="connsiteX46" fmla="*/ 342900 w 899160"/>
              <a:gd name="connsiteY46" fmla="*/ 1752600 h 1790700"/>
              <a:gd name="connsiteX47" fmla="*/ 320040 w 899160"/>
              <a:gd name="connsiteY47" fmla="*/ 1737360 h 1790700"/>
              <a:gd name="connsiteX48" fmla="*/ 274320 w 899160"/>
              <a:gd name="connsiteY48" fmla="*/ 1699260 h 1790700"/>
              <a:gd name="connsiteX49" fmla="*/ 251460 w 899160"/>
              <a:gd name="connsiteY49" fmla="*/ 1546860 h 1790700"/>
              <a:gd name="connsiteX50" fmla="*/ 228600 w 899160"/>
              <a:gd name="connsiteY50" fmla="*/ 1524000 h 1790700"/>
              <a:gd name="connsiteX51" fmla="*/ 213360 w 899160"/>
              <a:gd name="connsiteY51" fmla="*/ 1501140 h 1790700"/>
              <a:gd name="connsiteX52" fmla="*/ 198120 w 899160"/>
              <a:gd name="connsiteY52" fmla="*/ 1348740 h 1790700"/>
              <a:gd name="connsiteX53" fmla="*/ 190500 w 899160"/>
              <a:gd name="connsiteY53" fmla="*/ 1325880 h 1790700"/>
              <a:gd name="connsiteX54" fmla="*/ 182880 w 899160"/>
              <a:gd name="connsiteY54" fmla="*/ 1181100 h 1790700"/>
              <a:gd name="connsiteX55" fmla="*/ 175260 w 899160"/>
              <a:gd name="connsiteY55" fmla="*/ 1143000 h 1790700"/>
              <a:gd name="connsiteX56" fmla="*/ 190500 w 899160"/>
              <a:gd name="connsiteY56" fmla="*/ 1043940 h 1790700"/>
              <a:gd name="connsiteX57" fmla="*/ 182880 w 899160"/>
              <a:gd name="connsiteY57" fmla="*/ 929640 h 1790700"/>
              <a:gd name="connsiteX58" fmla="*/ 160020 w 899160"/>
              <a:gd name="connsiteY58" fmla="*/ 914400 h 1790700"/>
              <a:gd name="connsiteX59" fmla="*/ 121920 w 899160"/>
              <a:gd name="connsiteY59" fmla="*/ 906780 h 1790700"/>
              <a:gd name="connsiteX60" fmla="*/ 53340 w 899160"/>
              <a:gd name="connsiteY60" fmla="*/ 876300 h 1790700"/>
              <a:gd name="connsiteX61" fmla="*/ 60960 w 899160"/>
              <a:gd name="connsiteY61" fmla="*/ 784860 h 1790700"/>
              <a:gd name="connsiteX62" fmla="*/ 76200 w 899160"/>
              <a:gd name="connsiteY62" fmla="*/ 731520 h 1790700"/>
              <a:gd name="connsiteX63" fmla="*/ 53340 w 899160"/>
              <a:gd name="connsiteY63" fmla="*/ 662940 h 1790700"/>
              <a:gd name="connsiteX64" fmla="*/ 45720 w 899160"/>
              <a:gd name="connsiteY64" fmla="*/ 640080 h 1790700"/>
              <a:gd name="connsiteX65" fmla="*/ 22860 w 899160"/>
              <a:gd name="connsiteY6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754380 w 899160"/>
              <a:gd name="connsiteY37" fmla="*/ 1409700 h 1790700"/>
              <a:gd name="connsiteX38" fmla="*/ 685800 w 899160"/>
              <a:gd name="connsiteY38" fmla="*/ 1569720 h 1790700"/>
              <a:gd name="connsiteX39" fmla="*/ 678180 w 899160"/>
              <a:gd name="connsiteY39" fmla="*/ 1592580 h 1790700"/>
              <a:gd name="connsiteX40" fmla="*/ 632460 w 899160"/>
              <a:gd name="connsiteY40" fmla="*/ 1729740 h 1790700"/>
              <a:gd name="connsiteX41" fmla="*/ 609600 w 899160"/>
              <a:gd name="connsiteY41" fmla="*/ 1760220 h 1790700"/>
              <a:gd name="connsiteX42" fmla="*/ 563880 w 899160"/>
              <a:gd name="connsiteY42" fmla="*/ 1775460 h 1790700"/>
              <a:gd name="connsiteX43" fmla="*/ 495300 w 899160"/>
              <a:gd name="connsiteY43" fmla="*/ 1790700 h 1790700"/>
              <a:gd name="connsiteX44" fmla="*/ 388620 w 899160"/>
              <a:gd name="connsiteY44" fmla="*/ 1783080 h 1790700"/>
              <a:gd name="connsiteX45" fmla="*/ 342900 w 899160"/>
              <a:gd name="connsiteY45" fmla="*/ 1752600 h 1790700"/>
              <a:gd name="connsiteX46" fmla="*/ 320040 w 899160"/>
              <a:gd name="connsiteY46" fmla="*/ 1737360 h 1790700"/>
              <a:gd name="connsiteX47" fmla="*/ 274320 w 899160"/>
              <a:gd name="connsiteY47" fmla="*/ 1699260 h 1790700"/>
              <a:gd name="connsiteX48" fmla="*/ 251460 w 899160"/>
              <a:gd name="connsiteY48" fmla="*/ 1546860 h 1790700"/>
              <a:gd name="connsiteX49" fmla="*/ 228600 w 899160"/>
              <a:gd name="connsiteY49" fmla="*/ 1524000 h 1790700"/>
              <a:gd name="connsiteX50" fmla="*/ 213360 w 899160"/>
              <a:gd name="connsiteY50" fmla="*/ 1501140 h 1790700"/>
              <a:gd name="connsiteX51" fmla="*/ 198120 w 899160"/>
              <a:gd name="connsiteY51" fmla="*/ 1348740 h 1790700"/>
              <a:gd name="connsiteX52" fmla="*/ 190500 w 899160"/>
              <a:gd name="connsiteY52" fmla="*/ 1325880 h 1790700"/>
              <a:gd name="connsiteX53" fmla="*/ 182880 w 899160"/>
              <a:gd name="connsiteY53" fmla="*/ 1181100 h 1790700"/>
              <a:gd name="connsiteX54" fmla="*/ 175260 w 899160"/>
              <a:gd name="connsiteY54" fmla="*/ 1143000 h 1790700"/>
              <a:gd name="connsiteX55" fmla="*/ 190500 w 899160"/>
              <a:gd name="connsiteY55" fmla="*/ 1043940 h 1790700"/>
              <a:gd name="connsiteX56" fmla="*/ 182880 w 899160"/>
              <a:gd name="connsiteY56" fmla="*/ 929640 h 1790700"/>
              <a:gd name="connsiteX57" fmla="*/ 160020 w 899160"/>
              <a:gd name="connsiteY57" fmla="*/ 914400 h 1790700"/>
              <a:gd name="connsiteX58" fmla="*/ 121920 w 899160"/>
              <a:gd name="connsiteY58" fmla="*/ 906780 h 1790700"/>
              <a:gd name="connsiteX59" fmla="*/ 53340 w 899160"/>
              <a:gd name="connsiteY59" fmla="*/ 876300 h 1790700"/>
              <a:gd name="connsiteX60" fmla="*/ 60960 w 899160"/>
              <a:gd name="connsiteY60" fmla="*/ 784860 h 1790700"/>
              <a:gd name="connsiteX61" fmla="*/ 76200 w 899160"/>
              <a:gd name="connsiteY61" fmla="*/ 731520 h 1790700"/>
              <a:gd name="connsiteX62" fmla="*/ 53340 w 899160"/>
              <a:gd name="connsiteY62" fmla="*/ 662940 h 1790700"/>
              <a:gd name="connsiteX63" fmla="*/ 45720 w 899160"/>
              <a:gd name="connsiteY63" fmla="*/ 640080 h 1790700"/>
              <a:gd name="connsiteX64" fmla="*/ 22860 w 899160"/>
              <a:gd name="connsiteY6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685800 w 899160"/>
              <a:gd name="connsiteY37" fmla="*/ 1569720 h 1790700"/>
              <a:gd name="connsiteX38" fmla="*/ 678180 w 899160"/>
              <a:gd name="connsiteY38" fmla="*/ 1592580 h 1790700"/>
              <a:gd name="connsiteX39" fmla="*/ 632460 w 899160"/>
              <a:gd name="connsiteY39" fmla="*/ 1729740 h 1790700"/>
              <a:gd name="connsiteX40" fmla="*/ 609600 w 899160"/>
              <a:gd name="connsiteY40" fmla="*/ 1760220 h 1790700"/>
              <a:gd name="connsiteX41" fmla="*/ 563880 w 899160"/>
              <a:gd name="connsiteY41" fmla="*/ 1775460 h 1790700"/>
              <a:gd name="connsiteX42" fmla="*/ 495300 w 899160"/>
              <a:gd name="connsiteY42" fmla="*/ 1790700 h 1790700"/>
              <a:gd name="connsiteX43" fmla="*/ 388620 w 899160"/>
              <a:gd name="connsiteY43" fmla="*/ 1783080 h 1790700"/>
              <a:gd name="connsiteX44" fmla="*/ 342900 w 899160"/>
              <a:gd name="connsiteY44" fmla="*/ 1752600 h 1790700"/>
              <a:gd name="connsiteX45" fmla="*/ 320040 w 899160"/>
              <a:gd name="connsiteY45" fmla="*/ 1737360 h 1790700"/>
              <a:gd name="connsiteX46" fmla="*/ 274320 w 899160"/>
              <a:gd name="connsiteY46" fmla="*/ 1699260 h 1790700"/>
              <a:gd name="connsiteX47" fmla="*/ 251460 w 899160"/>
              <a:gd name="connsiteY47" fmla="*/ 1546860 h 1790700"/>
              <a:gd name="connsiteX48" fmla="*/ 228600 w 899160"/>
              <a:gd name="connsiteY48" fmla="*/ 1524000 h 1790700"/>
              <a:gd name="connsiteX49" fmla="*/ 213360 w 899160"/>
              <a:gd name="connsiteY49" fmla="*/ 1501140 h 1790700"/>
              <a:gd name="connsiteX50" fmla="*/ 198120 w 899160"/>
              <a:gd name="connsiteY50" fmla="*/ 1348740 h 1790700"/>
              <a:gd name="connsiteX51" fmla="*/ 190500 w 899160"/>
              <a:gd name="connsiteY51" fmla="*/ 1325880 h 1790700"/>
              <a:gd name="connsiteX52" fmla="*/ 182880 w 899160"/>
              <a:gd name="connsiteY52" fmla="*/ 1181100 h 1790700"/>
              <a:gd name="connsiteX53" fmla="*/ 175260 w 899160"/>
              <a:gd name="connsiteY53" fmla="*/ 1143000 h 1790700"/>
              <a:gd name="connsiteX54" fmla="*/ 190500 w 899160"/>
              <a:gd name="connsiteY54" fmla="*/ 1043940 h 1790700"/>
              <a:gd name="connsiteX55" fmla="*/ 182880 w 899160"/>
              <a:gd name="connsiteY55" fmla="*/ 929640 h 1790700"/>
              <a:gd name="connsiteX56" fmla="*/ 160020 w 899160"/>
              <a:gd name="connsiteY56" fmla="*/ 914400 h 1790700"/>
              <a:gd name="connsiteX57" fmla="*/ 121920 w 899160"/>
              <a:gd name="connsiteY57" fmla="*/ 906780 h 1790700"/>
              <a:gd name="connsiteX58" fmla="*/ 53340 w 899160"/>
              <a:gd name="connsiteY58" fmla="*/ 876300 h 1790700"/>
              <a:gd name="connsiteX59" fmla="*/ 60960 w 899160"/>
              <a:gd name="connsiteY59" fmla="*/ 784860 h 1790700"/>
              <a:gd name="connsiteX60" fmla="*/ 76200 w 899160"/>
              <a:gd name="connsiteY60" fmla="*/ 731520 h 1790700"/>
              <a:gd name="connsiteX61" fmla="*/ 53340 w 899160"/>
              <a:gd name="connsiteY61" fmla="*/ 662940 h 1790700"/>
              <a:gd name="connsiteX62" fmla="*/ 45720 w 899160"/>
              <a:gd name="connsiteY62" fmla="*/ 640080 h 1790700"/>
              <a:gd name="connsiteX63" fmla="*/ 22860 w 899160"/>
              <a:gd name="connsiteY6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78180 w 899160"/>
              <a:gd name="connsiteY37" fmla="*/ 1592580 h 1790700"/>
              <a:gd name="connsiteX38" fmla="*/ 632460 w 899160"/>
              <a:gd name="connsiteY38" fmla="*/ 1729740 h 1790700"/>
              <a:gd name="connsiteX39" fmla="*/ 609600 w 899160"/>
              <a:gd name="connsiteY39" fmla="*/ 1760220 h 1790700"/>
              <a:gd name="connsiteX40" fmla="*/ 563880 w 899160"/>
              <a:gd name="connsiteY40" fmla="*/ 1775460 h 1790700"/>
              <a:gd name="connsiteX41" fmla="*/ 495300 w 899160"/>
              <a:gd name="connsiteY41" fmla="*/ 1790700 h 1790700"/>
              <a:gd name="connsiteX42" fmla="*/ 388620 w 899160"/>
              <a:gd name="connsiteY42" fmla="*/ 1783080 h 1790700"/>
              <a:gd name="connsiteX43" fmla="*/ 342900 w 899160"/>
              <a:gd name="connsiteY43" fmla="*/ 1752600 h 1790700"/>
              <a:gd name="connsiteX44" fmla="*/ 320040 w 899160"/>
              <a:gd name="connsiteY44" fmla="*/ 1737360 h 1790700"/>
              <a:gd name="connsiteX45" fmla="*/ 274320 w 899160"/>
              <a:gd name="connsiteY45" fmla="*/ 1699260 h 1790700"/>
              <a:gd name="connsiteX46" fmla="*/ 251460 w 899160"/>
              <a:gd name="connsiteY46" fmla="*/ 1546860 h 1790700"/>
              <a:gd name="connsiteX47" fmla="*/ 228600 w 899160"/>
              <a:gd name="connsiteY47" fmla="*/ 1524000 h 1790700"/>
              <a:gd name="connsiteX48" fmla="*/ 213360 w 899160"/>
              <a:gd name="connsiteY48" fmla="*/ 1501140 h 1790700"/>
              <a:gd name="connsiteX49" fmla="*/ 198120 w 899160"/>
              <a:gd name="connsiteY49" fmla="*/ 1348740 h 1790700"/>
              <a:gd name="connsiteX50" fmla="*/ 190500 w 899160"/>
              <a:gd name="connsiteY50" fmla="*/ 1325880 h 1790700"/>
              <a:gd name="connsiteX51" fmla="*/ 182880 w 899160"/>
              <a:gd name="connsiteY51" fmla="*/ 1181100 h 1790700"/>
              <a:gd name="connsiteX52" fmla="*/ 175260 w 899160"/>
              <a:gd name="connsiteY52" fmla="*/ 1143000 h 1790700"/>
              <a:gd name="connsiteX53" fmla="*/ 190500 w 899160"/>
              <a:gd name="connsiteY53" fmla="*/ 1043940 h 1790700"/>
              <a:gd name="connsiteX54" fmla="*/ 182880 w 899160"/>
              <a:gd name="connsiteY54" fmla="*/ 929640 h 1790700"/>
              <a:gd name="connsiteX55" fmla="*/ 160020 w 899160"/>
              <a:gd name="connsiteY55" fmla="*/ 914400 h 1790700"/>
              <a:gd name="connsiteX56" fmla="*/ 121920 w 899160"/>
              <a:gd name="connsiteY56" fmla="*/ 906780 h 1790700"/>
              <a:gd name="connsiteX57" fmla="*/ 53340 w 899160"/>
              <a:gd name="connsiteY57" fmla="*/ 876300 h 1790700"/>
              <a:gd name="connsiteX58" fmla="*/ 60960 w 899160"/>
              <a:gd name="connsiteY58" fmla="*/ 784860 h 1790700"/>
              <a:gd name="connsiteX59" fmla="*/ 76200 w 899160"/>
              <a:gd name="connsiteY59" fmla="*/ 731520 h 1790700"/>
              <a:gd name="connsiteX60" fmla="*/ 53340 w 899160"/>
              <a:gd name="connsiteY60" fmla="*/ 662940 h 1790700"/>
              <a:gd name="connsiteX61" fmla="*/ 45720 w 899160"/>
              <a:gd name="connsiteY61" fmla="*/ 640080 h 1790700"/>
              <a:gd name="connsiteX62" fmla="*/ 22860 w 899160"/>
              <a:gd name="connsiteY6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563880 w 899160"/>
              <a:gd name="connsiteY39" fmla="*/ 1775460 h 1790700"/>
              <a:gd name="connsiteX40" fmla="*/ 495300 w 899160"/>
              <a:gd name="connsiteY40" fmla="*/ 1790700 h 1790700"/>
              <a:gd name="connsiteX41" fmla="*/ 388620 w 899160"/>
              <a:gd name="connsiteY41" fmla="*/ 1783080 h 1790700"/>
              <a:gd name="connsiteX42" fmla="*/ 342900 w 899160"/>
              <a:gd name="connsiteY42" fmla="*/ 1752600 h 1790700"/>
              <a:gd name="connsiteX43" fmla="*/ 320040 w 899160"/>
              <a:gd name="connsiteY43" fmla="*/ 1737360 h 1790700"/>
              <a:gd name="connsiteX44" fmla="*/ 274320 w 899160"/>
              <a:gd name="connsiteY44" fmla="*/ 1699260 h 1790700"/>
              <a:gd name="connsiteX45" fmla="*/ 251460 w 899160"/>
              <a:gd name="connsiteY45" fmla="*/ 1546860 h 1790700"/>
              <a:gd name="connsiteX46" fmla="*/ 228600 w 899160"/>
              <a:gd name="connsiteY46" fmla="*/ 1524000 h 1790700"/>
              <a:gd name="connsiteX47" fmla="*/ 213360 w 899160"/>
              <a:gd name="connsiteY47" fmla="*/ 1501140 h 1790700"/>
              <a:gd name="connsiteX48" fmla="*/ 198120 w 899160"/>
              <a:gd name="connsiteY48" fmla="*/ 1348740 h 1790700"/>
              <a:gd name="connsiteX49" fmla="*/ 190500 w 899160"/>
              <a:gd name="connsiteY49" fmla="*/ 1325880 h 1790700"/>
              <a:gd name="connsiteX50" fmla="*/ 182880 w 899160"/>
              <a:gd name="connsiteY50" fmla="*/ 1181100 h 1790700"/>
              <a:gd name="connsiteX51" fmla="*/ 175260 w 899160"/>
              <a:gd name="connsiteY51" fmla="*/ 1143000 h 1790700"/>
              <a:gd name="connsiteX52" fmla="*/ 190500 w 899160"/>
              <a:gd name="connsiteY52" fmla="*/ 1043940 h 1790700"/>
              <a:gd name="connsiteX53" fmla="*/ 182880 w 899160"/>
              <a:gd name="connsiteY53" fmla="*/ 929640 h 1790700"/>
              <a:gd name="connsiteX54" fmla="*/ 160020 w 899160"/>
              <a:gd name="connsiteY54" fmla="*/ 914400 h 1790700"/>
              <a:gd name="connsiteX55" fmla="*/ 121920 w 899160"/>
              <a:gd name="connsiteY55" fmla="*/ 906780 h 1790700"/>
              <a:gd name="connsiteX56" fmla="*/ 53340 w 899160"/>
              <a:gd name="connsiteY56" fmla="*/ 876300 h 1790700"/>
              <a:gd name="connsiteX57" fmla="*/ 60960 w 899160"/>
              <a:gd name="connsiteY57" fmla="*/ 784860 h 1790700"/>
              <a:gd name="connsiteX58" fmla="*/ 76200 w 899160"/>
              <a:gd name="connsiteY58" fmla="*/ 731520 h 1790700"/>
              <a:gd name="connsiteX59" fmla="*/ 53340 w 899160"/>
              <a:gd name="connsiteY59" fmla="*/ 662940 h 1790700"/>
              <a:gd name="connsiteX60" fmla="*/ 45720 w 899160"/>
              <a:gd name="connsiteY60" fmla="*/ 640080 h 1790700"/>
              <a:gd name="connsiteX61" fmla="*/ 22860 w 899160"/>
              <a:gd name="connsiteY6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88620 w 899160"/>
              <a:gd name="connsiteY40" fmla="*/ 1783080 h 1790700"/>
              <a:gd name="connsiteX41" fmla="*/ 342900 w 899160"/>
              <a:gd name="connsiteY41" fmla="*/ 1752600 h 1790700"/>
              <a:gd name="connsiteX42" fmla="*/ 320040 w 899160"/>
              <a:gd name="connsiteY42" fmla="*/ 1737360 h 1790700"/>
              <a:gd name="connsiteX43" fmla="*/ 274320 w 899160"/>
              <a:gd name="connsiteY43" fmla="*/ 1699260 h 1790700"/>
              <a:gd name="connsiteX44" fmla="*/ 251460 w 899160"/>
              <a:gd name="connsiteY44" fmla="*/ 1546860 h 1790700"/>
              <a:gd name="connsiteX45" fmla="*/ 228600 w 899160"/>
              <a:gd name="connsiteY45" fmla="*/ 1524000 h 1790700"/>
              <a:gd name="connsiteX46" fmla="*/ 213360 w 899160"/>
              <a:gd name="connsiteY46" fmla="*/ 1501140 h 1790700"/>
              <a:gd name="connsiteX47" fmla="*/ 198120 w 899160"/>
              <a:gd name="connsiteY47" fmla="*/ 1348740 h 1790700"/>
              <a:gd name="connsiteX48" fmla="*/ 190500 w 899160"/>
              <a:gd name="connsiteY48" fmla="*/ 1325880 h 1790700"/>
              <a:gd name="connsiteX49" fmla="*/ 182880 w 899160"/>
              <a:gd name="connsiteY49" fmla="*/ 1181100 h 1790700"/>
              <a:gd name="connsiteX50" fmla="*/ 175260 w 899160"/>
              <a:gd name="connsiteY50" fmla="*/ 1143000 h 1790700"/>
              <a:gd name="connsiteX51" fmla="*/ 190500 w 899160"/>
              <a:gd name="connsiteY51" fmla="*/ 1043940 h 1790700"/>
              <a:gd name="connsiteX52" fmla="*/ 182880 w 899160"/>
              <a:gd name="connsiteY52" fmla="*/ 929640 h 1790700"/>
              <a:gd name="connsiteX53" fmla="*/ 160020 w 899160"/>
              <a:gd name="connsiteY53" fmla="*/ 914400 h 1790700"/>
              <a:gd name="connsiteX54" fmla="*/ 121920 w 899160"/>
              <a:gd name="connsiteY54" fmla="*/ 906780 h 1790700"/>
              <a:gd name="connsiteX55" fmla="*/ 53340 w 899160"/>
              <a:gd name="connsiteY55" fmla="*/ 876300 h 1790700"/>
              <a:gd name="connsiteX56" fmla="*/ 60960 w 899160"/>
              <a:gd name="connsiteY56" fmla="*/ 784860 h 1790700"/>
              <a:gd name="connsiteX57" fmla="*/ 76200 w 899160"/>
              <a:gd name="connsiteY57" fmla="*/ 731520 h 1790700"/>
              <a:gd name="connsiteX58" fmla="*/ 53340 w 899160"/>
              <a:gd name="connsiteY58" fmla="*/ 662940 h 1790700"/>
              <a:gd name="connsiteX59" fmla="*/ 45720 w 899160"/>
              <a:gd name="connsiteY59" fmla="*/ 640080 h 1790700"/>
              <a:gd name="connsiteX60" fmla="*/ 22860 w 899160"/>
              <a:gd name="connsiteY6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74320 w 899160"/>
              <a:gd name="connsiteY42" fmla="*/ 1699260 h 1790700"/>
              <a:gd name="connsiteX43" fmla="*/ 251460 w 899160"/>
              <a:gd name="connsiteY43" fmla="*/ 1546860 h 1790700"/>
              <a:gd name="connsiteX44" fmla="*/ 228600 w 899160"/>
              <a:gd name="connsiteY44" fmla="*/ 1524000 h 1790700"/>
              <a:gd name="connsiteX45" fmla="*/ 213360 w 899160"/>
              <a:gd name="connsiteY45" fmla="*/ 1501140 h 1790700"/>
              <a:gd name="connsiteX46" fmla="*/ 198120 w 899160"/>
              <a:gd name="connsiteY46" fmla="*/ 1348740 h 1790700"/>
              <a:gd name="connsiteX47" fmla="*/ 190500 w 899160"/>
              <a:gd name="connsiteY47" fmla="*/ 1325880 h 1790700"/>
              <a:gd name="connsiteX48" fmla="*/ 182880 w 899160"/>
              <a:gd name="connsiteY48" fmla="*/ 1181100 h 1790700"/>
              <a:gd name="connsiteX49" fmla="*/ 175260 w 899160"/>
              <a:gd name="connsiteY49" fmla="*/ 1143000 h 1790700"/>
              <a:gd name="connsiteX50" fmla="*/ 190500 w 899160"/>
              <a:gd name="connsiteY50" fmla="*/ 1043940 h 1790700"/>
              <a:gd name="connsiteX51" fmla="*/ 182880 w 899160"/>
              <a:gd name="connsiteY51" fmla="*/ 929640 h 1790700"/>
              <a:gd name="connsiteX52" fmla="*/ 160020 w 899160"/>
              <a:gd name="connsiteY52" fmla="*/ 914400 h 1790700"/>
              <a:gd name="connsiteX53" fmla="*/ 121920 w 899160"/>
              <a:gd name="connsiteY53" fmla="*/ 906780 h 1790700"/>
              <a:gd name="connsiteX54" fmla="*/ 53340 w 899160"/>
              <a:gd name="connsiteY54" fmla="*/ 876300 h 1790700"/>
              <a:gd name="connsiteX55" fmla="*/ 60960 w 899160"/>
              <a:gd name="connsiteY55" fmla="*/ 784860 h 1790700"/>
              <a:gd name="connsiteX56" fmla="*/ 76200 w 899160"/>
              <a:gd name="connsiteY56" fmla="*/ 731520 h 1790700"/>
              <a:gd name="connsiteX57" fmla="*/ 53340 w 899160"/>
              <a:gd name="connsiteY57" fmla="*/ 662940 h 1790700"/>
              <a:gd name="connsiteX58" fmla="*/ 45720 w 899160"/>
              <a:gd name="connsiteY58" fmla="*/ 640080 h 1790700"/>
              <a:gd name="connsiteX59" fmla="*/ 22860 w 899160"/>
              <a:gd name="connsiteY5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213360 w 899160"/>
              <a:gd name="connsiteY44" fmla="*/ 1501140 h 1790700"/>
              <a:gd name="connsiteX45" fmla="*/ 198120 w 899160"/>
              <a:gd name="connsiteY45" fmla="*/ 1348740 h 1790700"/>
              <a:gd name="connsiteX46" fmla="*/ 190500 w 899160"/>
              <a:gd name="connsiteY46" fmla="*/ 1325880 h 1790700"/>
              <a:gd name="connsiteX47" fmla="*/ 182880 w 899160"/>
              <a:gd name="connsiteY47" fmla="*/ 1181100 h 1790700"/>
              <a:gd name="connsiteX48" fmla="*/ 175260 w 899160"/>
              <a:gd name="connsiteY48" fmla="*/ 1143000 h 1790700"/>
              <a:gd name="connsiteX49" fmla="*/ 190500 w 899160"/>
              <a:gd name="connsiteY49" fmla="*/ 1043940 h 1790700"/>
              <a:gd name="connsiteX50" fmla="*/ 182880 w 899160"/>
              <a:gd name="connsiteY50" fmla="*/ 929640 h 1790700"/>
              <a:gd name="connsiteX51" fmla="*/ 160020 w 899160"/>
              <a:gd name="connsiteY51" fmla="*/ 914400 h 1790700"/>
              <a:gd name="connsiteX52" fmla="*/ 121920 w 899160"/>
              <a:gd name="connsiteY52" fmla="*/ 906780 h 1790700"/>
              <a:gd name="connsiteX53" fmla="*/ 53340 w 899160"/>
              <a:gd name="connsiteY53" fmla="*/ 876300 h 1790700"/>
              <a:gd name="connsiteX54" fmla="*/ 60960 w 899160"/>
              <a:gd name="connsiteY54" fmla="*/ 784860 h 1790700"/>
              <a:gd name="connsiteX55" fmla="*/ 76200 w 899160"/>
              <a:gd name="connsiteY55" fmla="*/ 731520 h 1790700"/>
              <a:gd name="connsiteX56" fmla="*/ 53340 w 899160"/>
              <a:gd name="connsiteY56" fmla="*/ 662940 h 1790700"/>
              <a:gd name="connsiteX57" fmla="*/ 45720 w 899160"/>
              <a:gd name="connsiteY57" fmla="*/ 640080 h 1790700"/>
              <a:gd name="connsiteX58" fmla="*/ 22860 w 899160"/>
              <a:gd name="connsiteY5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198120 w 899160"/>
              <a:gd name="connsiteY44" fmla="*/ 1348740 h 1790700"/>
              <a:gd name="connsiteX45" fmla="*/ 190500 w 899160"/>
              <a:gd name="connsiteY45" fmla="*/ 1325880 h 1790700"/>
              <a:gd name="connsiteX46" fmla="*/ 182880 w 899160"/>
              <a:gd name="connsiteY46" fmla="*/ 1181100 h 1790700"/>
              <a:gd name="connsiteX47" fmla="*/ 175260 w 899160"/>
              <a:gd name="connsiteY47" fmla="*/ 1143000 h 1790700"/>
              <a:gd name="connsiteX48" fmla="*/ 190500 w 899160"/>
              <a:gd name="connsiteY48" fmla="*/ 1043940 h 1790700"/>
              <a:gd name="connsiteX49" fmla="*/ 182880 w 899160"/>
              <a:gd name="connsiteY49" fmla="*/ 929640 h 1790700"/>
              <a:gd name="connsiteX50" fmla="*/ 160020 w 899160"/>
              <a:gd name="connsiteY50" fmla="*/ 914400 h 1790700"/>
              <a:gd name="connsiteX51" fmla="*/ 121920 w 899160"/>
              <a:gd name="connsiteY51" fmla="*/ 906780 h 1790700"/>
              <a:gd name="connsiteX52" fmla="*/ 53340 w 899160"/>
              <a:gd name="connsiteY52" fmla="*/ 876300 h 1790700"/>
              <a:gd name="connsiteX53" fmla="*/ 60960 w 899160"/>
              <a:gd name="connsiteY53" fmla="*/ 784860 h 1790700"/>
              <a:gd name="connsiteX54" fmla="*/ 76200 w 899160"/>
              <a:gd name="connsiteY54" fmla="*/ 731520 h 1790700"/>
              <a:gd name="connsiteX55" fmla="*/ 53340 w 899160"/>
              <a:gd name="connsiteY55" fmla="*/ 662940 h 1790700"/>
              <a:gd name="connsiteX56" fmla="*/ 45720 w 899160"/>
              <a:gd name="connsiteY56" fmla="*/ 640080 h 1790700"/>
              <a:gd name="connsiteX57" fmla="*/ 22860 w 899160"/>
              <a:gd name="connsiteY5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198120 w 899160"/>
              <a:gd name="connsiteY43" fmla="*/ 1348740 h 1790700"/>
              <a:gd name="connsiteX44" fmla="*/ 190500 w 899160"/>
              <a:gd name="connsiteY44" fmla="*/ 1325880 h 1790700"/>
              <a:gd name="connsiteX45" fmla="*/ 182880 w 899160"/>
              <a:gd name="connsiteY45" fmla="*/ 1181100 h 1790700"/>
              <a:gd name="connsiteX46" fmla="*/ 175260 w 899160"/>
              <a:gd name="connsiteY46" fmla="*/ 1143000 h 1790700"/>
              <a:gd name="connsiteX47" fmla="*/ 190500 w 899160"/>
              <a:gd name="connsiteY47" fmla="*/ 1043940 h 1790700"/>
              <a:gd name="connsiteX48" fmla="*/ 182880 w 899160"/>
              <a:gd name="connsiteY48" fmla="*/ 929640 h 1790700"/>
              <a:gd name="connsiteX49" fmla="*/ 160020 w 899160"/>
              <a:gd name="connsiteY49" fmla="*/ 914400 h 1790700"/>
              <a:gd name="connsiteX50" fmla="*/ 121920 w 899160"/>
              <a:gd name="connsiteY50" fmla="*/ 906780 h 1790700"/>
              <a:gd name="connsiteX51" fmla="*/ 53340 w 899160"/>
              <a:gd name="connsiteY51" fmla="*/ 876300 h 1790700"/>
              <a:gd name="connsiteX52" fmla="*/ 60960 w 899160"/>
              <a:gd name="connsiteY52" fmla="*/ 784860 h 1790700"/>
              <a:gd name="connsiteX53" fmla="*/ 76200 w 899160"/>
              <a:gd name="connsiteY53" fmla="*/ 731520 h 1790700"/>
              <a:gd name="connsiteX54" fmla="*/ 53340 w 899160"/>
              <a:gd name="connsiteY54" fmla="*/ 662940 h 1790700"/>
              <a:gd name="connsiteX55" fmla="*/ 45720 w 899160"/>
              <a:gd name="connsiteY55" fmla="*/ 640080 h 1790700"/>
              <a:gd name="connsiteX56" fmla="*/ 22860 w 899160"/>
              <a:gd name="connsiteY5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198120 w 899160"/>
              <a:gd name="connsiteY42" fmla="*/ 1348740 h 1790700"/>
              <a:gd name="connsiteX43" fmla="*/ 190500 w 899160"/>
              <a:gd name="connsiteY43" fmla="*/ 1325880 h 1790700"/>
              <a:gd name="connsiteX44" fmla="*/ 182880 w 899160"/>
              <a:gd name="connsiteY44" fmla="*/ 1181100 h 1790700"/>
              <a:gd name="connsiteX45" fmla="*/ 175260 w 899160"/>
              <a:gd name="connsiteY45" fmla="*/ 1143000 h 1790700"/>
              <a:gd name="connsiteX46" fmla="*/ 190500 w 899160"/>
              <a:gd name="connsiteY46" fmla="*/ 1043940 h 1790700"/>
              <a:gd name="connsiteX47" fmla="*/ 182880 w 899160"/>
              <a:gd name="connsiteY47" fmla="*/ 929640 h 1790700"/>
              <a:gd name="connsiteX48" fmla="*/ 160020 w 899160"/>
              <a:gd name="connsiteY48" fmla="*/ 914400 h 1790700"/>
              <a:gd name="connsiteX49" fmla="*/ 121920 w 899160"/>
              <a:gd name="connsiteY49" fmla="*/ 906780 h 1790700"/>
              <a:gd name="connsiteX50" fmla="*/ 53340 w 899160"/>
              <a:gd name="connsiteY50" fmla="*/ 876300 h 1790700"/>
              <a:gd name="connsiteX51" fmla="*/ 60960 w 899160"/>
              <a:gd name="connsiteY51" fmla="*/ 784860 h 1790700"/>
              <a:gd name="connsiteX52" fmla="*/ 76200 w 899160"/>
              <a:gd name="connsiteY52" fmla="*/ 731520 h 1790700"/>
              <a:gd name="connsiteX53" fmla="*/ 53340 w 899160"/>
              <a:gd name="connsiteY53" fmla="*/ 662940 h 1790700"/>
              <a:gd name="connsiteX54" fmla="*/ 45720 w 899160"/>
              <a:gd name="connsiteY54" fmla="*/ 640080 h 1790700"/>
              <a:gd name="connsiteX55" fmla="*/ 22860 w 899160"/>
              <a:gd name="connsiteY55" fmla="*/ 640080 h 1790700"/>
              <a:gd name="connsiteX0" fmla="*/ 22860 w 899160"/>
              <a:gd name="connsiteY0" fmla="*/ 640080 h 1798798"/>
              <a:gd name="connsiteX1" fmla="*/ 22860 w 899160"/>
              <a:gd name="connsiteY1" fmla="*/ 640080 h 1798798"/>
              <a:gd name="connsiteX2" fmla="*/ 7620 w 899160"/>
              <a:gd name="connsiteY2" fmla="*/ 510540 h 1798798"/>
              <a:gd name="connsiteX3" fmla="*/ 0 w 899160"/>
              <a:gd name="connsiteY3" fmla="*/ 487680 h 1798798"/>
              <a:gd name="connsiteX4" fmla="*/ 22860 w 899160"/>
              <a:gd name="connsiteY4" fmla="*/ 373380 h 1798798"/>
              <a:gd name="connsiteX5" fmla="*/ 38100 w 899160"/>
              <a:gd name="connsiteY5" fmla="*/ 350520 h 1798798"/>
              <a:gd name="connsiteX6" fmla="*/ 60960 w 899160"/>
              <a:gd name="connsiteY6" fmla="*/ 335280 h 1798798"/>
              <a:gd name="connsiteX7" fmla="*/ 114300 w 899160"/>
              <a:gd name="connsiteY7" fmla="*/ 274320 h 1798798"/>
              <a:gd name="connsiteX8" fmla="*/ 129540 w 899160"/>
              <a:gd name="connsiteY8" fmla="*/ 251460 h 1798798"/>
              <a:gd name="connsiteX9" fmla="*/ 175260 w 899160"/>
              <a:gd name="connsiteY9" fmla="*/ 220980 h 1798798"/>
              <a:gd name="connsiteX10" fmla="*/ 190500 w 899160"/>
              <a:gd name="connsiteY10" fmla="*/ 198120 h 1798798"/>
              <a:gd name="connsiteX11" fmla="*/ 236220 w 899160"/>
              <a:gd name="connsiteY11" fmla="*/ 160020 h 1798798"/>
              <a:gd name="connsiteX12" fmla="*/ 251460 w 899160"/>
              <a:gd name="connsiteY12" fmla="*/ 137160 h 1798798"/>
              <a:gd name="connsiteX13" fmla="*/ 281940 w 899160"/>
              <a:gd name="connsiteY13" fmla="*/ 114300 h 1798798"/>
              <a:gd name="connsiteX14" fmla="*/ 304800 w 899160"/>
              <a:gd name="connsiteY14" fmla="*/ 91440 h 1798798"/>
              <a:gd name="connsiteX15" fmla="*/ 350520 w 899160"/>
              <a:gd name="connsiteY15" fmla="*/ 68580 h 1798798"/>
              <a:gd name="connsiteX16" fmla="*/ 365760 w 899160"/>
              <a:gd name="connsiteY16" fmla="*/ 45720 h 1798798"/>
              <a:gd name="connsiteX17" fmla="*/ 411480 w 899160"/>
              <a:gd name="connsiteY17" fmla="*/ 30480 h 1798798"/>
              <a:gd name="connsiteX18" fmla="*/ 434340 w 899160"/>
              <a:gd name="connsiteY18" fmla="*/ 15240 h 1798798"/>
              <a:gd name="connsiteX19" fmla="*/ 464820 w 899160"/>
              <a:gd name="connsiteY19" fmla="*/ 7620 h 1798798"/>
              <a:gd name="connsiteX20" fmla="*/ 487680 w 899160"/>
              <a:gd name="connsiteY20" fmla="*/ 0 h 1798798"/>
              <a:gd name="connsiteX21" fmla="*/ 548640 w 899160"/>
              <a:gd name="connsiteY21" fmla="*/ 22860 h 1798798"/>
              <a:gd name="connsiteX22" fmla="*/ 563880 w 899160"/>
              <a:gd name="connsiteY22" fmla="*/ 45720 h 1798798"/>
              <a:gd name="connsiteX23" fmla="*/ 586740 w 899160"/>
              <a:gd name="connsiteY23" fmla="*/ 53340 h 1798798"/>
              <a:gd name="connsiteX24" fmla="*/ 609600 w 899160"/>
              <a:gd name="connsiteY24" fmla="*/ 68580 h 1798798"/>
              <a:gd name="connsiteX25" fmla="*/ 624840 w 899160"/>
              <a:gd name="connsiteY25" fmla="*/ 91440 h 1798798"/>
              <a:gd name="connsiteX26" fmla="*/ 647700 w 899160"/>
              <a:gd name="connsiteY26" fmla="*/ 106680 h 1798798"/>
              <a:gd name="connsiteX27" fmla="*/ 678180 w 899160"/>
              <a:gd name="connsiteY27" fmla="*/ 137160 h 1798798"/>
              <a:gd name="connsiteX28" fmla="*/ 739140 w 899160"/>
              <a:gd name="connsiteY28" fmla="*/ 190500 h 1798798"/>
              <a:gd name="connsiteX29" fmla="*/ 800100 w 899160"/>
              <a:gd name="connsiteY29" fmla="*/ 259080 h 1798798"/>
              <a:gd name="connsiteX30" fmla="*/ 762000 w 899160"/>
              <a:gd name="connsiteY30" fmla="*/ 342900 h 1798798"/>
              <a:gd name="connsiteX31" fmla="*/ 769620 w 899160"/>
              <a:gd name="connsiteY31" fmla="*/ 381000 h 1798798"/>
              <a:gd name="connsiteX32" fmla="*/ 777240 w 899160"/>
              <a:gd name="connsiteY32" fmla="*/ 403860 h 1798798"/>
              <a:gd name="connsiteX33" fmla="*/ 822960 w 899160"/>
              <a:gd name="connsiteY33" fmla="*/ 419100 h 1798798"/>
              <a:gd name="connsiteX34" fmla="*/ 861060 w 899160"/>
              <a:gd name="connsiteY34" fmla="*/ 464820 h 1798798"/>
              <a:gd name="connsiteX35" fmla="*/ 899160 w 899160"/>
              <a:gd name="connsiteY35" fmla="*/ 510540 h 1798798"/>
              <a:gd name="connsiteX36" fmla="*/ 685800 w 899160"/>
              <a:gd name="connsiteY36" fmla="*/ 1569720 h 1798798"/>
              <a:gd name="connsiteX37" fmla="*/ 632460 w 899160"/>
              <a:gd name="connsiteY37" fmla="*/ 1729740 h 1798798"/>
              <a:gd name="connsiteX38" fmla="*/ 609600 w 899160"/>
              <a:gd name="connsiteY38" fmla="*/ 1760220 h 1798798"/>
              <a:gd name="connsiteX39" fmla="*/ 495300 w 899160"/>
              <a:gd name="connsiteY39" fmla="*/ 1790700 h 1798798"/>
              <a:gd name="connsiteX40" fmla="*/ 342900 w 899160"/>
              <a:gd name="connsiteY40" fmla="*/ 1752600 h 1798798"/>
              <a:gd name="connsiteX41" fmla="*/ 198120 w 899160"/>
              <a:gd name="connsiteY41" fmla="*/ 1348740 h 1798798"/>
              <a:gd name="connsiteX42" fmla="*/ 190500 w 899160"/>
              <a:gd name="connsiteY42" fmla="*/ 1325880 h 1798798"/>
              <a:gd name="connsiteX43" fmla="*/ 182880 w 899160"/>
              <a:gd name="connsiteY43" fmla="*/ 1181100 h 1798798"/>
              <a:gd name="connsiteX44" fmla="*/ 175260 w 899160"/>
              <a:gd name="connsiteY44" fmla="*/ 1143000 h 1798798"/>
              <a:gd name="connsiteX45" fmla="*/ 190500 w 899160"/>
              <a:gd name="connsiteY45" fmla="*/ 1043940 h 1798798"/>
              <a:gd name="connsiteX46" fmla="*/ 182880 w 899160"/>
              <a:gd name="connsiteY46" fmla="*/ 929640 h 1798798"/>
              <a:gd name="connsiteX47" fmla="*/ 160020 w 899160"/>
              <a:gd name="connsiteY47" fmla="*/ 914400 h 1798798"/>
              <a:gd name="connsiteX48" fmla="*/ 121920 w 899160"/>
              <a:gd name="connsiteY48" fmla="*/ 906780 h 1798798"/>
              <a:gd name="connsiteX49" fmla="*/ 53340 w 899160"/>
              <a:gd name="connsiteY49" fmla="*/ 876300 h 1798798"/>
              <a:gd name="connsiteX50" fmla="*/ 60960 w 899160"/>
              <a:gd name="connsiteY50" fmla="*/ 784860 h 1798798"/>
              <a:gd name="connsiteX51" fmla="*/ 76200 w 899160"/>
              <a:gd name="connsiteY51" fmla="*/ 731520 h 1798798"/>
              <a:gd name="connsiteX52" fmla="*/ 53340 w 899160"/>
              <a:gd name="connsiteY52" fmla="*/ 662940 h 1798798"/>
              <a:gd name="connsiteX53" fmla="*/ 45720 w 899160"/>
              <a:gd name="connsiteY53" fmla="*/ 640080 h 1798798"/>
              <a:gd name="connsiteX54" fmla="*/ 22860 w 899160"/>
              <a:gd name="connsiteY54" fmla="*/ 640080 h 1798798"/>
              <a:gd name="connsiteX0" fmla="*/ 22860 w 899160"/>
              <a:gd name="connsiteY0" fmla="*/ 640080 h 1786156"/>
              <a:gd name="connsiteX1" fmla="*/ 22860 w 899160"/>
              <a:gd name="connsiteY1" fmla="*/ 640080 h 1786156"/>
              <a:gd name="connsiteX2" fmla="*/ 7620 w 899160"/>
              <a:gd name="connsiteY2" fmla="*/ 510540 h 1786156"/>
              <a:gd name="connsiteX3" fmla="*/ 0 w 899160"/>
              <a:gd name="connsiteY3" fmla="*/ 487680 h 1786156"/>
              <a:gd name="connsiteX4" fmla="*/ 22860 w 899160"/>
              <a:gd name="connsiteY4" fmla="*/ 373380 h 1786156"/>
              <a:gd name="connsiteX5" fmla="*/ 38100 w 899160"/>
              <a:gd name="connsiteY5" fmla="*/ 350520 h 1786156"/>
              <a:gd name="connsiteX6" fmla="*/ 60960 w 899160"/>
              <a:gd name="connsiteY6" fmla="*/ 335280 h 1786156"/>
              <a:gd name="connsiteX7" fmla="*/ 114300 w 899160"/>
              <a:gd name="connsiteY7" fmla="*/ 274320 h 1786156"/>
              <a:gd name="connsiteX8" fmla="*/ 129540 w 899160"/>
              <a:gd name="connsiteY8" fmla="*/ 251460 h 1786156"/>
              <a:gd name="connsiteX9" fmla="*/ 175260 w 899160"/>
              <a:gd name="connsiteY9" fmla="*/ 220980 h 1786156"/>
              <a:gd name="connsiteX10" fmla="*/ 190500 w 899160"/>
              <a:gd name="connsiteY10" fmla="*/ 198120 h 1786156"/>
              <a:gd name="connsiteX11" fmla="*/ 236220 w 899160"/>
              <a:gd name="connsiteY11" fmla="*/ 160020 h 1786156"/>
              <a:gd name="connsiteX12" fmla="*/ 251460 w 899160"/>
              <a:gd name="connsiteY12" fmla="*/ 137160 h 1786156"/>
              <a:gd name="connsiteX13" fmla="*/ 281940 w 899160"/>
              <a:gd name="connsiteY13" fmla="*/ 114300 h 1786156"/>
              <a:gd name="connsiteX14" fmla="*/ 304800 w 899160"/>
              <a:gd name="connsiteY14" fmla="*/ 91440 h 1786156"/>
              <a:gd name="connsiteX15" fmla="*/ 350520 w 899160"/>
              <a:gd name="connsiteY15" fmla="*/ 68580 h 1786156"/>
              <a:gd name="connsiteX16" fmla="*/ 365760 w 899160"/>
              <a:gd name="connsiteY16" fmla="*/ 45720 h 1786156"/>
              <a:gd name="connsiteX17" fmla="*/ 411480 w 899160"/>
              <a:gd name="connsiteY17" fmla="*/ 30480 h 1786156"/>
              <a:gd name="connsiteX18" fmla="*/ 434340 w 899160"/>
              <a:gd name="connsiteY18" fmla="*/ 15240 h 1786156"/>
              <a:gd name="connsiteX19" fmla="*/ 464820 w 899160"/>
              <a:gd name="connsiteY19" fmla="*/ 7620 h 1786156"/>
              <a:gd name="connsiteX20" fmla="*/ 487680 w 899160"/>
              <a:gd name="connsiteY20" fmla="*/ 0 h 1786156"/>
              <a:gd name="connsiteX21" fmla="*/ 548640 w 899160"/>
              <a:gd name="connsiteY21" fmla="*/ 22860 h 1786156"/>
              <a:gd name="connsiteX22" fmla="*/ 563880 w 899160"/>
              <a:gd name="connsiteY22" fmla="*/ 45720 h 1786156"/>
              <a:gd name="connsiteX23" fmla="*/ 586740 w 899160"/>
              <a:gd name="connsiteY23" fmla="*/ 53340 h 1786156"/>
              <a:gd name="connsiteX24" fmla="*/ 609600 w 899160"/>
              <a:gd name="connsiteY24" fmla="*/ 68580 h 1786156"/>
              <a:gd name="connsiteX25" fmla="*/ 624840 w 899160"/>
              <a:gd name="connsiteY25" fmla="*/ 91440 h 1786156"/>
              <a:gd name="connsiteX26" fmla="*/ 647700 w 899160"/>
              <a:gd name="connsiteY26" fmla="*/ 106680 h 1786156"/>
              <a:gd name="connsiteX27" fmla="*/ 678180 w 899160"/>
              <a:gd name="connsiteY27" fmla="*/ 137160 h 1786156"/>
              <a:gd name="connsiteX28" fmla="*/ 739140 w 899160"/>
              <a:gd name="connsiteY28" fmla="*/ 190500 h 1786156"/>
              <a:gd name="connsiteX29" fmla="*/ 800100 w 899160"/>
              <a:gd name="connsiteY29" fmla="*/ 259080 h 1786156"/>
              <a:gd name="connsiteX30" fmla="*/ 762000 w 899160"/>
              <a:gd name="connsiteY30" fmla="*/ 342900 h 1786156"/>
              <a:gd name="connsiteX31" fmla="*/ 769620 w 899160"/>
              <a:gd name="connsiteY31" fmla="*/ 381000 h 1786156"/>
              <a:gd name="connsiteX32" fmla="*/ 777240 w 899160"/>
              <a:gd name="connsiteY32" fmla="*/ 403860 h 1786156"/>
              <a:gd name="connsiteX33" fmla="*/ 822960 w 899160"/>
              <a:gd name="connsiteY33" fmla="*/ 419100 h 1786156"/>
              <a:gd name="connsiteX34" fmla="*/ 861060 w 899160"/>
              <a:gd name="connsiteY34" fmla="*/ 464820 h 1786156"/>
              <a:gd name="connsiteX35" fmla="*/ 899160 w 899160"/>
              <a:gd name="connsiteY35" fmla="*/ 510540 h 1786156"/>
              <a:gd name="connsiteX36" fmla="*/ 685800 w 899160"/>
              <a:gd name="connsiteY36" fmla="*/ 1569720 h 1786156"/>
              <a:gd name="connsiteX37" fmla="*/ 632460 w 899160"/>
              <a:gd name="connsiteY37" fmla="*/ 1729740 h 1786156"/>
              <a:gd name="connsiteX38" fmla="*/ 609600 w 899160"/>
              <a:gd name="connsiteY38" fmla="*/ 1760220 h 1786156"/>
              <a:gd name="connsiteX39" fmla="*/ 342900 w 899160"/>
              <a:gd name="connsiteY39" fmla="*/ 1752600 h 1786156"/>
              <a:gd name="connsiteX40" fmla="*/ 198120 w 899160"/>
              <a:gd name="connsiteY40" fmla="*/ 1348740 h 1786156"/>
              <a:gd name="connsiteX41" fmla="*/ 190500 w 899160"/>
              <a:gd name="connsiteY41" fmla="*/ 1325880 h 1786156"/>
              <a:gd name="connsiteX42" fmla="*/ 182880 w 899160"/>
              <a:gd name="connsiteY42" fmla="*/ 1181100 h 1786156"/>
              <a:gd name="connsiteX43" fmla="*/ 175260 w 899160"/>
              <a:gd name="connsiteY43" fmla="*/ 1143000 h 1786156"/>
              <a:gd name="connsiteX44" fmla="*/ 190500 w 899160"/>
              <a:gd name="connsiteY44" fmla="*/ 1043940 h 1786156"/>
              <a:gd name="connsiteX45" fmla="*/ 182880 w 899160"/>
              <a:gd name="connsiteY45" fmla="*/ 929640 h 1786156"/>
              <a:gd name="connsiteX46" fmla="*/ 160020 w 899160"/>
              <a:gd name="connsiteY46" fmla="*/ 914400 h 1786156"/>
              <a:gd name="connsiteX47" fmla="*/ 121920 w 899160"/>
              <a:gd name="connsiteY47" fmla="*/ 906780 h 1786156"/>
              <a:gd name="connsiteX48" fmla="*/ 53340 w 899160"/>
              <a:gd name="connsiteY48" fmla="*/ 876300 h 1786156"/>
              <a:gd name="connsiteX49" fmla="*/ 60960 w 899160"/>
              <a:gd name="connsiteY49" fmla="*/ 784860 h 1786156"/>
              <a:gd name="connsiteX50" fmla="*/ 76200 w 899160"/>
              <a:gd name="connsiteY50" fmla="*/ 731520 h 1786156"/>
              <a:gd name="connsiteX51" fmla="*/ 53340 w 899160"/>
              <a:gd name="connsiteY51" fmla="*/ 662940 h 1786156"/>
              <a:gd name="connsiteX52" fmla="*/ 45720 w 899160"/>
              <a:gd name="connsiteY52" fmla="*/ 640080 h 1786156"/>
              <a:gd name="connsiteX53" fmla="*/ 22860 w 899160"/>
              <a:gd name="connsiteY53" fmla="*/ 640080 h 1786156"/>
              <a:gd name="connsiteX0" fmla="*/ 22860 w 899160"/>
              <a:gd name="connsiteY0" fmla="*/ 640080 h 1781668"/>
              <a:gd name="connsiteX1" fmla="*/ 22860 w 899160"/>
              <a:gd name="connsiteY1" fmla="*/ 640080 h 1781668"/>
              <a:gd name="connsiteX2" fmla="*/ 7620 w 899160"/>
              <a:gd name="connsiteY2" fmla="*/ 510540 h 1781668"/>
              <a:gd name="connsiteX3" fmla="*/ 0 w 899160"/>
              <a:gd name="connsiteY3" fmla="*/ 487680 h 1781668"/>
              <a:gd name="connsiteX4" fmla="*/ 22860 w 899160"/>
              <a:gd name="connsiteY4" fmla="*/ 373380 h 1781668"/>
              <a:gd name="connsiteX5" fmla="*/ 38100 w 899160"/>
              <a:gd name="connsiteY5" fmla="*/ 350520 h 1781668"/>
              <a:gd name="connsiteX6" fmla="*/ 60960 w 899160"/>
              <a:gd name="connsiteY6" fmla="*/ 335280 h 1781668"/>
              <a:gd name="connsiteX7" fmla="*/ 114300 w 899160"/>
              <a:gd name="connsiteY7" fmla="*/ 274320 h 1781668"/>
              <a:gd name="connsiteX8" fmla="*/ 129540 w 899160"/>
              <a:gd name="connsiteY8" fmla="*/ 251460 h 1781668"/>
              <a:gd name="connsiteX9" fmla="*/ 175260 w 899160"/>
              <a:gd name="connsiteY9" fmla="*/ 220980 h 1781668"/>
              <a:gd name="connsiteX10" fmla="*/ 190500 w 899160"/>
              <a:gd name="connsiteY10" fmla="*/ 198120 h 1781668"/>
              <a:gd name="connsiteX11" fmla="*/ 236220 w 899160"/>
              <a:gd name="connsiteY11" fmla="*/ 160020 h 1781668"/>
              <a:gd name="connsiteX12" fmla="*/ 251460 w 899160"/>
              <a:gd name="connsiteY12" fmla="*/ 137160 h 1781668"/>
              <a:gd name="connsiteX13" fmla="*/ 281940 w 899160"/>
              <a:gd name="connsiteY13" fmla="*/ 114300 h 1781668"/>
              <a:gd name="connsiteX14" fmla="*/ 304800 w 899160"/>
              <a:gd name="connsiteY14" fmla="*/ 91440 h 1781668"/>
              <a:gd name="connsiteX15" fmla="*/ 350520 w 899160"/>
              <a:gd name="connsiteY15" fmla="*/ 68580 h 1781668"/>
              <a:gd name="connsiteX16" fmla="*/ 365760 w 899160"/>
              <a:gd name="connsiteY16" fmla="*/ 45720 h 1781668"/>
              <a:gd name="connsiteX17" fmla="*/ 411480 w 899160"/>
              <a:gd name="connsiteY17" fmla="*/ 30480 h 1781668"/>
              <a:gd name="connsiteX18" fmla="*/ 434340 w 899160"/>
              <a:gd name="connsiteY18" fmla="*/ 15240 h 1781668"/>
              <a:gd name="connsiteX19" fmla="*/ 464820 w 899160"/>
              <a:gd name="connsiteY19" fmla="*/ 7620 h 1781668"/>
              <a:gd name="connsiteX20" fmla="*/ 487680 w 899160"/>
              <a:gd name="connsiteY20" fmla="*/ 0 h 1781668"/>
              <a:gd name="connsiteX21" fmla="*/ 548640 w 899160"/>
              <a:gd name="connsiteY21" fmla="*/ 22860 h 1781668"/>
              <a:gd name="connsiteX22" fmla="*/ 563880 w 899160"/>
              <a:gd name="connsiteY22" fmla="*/ 45720 h 1781668"/>
              <a:gd name="connsiteX23" fmla="*/ 586740 w 899160"/>
              <a:gd name="connsiteY23" fmla="*/ 53340 h 1781668"/>
              <a:gd name="connsiteX24" fmla="*/ 609600 w 899160"/>
              <a:gd name="connsiteY24" fmla="*/ 68580 h 1781668"/>
              <a:gd name="connsiteX25" fmla="*/ 624840 w 899160"/>
              <a:gd name="connsiteY25" fmla="*/ 91440 h 1781668"/>
              <a:gd name="connsiteX26" fmla="*/ 647700 w 899160"/>
              <a:gd name="connsiteY26" fmla="*/ 106680 h 1781668"/>
              <a:gd name="connsiteX27" fmla="*/ 678180 w 899160"/>
              <a:gd name="connsiteY27" fmla="*/ 137160 h 1781668"/>
              <a:gd name="connsiteX28" fmla="*/ 739140 w 899160"/>
              <a:gd name="connsiteY28" fmla="*/ 190500 h 1781668"/>
              <a:gd name="connsiteX29" fmla="*/ 800100 w 899160"/>
              <a:gd name="connsiteY29" fmla="*/ 259080 h 1781668"/>
              <a:gd name="connsiteX30" fmla="*/ 762000 w 899160"/>
              <a:gd name="connsiteY30" fmla="*/ 342900 h 1781668"/>
              <a:gd name="connsiteX31" fmla="*/ 769620 w 899160"/>
              <a:gd name="connsiteY31" fmla="*/ 381000 h 1781668"/>
              <a:gd name="connsiteX32" fmla="*/ 777240 w 899160"/>
              <a:gd name="connsiteY32" fmla="*/ 403860 h 1781668"/>
              <a:gd name="connsiteX33" fmla="*/ 822960 w 899160"/>
              <a:gd name="connsiteY33" fmla="*/ 419100 h 1781668"/>
              <a:gd name="connsiteX34" fmla="*/ 861060 w 899160"/>
              <a:gd name="connsiteY34" fmla="*/ 464820 h 1781668"/>
              <a:gd name="connsiteX35" fmla="*/ 899160 w 899160"/>
              <a:gd name="connsiteY35" fmla="*/ 510540 h 1781668"/>
              <a:gd name="connsiteX36" fmla="*/ 685800 w 899160"/>
              <a:gd name="connsiteY36" fmla="*/ 1569720 h 1781668"/>
              <a:gd name="connsiteX37" fmla="*/ 632460 w 899160"/>
              <a:gd name="connsiteY37" fmla="*/ 1729740 h 1781668"/>
              <a:gd name="connsiteX38" fmla="*/ 342900 w 899160"/>
              <a:gd name="connsiteY38" fmla="*/ 1752600 h 1781668"/>
              <a:gd name="connsiteX39" fmla="*/ 198120 w 899160"/>
              <a:gd name="connsiteY39" fmla="*/ 1348740 h 1781668"/>
              <a:gd name="connsiteX40" fmla="*/ 190500 w 899160"/>
              <a:gd name="connsiteY40" fmla="*/ 1325880 h 1781668"/>
              <a:gd name="connsiteX41" fmla="*/ 182880 w 899160"/>
              <a:gd name="connsiteY41" fmla="*/ 1181100 h 1781668"/>
              <a:gd name="connsiteX42" fmla="*/ 175260 w 899160"/>
              <a:gd name="connsiteY42" fmla="*/ 1143000 h 1781668"/>
              <a:gd name="connsiteX43" fmla="*/ 190500 w 899160"/>
              <a:gd name="connsiteY43" fmla="*/ 1043940 h 1781668"/>
              <a:gd name="connsiteX44" fmla="*/ 182880 w 899160"/>
              <a:gd name="connsiteY44" fmla="*/ 929640 h 1781668"/>
              <a:gd name="connsiteX45" fmla="*/ 160020 w 899160"/>
              <a:gd name="connsiteY45" fmla="*/ 914400 h 1781668"/>
              <a:gd name="connsiteX46" fmla="*/ 121920 w 899160"/>
              <a:gd name="connsiteY46" fmla="*/ 906780 h 1781668"/>
              <a:gd name="connsiteX47" fmla="*/ 53340 w 899160"/>
              <a:gd name="connsiteY47" fmla="*/ 876300 h 1781668"/>
              <a:gd name="connsiteX48" fmla="*/ 60960 w 899160"/>
              <a:gd name="connsiteY48" fmla="*/ 784860 h 1781668"/>
              <a:gd name="connsiteX49" fmla="*/ 76200 w 899160"/>
              <a:gd name="connsiteY49" fmla="*/ 731520 h 1781668"/>
              <a:gd name="connsiteX50" fmla="*/ 53340 w 899160"/>
              <a:gd name="connsiteY50" fmla="*/ 662940 h 1781668"/>
              <a:gd name="connsiteX51" fmla="*/ 45720 w 899160"/>
              <a:gd name="connsiteY51" fmla="*/ 640080 h 1781668"/>
              <a:gd name="connsiteX52" fmla="*/ 22860 w 899160"/>
              <a:gd name="connsiteY52" fmla="*/ 640080 h 1781668"/>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90500 w 899160"/>
              <a:gd name="connsiteY39" fmla="*/ 1325880 h 1845685"/>
              <a:gd name="connsiteX40" fmla="*/ 182880 w 899160"/>
              <a:gd name="connsiteY40" fmla="*/ 1181100 h 1845685"/>
              <a:gd name="connsiteX41" fmla="*/ 175260 w 899160"/>
              <a:gd name="connsiteY41" fmla="*/ 1143000 h 1845685"/>
              <a:gd name="connsiteX42" fmla="*/ 190500 w 899160"/>
              <a:gd name="connsiteY42" fmla="*/ 1043940 h 1845685"/>
              <a:gd name="connsiteX43" fmla="*/ 182880 w 899160"/>
              <a:gd name="connsiteY43" fmla="*/ 929640 h 1845685"/>
              <a:gd name="connsiteX44" fmla="*/ 160020 w 899160"/>
              <a:gd name="connsiteY44" fmla="*/ 914400 h 1845685"/>
              <a:gd name="connsiteX45" fmla="*/ 121920 w 899160"/>
              <a:gd name="connsiteY45" fmla="*/ 906780 h 1845685"/>
              <a:gd name="connsiteX46" fmla="*/ 53340 w 899160"/>
              <a:gd name="connsiteY46" fmla="*/ 876300 h 1845685"/>
              <a:gd name="connsiteX47" fmla="*/ 60960 w 899160"/>
              <a:gd name="connsiteY47" fmla="*/ 784860 h 1845685"/>
              <a:gd name="connsiteX48" fmla="*/ 76200 w 899160"/>
              <a:gd name="connsiteY48" fmla="*/ 731520 h 1845685"/>
              <a:gd name="connsiteX49" fmla="*/ 53340 w 899160"/>
              <a:gd name="connsiteY49" fmla="*/ 662940 h 1845685"/>
              <a:gd name="connsiteX50" fmla="*/ 45720 w 899160"/>
              <a:gd name="connsiteY50" fmla="*/ 640080 h 1845685"/>
              <a:gd name="connsiteX51" fmla="*/ 22860 w 899160"/>
              <a:gd name="connsiteY51" fmla="*/ 640080 h 1845685"/>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82880 w 899160"/>
              <a:gd name="connsiteY39" fmla="*/ 1181100 h 1845685"/>
              <a:gd name="connsiteX40" fmla="*/ 175260 w 899160"/>
              <a:gd name="connsiteY40" fmla="*/ 1143000 h 1845685"/>
              <a:gd name="connsiteX41" fmla="*/ 190500 w 899160"/>
              <a:gd name="connsiteY41" fmla="*/ 1043940 h 1845685"/>
              <a:gd name="connsiteX42" fmla="*/ 182880 w 899160"/>
              <a:gd name="connsiteY42" fmla="*/ 929640 h 1845685"/>
              <a:gd name="connsiteX43" fmla="*/ 160020 w 899160"/>
              <a:gd name="connsiteY43" fmla="*/ 914400 h 1845685"/>
              <a:gd name="connsiteX44" fmla="*/ 121920 w 899160"/>
              <a:gd name="connsiteY44" fmla="*/ 906780 h 1845685"/>
              <a:gd name="connsiteX45" fmla="*/ 53340 w 899160"/>
              <a:gd name="connsiteY45" fmla="*/ 876300 h 1845685"/>
              <a:gd name="connsiteX46" fmla="*/ 60960 w 899160"/>
              <a:gd name="connsiteY46" fmla="*/ 784860 h 1845685"/>
              <a:gd name="connsiteX47" fmla="*/ 76200 w 899160"/>
              <a:gd name="connsiteY47" fmla="*/ 731520 h 1845685"/>
              <a:gd name="connsiteX48" fmla="*/ 53340 w 899160"/>
              <a:gd name="connsiteY48" fmla="*/ 662940 h 1845685"/>
              <a:gd name="connsiteX49" fmla="*/ 45720 w 899160"/>
              <a:gd name="connsiteY49" fmla="*/ 640080 h 1845685"/>
              <a:gd name="connsiteX50" fmla="*/ 22860 w 899160"/>
              <a:gd name="connsiteY50" fmla="*/ 640080 h 1845685"/>
              <a:gd name="connsiteX0" fmla="*/ 2286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49" fmla="*/ 22860 w 899160"/>
              <a:gd name="connsiteY49" fmla="*/ 640080 h 1854565"/>
              <a:gd name="connsiteX0" fmla="*/ 4572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0" fmla="*/ 53340 w 899160"/>
              <a:gd name="connsiteY0" fmla="*/ 66294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0" fmla="*/ 76200 w 899160"/>
              <a:gd name="connsiteY0" fmla="*/ 73152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0" fmla="*/ 76200 w 899160"/>
              <a:gd name="connsiteY0" fmla="*/ 73152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45" fmla="*/ 76200 w 899160"/>
              <a:gd name="connsiteY45" fmla="*/ 731520 h 1854565"/>
              <a:gd name="connsiteX0" fmla="*/ 60960 w 899160"/>
              <a:gd name="connsiteY0" fmla="*/ 78486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0" fmla="*/ 53340 w 899160"/>
              <a:gd name="connsiteY0" fmla="*/ 87630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78377 w 902277"/>
              <a:gd name="connsiteY38" fmla="*/ 1143000 h 1854565"/>
              <a:gd name="connsiteX39" fmla="*/ 193617 w 902277"/>
              <a:gd name="connsiteY39" fmla="*/ 1043940 h 1854565"/>
              <a:gd name="connsiteX40" fmla="*/ 185997 w 902277"/>
              <a:gd name="connsiteY40" fmla="*/ 929640 h 1854565"/>
              <a:gd name="connsiteX41" fmla="*/ 163137 w 902277"/>
              <a:gd name="connsiteY41" fmla="*/ 914400 h 1854565"/>
              <a:gd name="connsiteX42" fmla="*/ 125037 w 902277"/>
              <a:gd name="connsiteY42" fmla="*/ 90678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93617 w 902277"/>
              <a:gd name="connsiteY38" fmla="*/ 1043940 h 1854565"/>
              <a:gd name="connsiteX39" fmla="*/ 185997 w 902277"/>
              <a:gd name="connsiteY39" fmla="*/ 929640 h 1854565"/>
              <a:gd name="connsiteX40" fmla="*/ 163137 w 902277"/>
              <a:gd name="connsiteY40" fmla="*/ 914400 h 1854565"/>
              <a:gd name="connsiteX41" fmla="*/ 125037 w 902277"/>
              <a:gd name="connsiteY41" fmla="*/ 906780 h 1854565"/>
              <a:gd name="connsiteX0" fmla="*/ 125037 w 902277"/>
              <a:gd name="connsiteY0" fmla="*/ 906780 h 1862294"/>
              <a:gd name="connsiteX1" fmla="*/ 10737 w 902277"/>
              <a:gd name="connsiteY1" fmla="*/ 510540 h 1862294"/>
              <a:gd name="connsiteX2" fmla="*/ 3117 w 902277"/>
              <a:gd name="connsiteY2" fmla="*/ 487680 h 1862294"/>
              <a:gd name="connsiteX3" fmla="*/ 25977 w 902277"/>
              <a:gd name="connsiteY3" fmla="*/ 373380 h 1862294"/>
              <a:gd name="connsiteX4" fmla="*/ 41217 w 902277"/>
              <a:gd name="connsiteY4" fmla="*/ 350520 h 1862294"/>
              <a:gd name="connsiteX5" fmla="*/ 64077 w 902277"/>
              <a:gd name="connsiteY5" fmla="*/ 335280 h 1862294"/>
              <a:gd name="connsiteX6" fmla="*/ 117417 w 902277"/>
              <a:gd name="connsiteY6" fmla="*/ 274320 h 1862294"/>
              <a:gd name="connsiteX7" fmla="*/ 132657 w 902277"/>
              <a:gd name="connsiteY7" fmla="*/ 251460 h 1862294"/>
              <a:gd name="connsiteX8" fmla="*/ 178377 w 902277"/>
              <a:gd name="connsiteY8" fmla="*/ 220980 h 1862294"/>
              <a:gd name="connsiteX9" fmla="*/ 193617 w 902277"/>
              <a:gd name="connsiteY9" fmla="*/ 198120 h 1862294"/>
              <a:gd name="connsiteX10" fmla="*/ 239337 w 902277"/>
              <a:gd name="connsiteY10" fmla="*/ 160020 h 1862294"/>
              <a:gd name="connsiteX11" fmla="*/ 254577 w 902277"/>
              <a:gd name="connsiteY11" fmla="*/ 137160 h 1862294"/>
              <a:gd name="connsiteX12" fmla="*/ 285057 w 902277"/>
              <a:gd name="connsiteY12" fmla="*/ 114300 h 1862294"/>
              <a:gd name="connsiteX13" fmla="*/ 307917 w 902277"/>
              <a:gd name="connsiteY13" fmla="*/ 91440 h 1862294"/>
              <a:gd name="connsiteX14" fmla="*/ 353637 w 902277"/>
              <a:gd name="connsiteY14" fmla="*/ 68580 h 1862294"/>
              <a:gd name="connsiteX15" fmla="*/ 368877 w 902277"/>
              <a:gd name="connsiteY15" fmla="*/ 45720 h 1862294"/>
              <a:gd name="connsiteX16" fmla="*/ 414597 w 902277"/>
              <a:gd name="connsiteY16" fmla="*/ 30480 h 1862294"/>
              <a:gd name="connsiteX17" fmla="*/ 437457 w 902277"/>
              <a:gd name="connsiteY17" fmla="*/ 15240 h 1862294"/>
              <a:gd name="connsiteX18" fmla="*/ 467937 w 902277"/>
              <a:gd name="connsiteY18" fmla="*/ 7620 h 1862294"/>
              <a:gd name="connsiteX19" fmla="*/ 490797 w 902277"/>
              <a:gd name="connsiteY19" fmla="*/ 0 h 1862294"/>
              <a:gd name="connsiteX20" fmla="*/ 551757 w 902277"/>
              <a:gd name="connsiteY20" fmla="*/ 22860 h 1862294"/>
              <a:gd name="connsiteX21" fmla="*/ 566997 w 902277"/>
              <a:gd name="connsiteY21" fmla="*/ 45720 h 1862294"/>
              <a:gd name="connsiteX22" fmla="*/ 589857 w 902277"/>
              <a:gd name="connsiteY22" fmla="*/ 53340 h 1862294"/>
              <a:gd name="connsiteX23" fmla="*/ 612717 w 902277"/>
              <a:gd name="connsiteY23" fmla="*/ 68580 h 1862294"/>
              <a:gd name="connsiteX24" fmla="*/ 627957 w 902277"/>
              <a:gd name="connsiteY24" fmla="*/ 91440 h 1862294"/>
              <a:gd name="connsiteX25" fmla="*/ 650817 w 902277"/>
              <a:gd name="connsiteY25" fmla="*/ 106680 h 1862294"/>
              <a:gd name="connsiteX26" fmla="*/ 681297 w 902277"/>
              <a:gd name="connsiteY26" fmla="*/ 137160 h 1862294"/>
              <a:gd name="connsiteX27" fmla="*/ 742257 w 902277"/>
              <a:gd name="connsiteY27" fmla="*/ 190500 h 1862294"/>
              <a:gd name="connsiteX28" fmla="*/ 803217 w 902277"/>
              <a:gd name="connsiteY28" fmla="*/ 259080 h 1862294"/>
              <a:gd name="connsiteX29" fmla="*/ 765117 w 902277"/>
              <a:gd name="connsiteY29" fmla="*/ 342900 h 1862294"/>
              <a:gd name="connsiteX30" fmla="*/ 772737 w 902277"/>
              <a:gd name="connsiteY30" fmla="*/ 381000 h 1862294"/>
              <a:gd name="connsiteX31" fmla="*/ 780357 w 902277"/>
              <a:gd name="connsiteY31" fmla="*/ 403860 h 1862294"/>
              <a:gd name="connsiteX32" fmla="*/ 826077 w 902277"/>
              <a:gd name="connsiteY32" fmla="*/ 419100 h 1862294"/>
              <a:gd name="connsiteX33" fmla="*/ 864177 w 902277"/>
              <a:gd name="connsiteY33" fmla="*/ 464820 h 1862294"/>
              <a:gd name="connsiteX34" fmla="*/ 902277 w 902277"/>
              <a:gd name="connsiteY34" fmla="*/ 510540 h 1862294"/>
              <a:gd name="connsiteX35" fmla="*/ 635577 w 902277"/>
              <a:gd name="connsiteY35" fmla="*/ 1729740 h 1862294"/>
              <a:gd name="connsiteX36" fmla="*/ 346017 w 902277"/>
              <a:gd name="connsiteY36" fmla="*/ 1752600 h 1862294"/>
              <a:gd name="connsiteX37" fmla="*/ 193617 w 902277"/>
              <a:gd name="connsiteY37" fmla="*/ 1043940 h 1862294"/>
              <a:gd name="connsiteX38" fmla="*/ 185997 w 902277"/>
              <a:gd name="connsiteY38" fmla="*/ 929640 h 1862294"/>
              <a:gd name="connsiteX39" fmla="*/ 163137 w 902277"/>
              <a:gd name="connsiteY39" fmla="*/ 914400 h 1862294"/>
              <a:gd name="connsiteX40" fmla="*/ 125037 w 902277"/>
              <a:gd name="connsiteY40" fmla="*/ 906780 h 1862294"/>
              <a:gd name="connsiteX0" fmla="*/ 125037 w 902277"/>
              <a:gd name="connsiteY0" fmla="*/ 906780 h 1869018"/>
              <a:gd name="connsiteX1" fmla="*/ 10737 w 902277"/>
              <a:gd name="connsiteY1" fmla="*/ 510540 h 1869018"/>
              <a:gd name="connsiteX2" fmla="*/ 3117 w 902277"/>
              <a:gd name="connsiteY2" fmla="*/ 487680 h 1869018"/>
              <a:gd name="connsiteX3" fmla="*/ 25977 w 902277"/>
              <a:gd name="connsiteY3" fmla="*/ 373380 h 1869018"/>
              <a:gd name="connsiteX4" fmla="*/ 41217 w 902277"/>
              <a:gd name="connsiteY4" fmla="*/ 350520 h 1869018"/>
              <a:gd name="connsiteX5" fmla="*/ 64077 w 902277"/>
              <a:gd name="connsiteY5" fmla="*/ 335280 h 1869018"/>
              <a:gd name="connsiteX6" fmla="*/ 117417 w 902277"/>
              <a:gd name="connsiteY6" fmla="*/ 274320 h 1869018"/>
              <a:gd name="connsiteX7" fmla="*/ 132657 w 902277"/>
              <a:gd name="connsiteY7" fmla="*/ 251460 h 1869018"/>
              <a:gd name="connsiteX8" fmla="*/ 178377 w 902277"/>
              <a:gd name="connsiteY8" fmla="*/ 220980 h 1869018"/>
              <a:gd name="connsiteX9" fmla="*/ 193617 w 902277"/>
              <a:gd name="connsiteY9" fmla="*/ 198120 h 1869018"/>
              <a:gd name="connsiteX10" fmla="*/ 239337 w 902277"/>
              <a:gd name="connsiteY10" fmla="*/ 160020 h 1869018"/>
              <a:gd name="connsiteX11" fmla="*/ 254577 w 902277"/>
              <a:gd name="connsiteY11" fmla="*/ 137160 h 1869018"/>
              <a:gd name="connsiteX12" fmla="*/ 285057 w 902277"/>
              <a:gd name="connsiteY12" fmla="*/ 114300 h 1869018"/>
              <a:gd name="connsiteX13" fmla="*/ 307917 w 902277"/>
              <a:gd name="connsiteY13" fmla="*/ 91440 h 1869018"/>
              <a:gd name="connsiteX14" fmla="*/ 353637 w 902277"/>
              <a:gd name="connsiteY14" fmla="*/ 68580 h 1869018"/>
              <a:gd name="connsiteX15" fmla="*/ 368877 w 902277"/>
              <a:gd name="connsiteY15" fmla="*/ 45720 h 1869018"/>
              <a:gd name="connsiteX16" fmla="*/ 414597 w 902277"/>
              <a:gd name="connsiteY16" fmla="*/ 30480 h 1869018"/>
              <a:gd name="connsiteX17" fmla="*/ 437457 w 902277"/>
              <a:gd name="connsiteY17" fmla="*/ 15240 h 1869018"/>
              <a:gd name="connsiteX18" fmla="*/ 467937 w 902277"/>
              <a:gd name="connsiteY18" fmla="*/ 7620 h 1869018"/>
              <a:gd name="connsiteX19" fmla="*/ 490797 w 902277"/>
              <a:gd name="connsiteY19" fmla="*/ 0 h 1869018"/>
              <a:gd name="connsiteX20" fmla="*/ 551757 w 902277"/>
              <a:gd name="connsiteY20" fmla="*/ 22860 h 1869018"/>
              <a:gd name="connsiteX21" fmla="*/ 566997 w 902277"/>
              <a:gd name="connsiteY21" fmla="*/ 45720 h 1869018"/>
              <a:gd name="connsiteX22" fmla="*/ 589857 w 902277"/>
              <a:gd name="connsiteY22" fmla="*/ 53340 h 1869018"/>
              <a:gd name="connsiteX23" fmla="*/ 612717 w 902277"/>
              <a:gd name="connsiteY23" fmla="*/ 68580 h 1869018"/>
              <a:gd name="connsiteX24" fmla="*/ 627957 w 902277"/>
              <a:gd name="connsiteY24" fmla="*/ 91440 h 1869018"/>
              <a:gd name="connsiteX25" fmla="*/ 650817 w 902277"/>
              <a:gd name="connsiteY25" fmla="*/ 106680 h 1869018"/>
              <a:gd name="connsiteX26" fmla="*/ 681297 w 902277"/>
              <a:gd name="connsiteY26" fmla="*/ 137160 h 1869018"/>
              <a:gd name="connsiteX27" fmla="*/ 742257 w 902277"/>
              <a:gd name="connsiteY27" fmla="*/ 190500 h 1869018"/>
              <a:gd name="connsiteX28" fmla="*/ 803217 w 902277"/>
              <a:gd name="connsiteY28" fmla="*/ 259080 h 1869018"/>
              <a:gd name="connsiteX29" fmla="*/ 765117 w 902277"/>
              <a:gd name="connsiteY29" fmla="*/ 342900 h 1869018"/>
              <a:gd name="connsiteX30" fmla="*/ 772737 w 902277"/>
              <a:gd name="connsiteY30" fmla="*/ 381000 h 1869018"/>
              <a:gd name="connsiteX31" fmla="*/ 780357 w 902277"/>
              <a:gd name="connsiteY31" fmla="*/ 403860 h 1869018"/>
              <a:gd name="connsiteX32" fmla="*/ 826077 w 902277"/>
              <a:gd name="connsiteY32" fmla="*/ 419100 h 1869018"/>
              <a:gd name="connsiteX33" fmla="*/ 864177 w 902277"/>
              <a:gd name="connsiteY33" fmla="*/ 464820 h 1869018"/>
              <a:gd name="connsiteX34" fmla="*/ 902277 w 902277"/>
              <a:gd name="connsiteY34" fmla="*/ 510540 h 1869018"/>
              <a:gd name="connsiteX35" fmla="*/ 635577 w 902277"/>
              <a:gd name="connsiteY35" fmla="*/ 1729740 h 1869018"/>
              <a:gd name="connsiteX36" fmla="*/ 346017 w 902277"/>
              <a:gd name="connsiteY36" fmla="*/ 1752600 h 1869018"/>
              <a:gd name="connsiteX37" fmla="*/ 185997 w 902277"/>
              <a:gd name="connsiteY37" fmla="*/ 929640 h 1869018"/>
              <a:gd name="connsiteX38" fmla="*/ 163137 w 902277"/>
              <a:gd name="connsiteY38" fmla="*/ 914400 h 1869018"/>
              <a:gd name="connsiteX39" fmla="*/ 125037 w 902277"/>
              <a:gd name="connsiteY39" fmla="*/ 906780 h 1869018"/>
              <a:gd name="connsiteX0" fmla="*/ 165877 w 905017"/>
              <a:gd name="connsiteY0" fmla="*/ 914400 h 1869018"/>
              <a:gd name="connsiteX1" fmla="*/ 13477 w 905017"/>
              <a:gd name="connsiteY1" fmla="*/ 510540 h 1869018"/>
              <a:gd name="connsiteX2" fmla="*/ 5857 w 905017"/>
              <a:gd name="connsiteY2" fmla="*/ 487680 h 1869018"/>
              <a:gd name="connsiteX3" fmla="*/ 28717 w 905017"/>
              <a:gd name="connsiteY3" fmla="*/ 373380 h 1869018"/>
              <a:gd name="connsiteX4" fmla="*/ 43957 w 905017"/>
              <a:gd name="connsiteY4" fmla="*/ 350520 h 1869018"/>
              <a:gd name="connsiteX5" fmla="*/ 66817 w 905017"/>
              <a:gd name="connsiteY5" fmla="*/ 335280 h 1869018"/>
              <a:gd name="connsiteX6" fmla="*/ 120157 w 905017"/>
              <a:gd name="connsiteY6" fmla="*/ 274320 h 1869018"/>
              <a:gd name="connsiteX7" fmla="*/ 135397 w 905017"/>
              <a:gd name="connsiteY7" fmla="*/ 251460 h 1869018"/>
              <a:gd name="connsiteX8" fmla="*/ 181117 w 905017"/>
              <a:gd name="connsiteY8" fmla="*/ 220980 h 1869018"/>
              <a:gd name="connsiteX9" fmla="*/ 196357 w 905017"/>
              <a:gd name="connsiteY9" fmla="*/ 198120 h 1869018"/>
              <a:gd name="connsiteX10" fmla="*/ 242077 w 905017"/>
              <a:gd name="connsiteY10" fmla="*/ 160020 h 1869018"/>
              <a:gd name="connsiteX11" fmla="*/ 257317 w 905017"/>
              <a:gd name="connsiteY11" fmla="*/ 137160 h 1869018"/>
              <a:gd name="connsiteX12" fmla="*/ 287797 w 905017"/>
              <a:gd name="connsiteY12" fmla="*/ 114300 h 1869018"/>
              <a:gd name="connsiteX13" fmla="*/ 310657 w 905017"/>
              <a:gd name="connsiteY13" fmla="*/ 91440 h 1869018"/>
              <a:gd name="connsiteX14" fmla="*/ 356377 w 905017"/>
              <a:gd name="connsiteY14" fmla="*/ 68580 h 1869018"/>
              <a:gd name="connsiteX15" fmla="*/ 371617 w 905017"/>
              <a:gd name="connsiteY15" fmla="*/ 45720 h 1869018"/>
              <a:gd name="connsiteX16" fmla="*/ 417337 w 905017"/>
              <a:gd name="connsiteY16" fmla="*/ 30480 h 1869018"/>
              <a:gd name="connsiteX17" fmla="*/ 440197 w 905017"/>
              <a:gd name="connsiteY17" fmla="*/ 15240 h 1869018"/>
              <a:gd name="connsiteX18" fmla="*/ 470677 w 905017"/>
              <a:gd name="connsiteY18" fmla="*/ 7620 h 1869018"/>
              <a:gd name="connsiteX19" fmla="*/ 493537 w 905017"/>
              <a:gd name="connsiteY19" fmla="*/ 0 h 1869018"/>
              <a:gd name="connsiteX20" fmla="*/ 554497 w 905017"/>
              <a:gd name="connsiteY20" fmla="*/ 22860 h 1869018"/>
              <a:gd name="connsiteX21" fmla="*/ 569737 w 905017"/>
              <a:gd name="connsiteY21" fmla="*/ 45720 h 1869018"/>
              <a:gd name="connsiteX22" fmla="*/ 592597 w 905017"/>
              <a:gd name="connsiteY22" fmla="*/ 53340 h 1869018"/>
              <a:gd name="connsiteX23" fmla="*/ 615457 w 905017"/>
              <a:gd name="connsiteY23" fmla="*/ 68580 h 1869018"/>
              <a:gd name="connsiteX24" fmla="*/ 630697 w 905017"/>
              <a:gd name="connsiteY24" fmla="*/ 91440 h 1869018"/>
              <a:gd name="connsiteX25" fmla="*/ 653557 w 905017"/>
              <a:gd name="connsiteY25" fmla="*/ 106680 h 1869018"/>
              <a:gd name="connsiteX26" fmla="*/ 684037 w 905017"/>
              <a:gd name="connsiteY26" fmla="*/ 137160 h 1869018"/>
              <a:gd name="connsiteX27" fmla="*/ 744997 w 905017"/>
              <a:gd name="connsiteY27" fmla="*/ 190500 h 1869018"/>
              <a:gd name="connsiteX28" fmla="*/ 805957 w 905017"/>
              <a:gd name="connsiteY28" fmla="*/ 259080 h 1869018"/>
              <a:gd name="connsiteX29" fmla="*/ 767857 w 905017"/>
              <a:gd name="connsiteY29" fmla="*/ 342900 h 1869018"/>
              <a:gd name="connsiteX30" fmla="*/ 775477 w 905017"/>
              <a:gd name="connsiteY30" fmla="*/ 381000 h 1869018"/>
              <a:gd name="connsiteX31" fmla="*/ 783097 w 905017"/>
              <a:gd name="connsiteY31" fmla="*/ 403860 h 1869018"/>
              <a:gd name="connsiteX32" fmla="*/ 828817 w 905017"/>
              <a:gd name="connsiteY32" fmla="*/ 419100 h 1869018"/>
              <a:gd name="connsiteX33" fmla="*/ 866917 w 905017"/>
              <a:gd name="connsiteY33" fmla="*/ 464820 h 1869018"/>
              <a:gd name="connsiteX34" fmla="*/ 905017 w 905017"/>
              <a:gd name="connsiteY34" fmla="*/ 510540 h 1869018"/>
              <a:gd name="connsiteX35" fmla="*/ 638317 w 905017"/>
              <a:gd name="connsiteY35" fmla="*/ 1729740 h 1869018"/>
              <a:gd name="connsiteX36" fmla="*/ 348757 w 905017"/>
              <a:gd name="connsiteY36" fmla="*/ 1752600 h 1869018"/>
              <a:gd name="connsiteX37" fmla="*/ 188737 w 905017"/>
              <a:gd name="connsiteY37" fmla="*/ 929640 h 1869018"/>
              <a:gd name="connsiteX38" fmla="*/ 165877 w 905017"/>
              <a:gd name="connsiteY38" fmla="*/ 914400 h 1869018"/>
              <a:gd name="connsiteX0" fmla="*/ 190399 w 906679"/>
              <a:gd name="connsiteY0" fmla="*/ 929640 h 1869018"/>
              <a:gd name="connsiteX1" fmla="*/ 15139 w 906679"/>
              <a:gd name="connsiteY1" fmla="*/ 510540 h 1869018"/>
              <a:gd name="connsiteX2" fmla="*/ 7519 w 906679"/>
              <a:gd name="connsiteY2" fmla="*/ 487680 h 1869018"/>
              <a:gd name="connsiteX3" fmla="*/ 30379 w 906679"/>
              <a:gd name="connsiteY3" fmla="*/ 373380 h 1869018"/>
              <a:gd name="connsiteX4" fmla="*/ 45619 w 906679"/>
              <a:gd name="connsiteY4" fmla="*/ 350520 h 1869018"/>
              <a:gd name="connsiteX5" fmla="*/ 68479 w 906679"/>
              <a:gd name="connsiteY5" fmla="*/ 335280 h 1869018"/>
              <a:gd name="connsiteX6" fmla="*/ 121819 w 906679"/>
              <a:gd name="connsiteY6" fmla="*/ 274320 h 1869018"/>
              <a:gd name="connsiteX7" fmla="*/ 137059 w 906679"/>
              <a:gd name="connsiteY7" fmla="*/ 251460 h 1869018"/>
              <a:gd name="connsiteX8" fmla="*/ 182779 w 906679"/>
              <a:gd name="connsiteY8" fmla="*/ 220980 h 1869018"/>
              <a:gd name="connsiteX9" fmla="*/ 198019 w 906679"/>
              <a:gd name="connsiteY9" fmla="*/ 198120 h 1869018"/>
              <a:gd name="connsiteX10" fmla="*/ 243739 w 906679"/>
              <a:gd name="connsiteY10" fmla="*/ 160020 h 1869018"/>
              <a:gd name="connsiteX11" fmla="*/ 258979 w 906679"/>
              <a:gd name="connsiteY11" fmla="*/ 137160 h 1869018"/>
              <a:gd name="connsiteX12" fmla="*/ 289459 w 906679"/>
              <a:gd name="connsiteY12" fmla="*/ 114300 h 1869018"/>
              <a:gd name="connsiteX13" fmla="*/ 312319 w 906679"/>
              <a:gd name="connsiteY13" fmla="*/ 91440 h 1869018"/>
              <a:gd name="connsiteX14" fmla="*/ 358039 w 906679"/>
              <a:gd name="connsiteY14" fmla="*/ 68580 h 1869018"/>
              <a:gd name="connsiteX15" fmla="*/ 373279 w 906679"/>
              <a:gd name="connsiteY15" fmla="*/ 45720 h 1869018"/>
              <a:gd name="connsiteX16" fmla="*/ 418999 w 906679"/>
              <a:gd name="connsiteY16" fmla="*/ 30480 h 1869018"/>
              <a:gd name="connsiteX17" fmla="*/ 441859 w 906679"/>
              <a:gd name="connsiteY17" fmla="*/ 15240 h 1869018"/>
              <a:gd name="connsiteX18" fmla="*/ 472339 w 906679"/>
              <a:gd name="connsiteY18" fmla="*/ 7620 h 1869018"/>
              <a:gd name="connsiteX19" fmla="*/ 495199 w 906679"/>
              <a:gd name="connsiteY19" fmla="*/ 0 h 1869018"/>
              <a:gd name="connsiteX20" fmla="*/ 556159 w 906679"/>
              <a:gd name="connsiteY20" fmla="*/ 22860 h 1869018"/>
              <a:gd name="connsiteX21" fmla="*/ 571399 w 906679"/>
              <a:gd name="connsiteY21" fmla="*/ 45720 h 1869018"/>
              <a:gd name="connsiteX22" fmla="*/ 594259 w 906679"/>
              <a:gd name="connsiteY22" fmla="*/ 53340 h 1869018"/>
              <a:gd name="connsiteX23" fmla="*/ 617119 w 906679"/>
              <a:gd name="connsiteY23" fmla="*/ 68580 h 1869018"/>
              <a:gd name="connsiteX24" fmla="*/ 632359 w 906679"/>
              <a:gd name="connsiteY24" fmla="*/ 91440 h 1869018"/>
              <a:gd name="connsiteX25" fmla="*/ 655219 w 906679"/>
              <a:gd name="connsiteY25" fmla="*/ 106680 h 1869018"/>
              <a:gd name="connsiteX26" fmla="*/ 685699 w 906679"/>
              <a:gd name="connsiteY26" fmla="*/ 137160 h 1869018"/>
              <a:gd name="connsiteX27" fmla="*/ 746659 w 906679"/>
              <a:gd name="connsiteY27" fmla="*/ 190500 h 1869018"/>
              <a:gd name="connsiteX28" fmla="*/ 807619 w 906679"/>
              <a:gd name="connsiteY28" fmla="*/ 259080 h 1869018"/>
              <a:gd name="connsiteX29" fmla="*/ 769519 w 906679"/>
              <a:gd name="connsiteY29" fmla="*/ 342900 h 1869018"/>
              <a:gd name="connsiteX30" fmla="*/ 777139 w 906679"/>
              <a:gd name="connsiteY30" fmla="*/ 381000 h 1869018"/>
              <a:gd name="connsiteX31" fmla="*/ 784759 w 906679"/>
              <a:gd name="connsiteY31" fmla="*/ 403860 h 1869018"/>
              <a:gd name="connsiteX32" fmla="*/ 830479 w 906679"/>
              <a:gd name="connsiteY32" fmla="*/ 419100 h 1869018"/>
              <a:gd name="connsiteX33" fmla="*/ 868579 w 906679"/>
              <a:gd name="connsiteY33" fmla="*/ 464820 h 1869018"/>
              <a:gd name="connsiteX34" fmla="*/ 906679 w 906679"/>
              <a:gd name="connsiteY34" fmla="*/ 510540 h 1869018"/>
              <a:gd name="connsiteX35" fmla="*/ 639979 w 906679"/>
              <a:gd name="connsiteY35" fmla="*/ 1729740 h 1869018"/>
              <a:gd name="connsiteX36" fmla="*/ 350419 w 906679"/>
              <a:gd name="connsiteY36" fmla="*/ 1752600 h 1869018"/>
              <a:gd name="connsiteX37" fmla="*/ 190399 w 906679"/>
              <a:gd name="connsiteY37" fmla="*/ 929640 h 1869018"/>
              <a:gd name="connsiteX0" fmla="*/ 362181 w 918441"/>
              <a:gd name="connsiteY0" fmla="*/ 1752600 h 1895399"/>
              <a:gd name="connsiteX1" fmla="*/ 26901 w 918441"/>
              <a:gd name="connsiteY1" fmla="*/ 510540 h 1895399"/>
              <a:gd name="connsiteX2" fmla="*/ 19281 w 918441"/>
              <a:gd name="connsiteY2" fmla="*/ 487680 h 1895399"/>
              <a:gd name="connsiteX3" fmla="*/ 42141 w 918441"/>
              <a:gd name="connsiteY3" fmla="*/ 373380 h 1895399"/>
              <a:gd name="connsiteX4" fmla="*/ 57381 w 918441"/>
              <a:gd name="connsiteY4" fmla="*/ 350520 h 1895399"/>
              <a:gd name="connsiteX5" fmla="*/ 80241 w 918441"/>
              <a:gd name="connsiteY5" fmla="*/ 335280 h 1895399"/>
              <a:gd name="connsiteX6" fmla="*/ 133581 w 918441"/>
              <a:gd name="connsiteY6" fmla="*/ 274320 h 1895399"/>
              <a:gd name="connsiteX7" fmla="*/ 148821 w 918441"/>
              <a:gd name="connsiteY7" fmla="*/ 251460 h 1895399"/>
              <a:gd name="connsiteX8" fmla="*/ 194541 w 918441"/>
              <a:gd name="connsiteY8" fmla="*/ 220980 h 1895399"/>
              <a:gd name="connsiteX9" fmla="*/ 209781 w 918441"/>
              <a:gd name="connsiteY9" fmla="*/ 198120 h 1895399"/>
              <a:gd name="connsiteX10" fmla="*/ 255501 w 918441"/>
              <a:gd name="connsiteY10" fmla="*/ 160020 h 1895399"/>
              <a:gd name="connsiteX11" fmla="*/ 270741 w 918441"/>
              <a:gd name="connsiteY11" fmla="*/ 137160 h 1895399"/>
              <a:gd name="connsiteX12" fmla="*/ 301221 w 918441"/>
              <a:gd name="connsiteY12" fmla="*/ 114300 h 1895399"/>
              <a:gd name="connsiteX13" fmla="*/ 324081 w 918441"/>
              <a:gd name="connsiteY13" fmla="*/ 91440 h 1895399"/>
              <a:gd name="connsiteX14" fmla="*/ 369801 w 918441"/>
              <a:gd name="connsiteY14" fmla="*/ 68580 h 1895399"/>
              <a:gd name="connsiteX15" fmla="*/ 385041 w 918441"/>
              <a:gd name="connsiteY15" fmla="*/ 45720 h 1895399"/>
              <a:gd name="connsiteX16" fmla="*/ 430761 w 918441"/>
              <a:gd name="connsiteY16" fmla="*/ 30480 h 1895399"/>
              <a:gd name="connsiteX17" fmla="*/ 453621 w 918441"/>
              <a:gd name="connsiteY17" fmla="*/ 15240 h 1895399"/>
              <a:gd name="connsiteX18" fmla="*/ 484101 w 918441"/>
              <a:gd name="connsiteY18" fmla="*/ 7620 h 1895399"/>
              <a:gd name="connsiteX19" fmla="*/ 506961 w 918441"/>
              <a:gd name="connsiteY19" fmla="*/ 0 h 1895399"/>
              <a:gd name="connsiteX20" fmla="*/ 567921 w 918441"/>
              <a:gd name="connsiteY20" fmla="*/ 22860 h 1895399"/>
              <a:gd name="connsiteX21" fmla="*/ 583161 w 918441"/>
              <a:gd name="connsiteY21" fmla="*/ 45720 h 1895399"/>
              <a:gd name="connsiteX22" fmla="*/ 606021 w 918441"/>
              <a:gd name="connsiteY22" fmla="*/ 53340 h 1895399"/>
              <a:gd name="connsiteX23" fmla="*/ 628881 w 918441"/>
              <a:gd name="connsiteY23" fmla="*/ 68580 h 1895399"/>
              <a:gd name="connsiteX24" fmla="*/ 644121 w 918441"/>
              <a:gd name="connsiteY24" fmla="*/ 91440 h 1895399"/>
              <a:gd name="connsiteX25" fmla="*/ 666981 w 918441"/>
              <a:gd name="connsiteY25" fmla="*/ 106680 h 1895399"/>
              <a:gd name="connsiteX26" fmla="*/ 697461 w 918441"/>
              <a:gd name="connsiteY26" fmla="*/ 137160 h 1895399"/>
              <a:gd name="connsiteX27" fmla="*/ 758421 w 918441"/>
              <a:gd name="connsiteY27" fmla="*/ 190500 h 1895399"/>
              <a:gd name="connsiteX28" fmla="*/ 819381 w 918441"/>
              <a:gd name="connsiteY28" fmla="*/ 259080 h 1895399"/>
              <a:gd name="connsiteX29" fmla="*/ 781281 w 918441"/>
              <a:gd name="connsiteY29" fmla="*/ 342900 h 1895399"/>
              <a:gd name="connsiteX30" fmla="*/ 788901 w 918441"/>
              <a:gd name="connsiteY30" fmla="*/ 381000 h 1895399"/>
              <a:gd name="connsiteX31" fmla="*/ 796521 w 918441"/>
              <a:gd name="connsiteY31" fmla="*/ 403860 h 1895399"/>
              <a:gd name="connsiteX32" fmla="*/ 842241 w 918441"/>
              <a:gd name="connsiteY32" fmla="*/ 419100 h 1895399"/>
              <a:gd name="connsiteX33" fmla="*/ 880341 w 918441"/>
              <a:gd name="connsiteY33" fmla="*/ 464820 h 1895399"/>
              <a:gd name="connsiteX34" fmla="*/ 918441 w 918441"/>
              <a:gd name="connsiteY34" fmla="*/ 510540 h 1895399"/>
              <a:gd name="connsiteX35" fmla="*/ 651741 w 918441"/>
              <a:gd name="connsiteY35" fmla="*/ 1729740 h 1895399"/>
              <a:gd name="connsiteX36" fmla="*/ 362181 w 918441"/>
              <a:gd name="connsiteY36" fmla="*/ 1752600 h 1895399"/>
              <a:gd name="connsiteX0" fmla="*/ 673147 w 939847"/>
              <a:gd name="connsiteY0" fmla="*/ 1729740 h 1729740"/>
              <a:gd name="connsiteX1" fmla="*/ 48307 w 939847"/>
              <a:gd name="connsiteY1" fmla="*/ 510540 h 1729740"/>
              <a:gd name="connsiteX2" fmla="*/ 40687 w 939847"/>
              <a:gd name="connsiteY2" fmla="*/ 487680 h 1729740"/>
              <a:gd name="connsiteX3" fmla="*/ 63547 w 939847"/>
              <a:gd name="connsiteY3" fmla="*/ 373380 h 1729740"/>
              <a:gd name="connsiteX4" fmla="*/ 78787 w 939847"/>
              <a:gd name="connsiteY4" fmla="*/ 350520 h 1729740"/>
              <a:gd name="connsiteX5" fmla="*/ 101647 w 939847"/>
              <a:gd name="connsiteY5" fmla="*/ 335280 h 1729740"/>
              <a:gd name="connsiteX6" fmla="*/ 154987 w 939847"/>
              <a:gd name="connsiteY6" fmla="*/ 274320 h 1729740"/>
              <a:gd name="connsiteX7" fmla="*/ 170227 w 939847"/>
              <a:gd name="connsiteY7" fmla="*/ 251460 h 1729740"/>
              <a:gd name="connsiteX8" fmla="*/ 215947 w 939847"/>
              <a:gd name="connsiteY8" fmla="*/ 220980 h 1729740"/>
              <a:gd name="connsiteX9" fmla="*/ 231187 w 939847"/>
              <a:gd name="connsiteY9" fmla="*/ 198120 h 1729740"/>
              <a:gd name="connsiteX10" fmla="*/ 276907 w 939847"/>
              <a:gd name="connsiteY10" fmla="*/ 160020 h 1729740"/>
              <a:gd name="connsiteX11" fmla="*/ 292147 w 939847"/>
              <a:gd name="connsiteY11" fmla="*/ 137160 h 1729740"/>
              <a:gd name="connsiteX12" fmla="*/ 322627 w 939847"/>
              <a:gd name="connsiteY12" fmla="*/ 114300 h 1729740"/>
              <a:gd name="connsiteX13" fmla="*/ 345487 w 939847"/>
              <a:gd name="connsiteY13" fmla="*/ 91440 h 1729740"/>
              <a:gd name="connsiteX14" fmla="*/ 391207 w 939847"/>
              <a:gd name="connsiteY14" fmla="*/ 68580 h 1729740"/>
              <a:gd name="connsiteX15" fmla="*/ 406447 w 939847"/>
              <a:gd name="connsiteY15" fmla="*/ 45720 h 1729740"/>
              <a:gd name="connsiteX16" fmla="*/ 452167 w 939847"/>
              <a:gd name="connsiteY16" fmla="*/ 30480 h 1729740"/>
              <a:gd name="connsiteX17" fmla="*/ 475027 w 939847"/>
              <a:gd name="connsiteY17" fmla="*/ 15240 h 1729740"/>
              <a:gd name="connsiteX18" fmla="*/ 505507 w 939847"/>
              <a:gd name="connsiteY18" fmla="*/ 7620 h 1729740"/>
              <a:gd name="connsiteX19" fmla="*/ 528367 w 939847"/>
              <a:gd name="connsiteY19" fmla="*/ 0 h 1729740"/>
              <a:gd name="connsiteX20" fmla="*/ 589327 w 939847"/>
              <a:gd name="connsiteY20" fmla="*/ 22860 h 1729740"/>
              <a:gd name="connsiteX21" fmla="*/ 604567 w 939847"/>
              <a:gd name="connsiteY21" fmla="*/ 45720 h 1729740"/>
              <a:gd name="connsiteX22" fmla="*/ 627427 w 939847"/>
              <a:gd name="connsiteY22" fmla="*/ 53340 h 1729740"/>
              <a:gd name="connsiteX23" fmla="*/ 650287 w 939847"/>
              <a:gd name="connsiteY23" fmla="*/ 68580 h 1729740"/>
              <a:gd name="connsiteX24" fmla="*/ 665527 w 939847"/>
              <a:gd name="connsiteY24" fmla="*/ 91440 h 1729740"/>
              <a:gd name="connsiteX25" fmla="*/ 688387 w 939847"/>
              <a:gd name="connsiteY25" fmla="*/ 106680 h 1729740"/>
              <a:gd name="connsiteX26" fmla="*/ 718867 w 939847"/>
              <a:gd name="connsiteY26" fmla="*/ 137160 h 1729740"/>
              <a:gd name="connsiteX27" fmla="*/ 779827 w 939847"/>
              <a:gd name="connsiteY27" fmla="*/ 190500 h 1729740"/>
              <a:gd name="connsiteX28" fmla="*/ 840787 w 939847"/>
              <a:gd name="connsiteY28" fmla="*/ 259080 h 1729740"/>
              <a:gd name="connsiteX29" fmla="*/ 802687 w 939847"/>
              <a:gd name="connsiteY29" fmla="*/ 342900 h 1729740"/>
              <a:gd name="connsiteX30" fmla="*/ 810307 w 939847"/>
              <a:gd name="connsiteY30" fmla="*/ 381000 h 1729740"/>
              <a:gd name="connsiteX31" fmla="*/ 817927 w 939847"/>
              <a:gd name="connsiteY31" fmla="*/ 403860 h 1729740"/>
              <a:gd name="connsiteX32" fmla="*/ 863647 w 939847"/>
              <a:gd name="connsiteY32" fmla="*/ 419100 h 1729740"/>
              <a:gd name="connsiteX33" fmla="*/ 901747 w 939847"/>
              <a:gd name="connsiteY33" fmla="*/ 464820 h 1729740"/>
              <a:gd name="connsiteX34" fmla="*/ 939847 w 939847"/>
              <a:gd name="connsiteY34" fmla="*/ 510540 h 1729740"/>
              <a:gd name="connsiteX35" fmla="*/ 673147 w 939847"/>
              <a:gd name="connsiteY35" fmla="*/ 1729740 h 1729740"/>
              <a:gd name="connsiteX0" fmla="*/ 959588 w 959588"/>
              <a:gd name="connsiteY0" fmla="*/ 510540 h 514939"/>
              <a:gd name="connsiteX1" fmla="*/ 68048 w 959588"/>
              <a:gd name="connsiteY1" fmla="*/ 510540 h 514939"/>
              <a:gd name="connsiteX2" fmla="*/ 60428 w 959588"/>
              <a:gd name="connsiteY2" fmla="*/ 487680 h 514939"/>
              <a:gd name="connsiteX3" fmla="*/ 83288 w 959588"/>
              <a:gd name="connsiteY3" fmla="*/ 373380 h 514939"/>
              <a:gd name="connsiteX4" fmla="*/ 98528 w 959588"/>
              <a:gd name="connsiteY4" fmla="*/ 350520 h 514939"/>
              <a:gd name="connsiteX5" fmla="*/ 121388 w 959588"/>
              <a:gd name="connsiteY5" fmla="*/ 335280 h 514939"/>
              <a:gd name="connsiteX6" fmla="*/ 174728 w 959588"/>
              <a:gd name="connsiteY6" fmla="*/ 274320 h 514939"/>
              <a:gd name="connsiteX7" fmla="*/ 189968 w 959588"/>
              <a:gd name="connsiteY7" fmla="*/ 251460 h 514939"/>
              <a:gd name="connsiteX8" fmla="*/ 235688 w 959588"/>
              <a:gd name="connsiteY8" fmla="*/ 220980 h 514939"/>
              <a:gd name="connsiteX9" fmla="*/ 250928 w 959588"/>
              <a:gd name="connsiteY9" fmla="*/ 198120 h 514939"/>
              <a:gd name="connsiteX10" fmla="*/ 296648 w 959588"/>
              <a:gd name="connsiteY10" fmla="*/ 160020 h 514939"/>
              <a:gd name="connsiteX11" fmla="*/ 311888 w 959588"/>
              <a:gd name="connsiteY11" fmla="*/ 137160 h 514939"/>
              <a:gd name="connsiteX12" fmla="*/ 342368 w 959588"/>
              <a:gd name="connsiteY12" fmla="*/ 114300 h 514939"/>
              <a:gd name="connsiteX13" fmla="*/ 365228 w 959588"/>
              <a:gd name="connsiteY13" fmla="*/ 91440 h 514939"/>
              <a:gd name="connsiteX14" fmla="*/ 410948 w 959588"/>
              <a:gd name="connsiteY14" fmla="*/ 68580 h 514939"/>
              <a:gd name="connsiteX15" fmla="*/ 426188 w 959588"/>
              <a:gd name="connsiteY15" fmla="*/ 45720 h 514939"/>
              <a:gd name="connsiteX16" fmla="*/ 471908 w 959588"/>
              <a:gd name="connsiteY16" fmla="*/ 30480 h 514939"/>
              <a:gd name="connsiteX17" fmla="*/ 494768 w 959588"/>
              <a:gd name="connsiteY17" fmla="*/ 15240 h 514939"/>
              <a:gd name="connsiteX18" fmla="*/ 525248 w 959588"/>
              <a:gd name="connsiteY18" fmla="*/ 7620 h 514939"/>
              <a:gd name="connsiteX19" fmla="*/ 548108 w 959588"/>
              <a:gd name="connsiteY19" fmla="*/ 0 h 514939"/>
              <a:gd name="connsiteX20" fmla="*/ 609068 w 959588"/>
              <a:gd name="connsiteY20" fmla="*/ 22860 h 514939"/>
              <a:gd name="connsiteX21" fmla="*/ 624308 w 959588"/>
              <a:gd name="connsiteY21" fmla="*/ 45720 h 514939"/>
              <a:gd name="connsiteX22" fmla="*/ 647168 w 959588"/>
              <a:gd name="connsiteY22" fmla="*/ 53340 h 514939"/>
              <a:gd name="connsiteX23" fmla="*/ 670028 w 959588"/>
              <a:gd name="connsiteY23" fmla="*/ 68580 h 514939"/>
              <a:gd name="connsiteX24" fmla="*/ 685268 w 959588"/>
              <a:gd name="connsiteY24" fmla="*/ 91440 h 514939"/>
              <a:gd name="connsiteX25" fmla="*/ 708128 w 959588"/>
              <a:gd name="connsiteY25" fmla="*/ 106680 h 514939"/>
              <a:gd name="connsiteX26" fmla="*/ 738608 w 959588"/>
              <a:gd name="connsiteY26" fmla="*/ 137160 h 514939"/>
              <a:gd name="connsiteX27" fmla="*/ 799568 w 959588"/>
              <a:gd name="connsiteY27" fmla="*/ 190500 h 514939"/>
              <a:gd name="connsiteX28" fmla="*/ 860528 w 959588"/>
              <a:gd name="connsiteY28" fmla="*/ 259080 h 514939"/>
              <a:gd name="connsiteX29" fmla="*/ 822428 w 959588"/>
              <a:gd name="connsiteY29" fmla="*/ 342900 h 514939"/>
              <a:gd name="connsiteX30" fmla="*/ 830048 w 959588"/>
              <a:gd name="connsiteY30" fmla="*/ 381000 h 514939"/>
              <a:gd name="connsiteX31" fmla="*/ 837668 w 959588"/>
              <a:gd name="connsiteY31" fmla="*/ 403860 h 514939"/>
              <a:gd name="connsiteX32" fmla="*/ 883388 w 959588"/>
              <a:gd name="connsiteY32" fmla="*/ 419100 h 514939"/>
              <a:gd name="connsiteX33" fmla="*/ 921488 w 959588"/>
              <a:gd name="connsiteY33" fmla="*/ 464820 h 514939"/>
              <a:gd name="connsiteX34" fmla="*/ 959588 w 959588"/>
              <a:gd name="connsiteY34" fmla="*/ 510540 h 514939"/>
              <a:gd name="connsiteX0" fmla="*/ 899160 w 899160"/>
              <a:gd name="connsiteY0" fmla="*/ 510540 h 511827"/>
              <a:gd name="connsiteX1" fmla="*/ 0 w 899160"/>
              <a:gd name="connsiteY1" fmla="*/ 487680 h 511827"/>
              <a:gd name="connsiteX2" fmla="*/ 22860 w 899160"/>
              <a:gd name="connsiteY2" fmla="*/ 373380 h 511827"/>
              <a:gd name="connsiteX3" fmla="*/ 38100 w 899160"/>
              <a:gd name="connsiteY3" fmla="*/ 350520 h 511827"/>
              <a:gd name="connsiteX4" fmla="*/ 60960 w 899160"/>
              <a:gd name="connsiteY4" fmla="*/ 335280 h 511827"/>
              <a:gd name="connsiteX5" fmla="*/ 114300 w 899160"/>
              <a:gd name="connsiteY5" fmla="*/ 274320 h 511827"/>
              <a:gd name="connsiteX6" fmla="*/ 129540 w 899160"/>
              <a:gd name="connsiteY6" fmla="*/ 251460 h 511827"/>
              <a:gd name="connsiteX7" fmla="*/ 175260 w 899160"/>
              <a:gd name="connsiteY7" fmla="*/ 220980 h 511827"/>
              <a:gd name="connsiteX8" fmla="*/ 190500 w 899160"/>
              <a:gd name="connsiteY8" fmla="*/ 198120 h 511827"/>
              <a:gd name="connsiteX9" fmla="*/ 236220 w 899160"/>
              <a:gd name="connsiteY9" fmla="*/ 160020 h 511827"/>
              <a:gd name="connsiteX10" fmla="*/ 251460 w 899160"/>
              <a:gd name="connsiteY10" fmla="*/ 137160 h 511827"/>
              <a:gd name="connsiteX11" fmla="*/ 281940 w 899160"/>
              <a:gd name="connsiteY11" fmla="*/ 114300 h 511827"/>
              <a:gd name="connsiteX12" fmla="*/ 304800 w 899160"/>
              <a:gd name="connsiteY12" fmla="*/ 91440 h 511827"/>
              <a:gd name="connsiteX13" fmla="*/ 350520 w 899160"/>
              <a:gd name="connsiteY13" fmla="*/ 68580 h 511827"/>
              <a:gd name="connsiteX14" fmla="*/ 365760 w 899160"/>
              <a:gd name="connsiteY14" fmla="*/ 45720 h 511827"/>
              <a:gd name="connsiteX15" fmla="*/ 411480 w 899160"/>
              <a:gd name="connsiteY15" fmla="*/ 30480 h 511827"/>
              <a:gd name="connsiteX16" fmla="*/ 434340 w 899160"/>
              <a:gd name="connsiteY16" fmla="*/ 15240 h 511827"/>
              <a:gd name="connsiteX17" fmla="*/ 464820 w 899160"/>
              <a:gd name="connsiteY17" fmla="*/ 7620 h 511827"/>
              <a:gd name="connsiteX18" fmla="*/ 487680 w 899160"/>
              <a:gd name="connsiteY18" fmla="*/ 0 h 511827"/>
              <a:gd name="connsiteX19" fmla="*/ 548640 w 899160"/>
              <a:gd name="connsiteY19" fmla="*/ 22860 h 511827"/>
              <a:gd name="connsiteX20" fmla="*/ 563880 w 899160"/>
              <a:gd name="connsiteY20" fmla="*/ 45720 h 511827"/>
              <a:gd name="connsiteX21" fmla="*/ 586740 w 899160"/>
              <a:gd name="connsiteY21" fmla="*/ 53340 h 511827"/>
              <a:gd name="connsiteX22" fmla="*/ 609600 w 899160"/>
              <a:gd name="connsiteY22" fmla="*/ 68580 h 511827"/>
              <a:gd name="connsiteX23" fmla="*/ 624840 w 899160"/>
              <a:gd name="connsiteY23" fmla="*/ 91440 h 511827"/>
              <a:gd name="connsiteX24" fmla="*/ 647700 w 899160"/>
              <a:gd name="connsiteY24" fmla="*/ 106680 h 511827"/>
              <a:gd name="connsiteX25" fmla="*/ 678180 w 899160"/>
              <a:gd name="connsiteY25" fmla="*/ 137160 h 511827"/>
              <a:gd name="connsiteX26" fmla="*/ 739140 w 899160"/>
              <a:gd name="connsiteY26" fmla="*/ 190500 h 511827"/>
              <a:gd name="connsiteX27" fmla="*/ 800100 w 899160"/>
              <a:gd name="connsiteY27" fmla="*/ 259080 h 511827"/>
              <a:gd name="connsiteX28" fmla="*/ 762000 w 899160"/>
              <a:gd name="connsiteY28" fmla="*/ 342900 h 511827"/>
              <a:gd name="connsiteX29" fmla="*/ 769620 w 899160"/>
              <a:gd name="connsiteY29" fmla="*/ 381000 h 511827"/>
              <a:gd name="connsiteX30" fmla="*/ 777240 w 899160"/>
              <a:gd name="connsiteY30" fmla="*/ 403860 h 511827"/>
              <a:gd name="connsiteX31" fmla="*/ 822960 w 899160"/>
              <a:gd name="connsiteY31" fmla="*/ 419100 h 511827"/>
              <a:gd name="connsiteX32" fmla="*/ 861060 w 899160"/>
              <a:gd name="connsiteY32" fmla="*/ 464820 h 511827"/>
              <a:gd name="connsiteX33" fmla="*/ 899160 w 899160"/>
              <a:gd name="connsiteY33" fmla="*/ 510540 h 511827"/>
              <a:gd name="connsiteX0" fmla="*/ 861060 w 927127"/>
              <a:gd name="connsiteY0" fmla="*/ 464820 h 492266"/>
              <a:gd name="connsiteX1" fmla="*/ 0 w 927127"/>
              <a:gd name="connsiteY1" fmla="*/ 487680 h 492266"/>
              <a:gd name="connsiteX2" fmla="*/ 22860 w 927127"/>
              <a:gd name="connsiteY2" fmla="*/ 373380 h 492266"/>
              <a:gd name="connsiteX3" fmla="*/ 38100 w 927127"/>
              <a:gd name="connsiteY3" fmla="*/ 350520 h 492266"/>
              <a:gd name="connsiteX4" fmla="*/ 60960 w 927127"/>
              <a:gd name="connsiteY4" fmla="*/ 335280 h 492266"/>
              <a:gd name="connsiteX5" fmla="*/ 114300 w 927127"/>
              <a:gd name="connsiteY5" fmla="*/ 274320 h 492266"/>
              <a:gd name="connsiteX6" fmla="*/ 129540 w 927127"/>
              <a:gd name="connsiteY6" fmla="*/ 251460 h 492266"/>
              <a:gd name="connsiteX7" fmla="*/ 175260 w 927127"/>
              <a:gd name="connsiteY7" fmla="*/ 220980 h 492266"/>
              <a:gd name="connsiteX8" fmla="*/ 190500 w 927127"/>
              <a:gd name="connsiteY8" fmla="*/ 198120 h 492266"/>
              <a:gd name="connsiteX9" fmla="*/ 236220 w 927127"/>
              <a:gd name="connsiteY9" fmla="*/ 160020 h 492266"/>
              <a:gd name="connsiteX10" fmla="*/ 251460 w 927127"/>
              <a:gd name="connsiteY10" fmla="*/ 137160 h 492266"/>
              <a:gd name="connsiteX11" fmla="*/ 281940 w 927127"/>
              <a:gd name="connsiteY11" fmla="*/ 114300 h 492266"/>
              <a:gd name="connsiteX12" fmla="*/ 304800 w 927127"/>
              <a:gd name="connsiteY12" fmla="*/ 91440 h 492266"/>
              <a:gd name="connsiteX13" fmla="*/ 350520 w 927127"/>
              <a:gd name="connsiteY13" fmla="*/ 68580 h 492266"/>
              <a:gd name="connsiteX14" fmla="*/ 365760 w 927127"/>
              <a:gd name="connsiteY14" fmla="*/ 45720 h 492266"/>
              <a:gd name="connsiteX15" fmla="*/ 411480 w 927127"/>
              <a:gd name="connsiteY15" fmla="*/ 30480 h 492266"/>
              <a:gd name="connsiteX16" fmla="*/ 434340 w 927127"/>
              <a:gd name="connsiteY16" fmla="*/ 15240 h 492266"/>
              <a:gd name="connsiteX17" fmla="*/ 464820 w 927127"/>
              <a:gd name="connsiteY17" fmla="*/ 7620 h 492266"/>
              <a:gd name="connsiteX18" fmla="*/ 487680 w 927127"/>
              <a:gd name="connsiteY18" fmla="*/ 0 h 492266"/>
              <a:gd name="connsiteX19" fmla="*/ 548640 w 927127"/>
              <a:gd name="connsiteY19" fmla="*/ 22860 h 492266"/>
              <a:gd name="connsiteX20" fmla="*/ 563880 w 927127"/>
              <a:gd name="connsiteY20" fmla="*/ 45720 h 492266"/>
              <a:gd name="connsiteX21" fmla="*/ 586740 w 927127"/>
              <a:gd name="connsiteY21" fmla="*/ 53340 h 492266"/>
              <a:gd name="connsiteX22" fmla="*/ 609600 w 927127"/>
              <a:gd name="connsiteY22" fmla="*/ 68580 h 492266"/>
              <a:gd name="connsiteX23" fmla="*/ 624840 w 927127"/>
              <a:gd name="connsiteY23" fmla="*/ 91440 h 492266"/>
              <a:gd name="connsiteX24" fmla="*/ 647700 w 927127"/>
              <a:gd name="connsiteY24" fmla="*/ 106680 h 492266"/>
              <a:gd name="connsiteX25" fmla="*/ 678180 w 927127"/>
              <a:gd name="connsiteY25" fmla="*/ 137160 h 492266"/>
              <a:gd name="connsiteX26" fmla="*/ 739140 w 927127"/>
              <a:gd name="connsiteY26" fmla="*/ 190500 h 492266"/>
              <a:gd name="connsiteX27" fmla="*/ 800100 w 927127"/>
              <a:gd name="connsiteY27" fmla="*/ 259080 h 492266"/>
              <a:gd name="connsiteX28" fmla="*/ 762000 w 927127"/>
              <a:gd name="connsiteY28" fmla="*/ 342900 h 492266"/>
              <a:gd name="connsiteX29" fmla="*/ 769620 w 927127"/>
              <a:gd name="connsiteY29" fmla="*/ 381000 h 492266"/>
              <a:gd name="connsiteX30" fmla="*/ 777240 w 927127"/>
              <a:gd name="connsiteY30" fmla="*/ 403860 h 492266"/>
              <a:gd name="connsiteX31" fmla="*/ 822960 w 927127"/>
              <a:gd name="connsiteY31" fmla="*/ 419100 h 492266"/>
              <a:gd name="connsiteX32" fmla="*/ 861060 w 927127"/>
              <a:gd name="connsiteY32" fmla="*/ 464820 h 492266"/>
              <a:gd name="connsiteX0" fmla="*/ 869527 w 922968"/>
              <a:gd name="connsiteY0" fmla="*/ 485951 h 496997"/>
              <a:gd name="connsiteX1" fmla="*/ 0 w 922968"/>
              <a:gd name="connsiteY1" fmla="*/ 487680 h 496997"/>
              <a:gd name="connsiteX2" fmla="*/ 22860 w 922968"/>
              <a:gd name="connsiteY2" fmla="*/ 373380 h 496997"/>
              <a:gd name="connsiteX3" fmla="*/ 38100 w 922968"/>
              <a:gd name="connsiteY3" fmla="*/ 350520 h 496997"/>
              <a:gd name="connsiteX4" fmla="*/ 60960 w 922968"/>
              <a:gd name="connsiteY4" fmla="*/ 335280 h 496997"/>
              <a:gd name="connsiteX5" fmla="*/ 114300 w 922968"/>
              <a:gd name="connsiteY5" fmla="*/ 274320 h 496997"/>
              <a:gd name="connsiteX6" fmla="*/ 129540 w 922968"/>
              <a:gd name="connsiteY6" fmla="*/ 251460 h 496997"/>
              <a:gd name="connsiteX7" fmla="*/ 175260 w 922968"/>
              <a:gd name="connsiteY7" fmla="*/ 220980 h 496997"/>
              <a:gd name="connsiteX8" fmla="*/ 190500 w 922968"/>
              <a:gd name="connsiteY8" fmla="*/ 198120 h 496997"/>
              <a:gd name="connsiteX9" fmla="*/ 236220 w 922968"/>
              <a:gd name="connsiteY9" fmla="*/ 160020 h 496997"/>
              <a:gd name="connsiteX10" fmla="*/ 251460 w 922968"/>
              <a:gd name="connsiteY10" fmla="*/ 137160 h 496997"/>
              <a:gd name="connsiteX11" fmla="*/ 281940 w 922968"/>
              <a:gd name="connsiteY11" fmla="*/ 114300 h 496997"/>
              <a:gd name="connsiteX12" fmla="*/ 304800 w 922968"/>
              <a:gd name="connsiteY12" fmla="*/ 91440 h 496997"/>
              <a:gd name="connsiteX13" fmla="*/ 350520 w 922968"/>
              <a:gd name="connsiteY13" fmla="*/ 68580 h 496997"/>
              <a:gd name="connsiteX14" fmla="*/ 365760 w 922968"/>
              <a:gd name="connsiteY14" fmla="*/ 45720 h 496997"/>
              <a:gd name="connsiteX15" fmla="*/ 411480 w 922968"/>
              <a:gd name="connsiteY15" fmla="*/ 30480 h 496997"/>
              <a:gd name="connsiteX16" fmla="*/ 434340 w 922968"/>
              <a:gd name="connsiteY16" fmla="*/ 15240 h 496997"/>
              <a:gd name="connsiteX17" fmla="*/ 464820 w 922968"/>
              <a:gd name="connsiteY17" fmla="*/ 7620 h 496997"/>
              <a:gd name="connsiteX18" fmla="*/ 487680 w 922968"/>
              <a:gd name="connsiteY18" fmla="*/ 0 h 496997"/>
              <a:gd name="connsiteX19" fmla="*/ 548640 w 922968"/>
              <a:gd name="connsiteY19" fmla="*/ 22860 h 496997"/>
              <a:gd name="connsiteX20" fmla="*/ 563880 w 922968"/>
              <a:gd name="connsiteY20" fmla="*/ 45720 h 496997"/>
              <a:gd name="connsiteX21" fmla="*/ 586740 w 922968"/>
              <a:gd name="connsiteY21" fmla="*/ 53340 h 496997"/>
              <a:gd name="connsiteX22" fmla="*/ 609600 w 922968"/>
              <a:gd name="connsiteY22" fmla="*/ 68580 h 496997"/>
              <a:gd name="connsiteX23" fmla="*/ 624840 w 922968"/>
              <a:gd name="connsiteY23" fmla="*/ 91440 h 496997"/>
              <a:gd name="connsiteX24" fmla="*/ 647700 w 922968"/>
              <a:gd name="connsiteY24" fmla="*/ 106680 h 496997"/>
              <a:gd name="connsiteX25" fmla="*/ 678180 w 922968"/>
              <a:gd name="connsiteY25" fmla="*/ 137160 h 496997"/>
              <a:gd name="connsiteX26" fmla="*/ 739140 w 922968"/>
              <a:gd name="connsiteY26" fmla="*/ 190500 h 496997"/>
              <a:gd name="connsiteX27" fmla="*/ 800100 w 922968"/>
              <a:gd name="connsiteY27" fmla="*/ 259080 h 496997"/>
              <a:gd name="connsiteX28" fmla="*/ 762000 w 922968"/>
              <a:gd name="connsiteY28" fmla="*/ 342900 h 496997"/>
              <a:gd name="connsiteX29" fmla="*/ 769620 w 922968"/>
              <a:gd name="connsiteY29" fmla="*/ 381000 h 496997"/>
              <a:gd name="connsiteX30" fmla="*/ 777240 w 922968"/>
              <a:gd name="connsiteY30" fmla="*/ 403860 h 496997"/>
              <a:gd name="connsiteX31" fmla="*/ 822960 w 922968"/>
              <a:gd name="connsiteY31" fmla="*/ 419100 h 496997"/>
              <a:gd name="connsiteX32" fmla="*/ 869527 w 922968"/>
              <a:gd name="connsiteY32" fmla="*/ 485951 h 496997"/>
              <a:gd name="connsiteX0" fmla="*/ 869527 w 869527"/>
              <a:gd name="connsiteY0" fmla="*/ 485951 h 496997"/>
              <a:gd name="connsiteX1" fmla="*/ 0 w 869527"/>
              <a:gd name="connsiteY1" fmla="*/ 487680 h 496997"/>
              <a:gd name="connsiteX2" fmla="*/ 22860 w 869527"/>
              <a:gd name="connsiteY2" fmla="*/ 373380 h 496997"/>
              <a:gd name="connsiteX3" fmla="*/ 38100 w 869527"/>
              <a:gd name="connsiteY3" fmla="*/ 350520 h 496997"/>
              <a:gd name="connsiteX4" fmla="*/ 60960 w 869527"/>
              <a:gd name="connsiteY4" fmla="*/ 335280 h 496997"/>
              <a:gd name="connsiteX5" fmla="*/ 114300 w 869527"/>
              <a:gd name="connsiteY5" fmla="*/ 274320 h 496997"/>
              <a:gd name="connsiteX6" fmla="*/ 129540 w 869527"/>
              <a:gd name="connsiteY6" fmla="*/ 251460 h 496997"/>
              <a:gd name="connsiteX7" fmla="*/ 175260 w 869527"/>
              <a:gd name="connsiteY7" fmla="*/ 220980 h 496997"/>
              <a:gd name="connsiteX8" fmla="*/ 190500 w 869527"/>
              <a:gd name="connsiteY8" fmla="*/ 198120 h 496997"/>
              <a:gd name="connsiteX9" fmla="*/ 236220 w 869527"/>
              <a:gd name="connsiteY9" fmla="*/ 160020 h 496997"/>
              <a:gd name="connsiteX10" fmla="*/ 251460 w 869527"/>
              <a:gd name="connsiteY10" fmla="*/ 137160 h 496997"/>
              <a:gd name="connsiteX11" fmla="*/ 281940 w 869527"/>
              <a:gd name="connsiteY11" fmla="*/ 114300 h 496997"/>
              <a:gd name="connsiteX12" fmla="*/ 304800 w 869527"/>
              <a:gd name="connsiteY12" fmla="*/ 91440 h 496997"/>
              <a:gd name="connsiteX13" fmla="*/ 350520 w 869527"/>
              <a:gd name="connsiteY13" fmla="*/ 68580 h 496997"/>
              <a:gd name="connsiteX14" fmla="*/ 365760 w 869527"/>
              <a:gd name="connsiteY14" fmla="*/ 45720 h 496997"/>
              <a:gd name="connsiteX15" fmla="*/ 411480 w 869527"/>
              <a:gd name="connsiteY15" fmla="*/ 30480 h 496997"/>
              <a:gd name="connsiteX16" fmla="*/ 434340 w 869527"/>
              <a:gd name="connsiteY16" fmla="*/ 15240 h 496997"/>
              <a:gd name="connsiteX17" fmla="*/ 464820 w 869527"/>
              <a:gd name="connsiteY17" fmla="*/ 7620 h 496997"/>
              <a:gd name="connsiteX18" fmla="*/ 487680 w 869527"/>
              <a:gd name="connsiteY18" fmla="*/ 0 h 496997"/>
              <a:gd name="connsiteX19" fmla="*/ 548640 w 869527"/>
              <a:gd name="connsiteY19" fmla="*/ 22860 h 496997"/>
              <a:gd name="connsiteX20" fmla="*/ 563880 w 869527"/>
              <a:gd name="connsiteY20" fmla="*/ 45720 h 496997"/>
              <a:gd name="connsiteX21" fmla="*/ 586740 w 869527"/>
              <a:gd name="connsiteY21" fmla="*/ 53340 h 496997"/>
              <a:gd name="connsiteX22" fmla="*/ 609600 w 869527"/>
              <a:gd name="connsiteY22" fmla="*/ 68580 h 496997"/>
              <a:gd name="connsiteX23" fmla="*/ 624840 w 869527"/>
              <a:gd name="connsiteY23" fmla="*/ 91440 h 496997"/>
              <a:gd name="connsiteX24" fmla="*/ 647700 w 869527"/>
              <a:gd name="connsiteY24" fmla="*/ 106680 h 496997"/>
              <a:gd name="connsiteX25" fmla="*/ 678180 w 869527"/>
              <a:gd name="connsiteY25" fmla="*/ 137160 h 496997"/>
              <a:gd name="connsiteX26" fmla="*/ 739140 w 869527"/>
              <a:gd name="connsiteY26" fmla="*/ 190500 h 496997"/>
              <a:gd name="connsiteX27" fmla="*/ 800100 w 869527"/>
              <a:gd name="connsiteY27" fmla="*/ 259080 h 496997"/>
              <a:gd name="connsiteX28" fmla="*/ 762000 w 869527"/>
              <a:gd name="connsiteY28" fmla="*/ 342900 h 496997"/>
              <a:gd name="connsiteX29" fmla="*/ 769620 w 869527"/>
              <a:gd name="connsiteY29" fmla="*/ 381000 h 496997"/>
              <a:gd name="connsiteX30" fmla="*/ 777240 w 869527"/>
              <a:gd name="connsiteY30" fmla="*/ 403860 h 496997"/>
              <a:gd name="connsiteX31" fmla="*/ 822960 w 869527"/>
              <a:gd name="connsiteY31" fmla="*/ 419100 h 496997"/>
              <a:gd name="connsiteX32" fmla="*/ 869527 w 869527"/>
              <a:gd name="connsiteY32" fmla="*/ 485951 h 496997"/>
              <a:gd name="connsiteX0" fmla="*/ 869527 w 869527"/>
              <a:gd name="connsiteY0" fmla="*/ 485951 h 487680"/>
              <a:gd name="connsiteX1" fmla="*/ 0 w 869527"/>
              <a:gd name="connsiteY1" fmla="*/ 487680 h 487680"/>
              <a:gd name="connsiteX2" fmla="*/ 22860 w 869527"/>
              <a:gd name="connsiteY2" fmla="*/ 373380 h 487680"/>
              <a:gd name="connsiteX3" fmla="*/ 38100 w 869527"/>
              <a:gd name="connsiteY3" fmla="*/ 350520 h 487680"/>
              <a:gd name="connsiteX4" fmla="*/ 60960 w 869527"/>
              <a:gd name="connsiteY4" fmla="*/ 335280 h 487680"/>
              <a:gd name="connsiteX5" fmla="*/ 114300 w 869527"/>
              <a:gd name="connsiteY5" fmla="*/ 274320 h 487680"/>
              <a:gd name="connsiteX6" fmla="*/ 129540 w 869527"/>
              <a:gd name="connsiteY6" fmla="*/ 251460 h 487680"/>
              <a:gd name="connsiteX7" fmla="*/ 175260 w 869527"/>
              <a:gd name="connsiteY7" fmla="*/ 220980 h 487680"/>
              <a:gd name="connsiteX8" fmla="*/ 190500 w 869527"/>
              <a:gd name="connsiteY8" fmla="*/ 198120 h 487680"/>
              <a:gd name="connsiteX9" fmla="*/ 236220 w 869527"/>
              <a:gd name="connsiteY9" fmla="*/ 160020 h 487680"/>
              <a:gd name="connsiteX10" fmla="*/ 251460 w 869527"/>
              <a:gd name="connsiteY10" fmla="*/ 137160 h 487680"/>
              <a:gd name="connsiteX11" fmla="*/ 281940 w 869527"/>
              <a:gd name="connsiteY11" fmla="*/ 114300 h 487680"/>
              <a:gd name="connsiteX12" fmla="*/ 304800 w 869527"/>
              <a:gd name="connsiteY12" fmla="*/ 91440 h 487680"/>
              <a:gd name="connsiteX13" fmla="*/ 350520 w 869527"/>
              <a:gd name="connsiteY13" fmla="*/ 68580 h 487680"/>
              <a:gd name="connsiteX14" fmla="*/ 365760 w 869527"/>
              <a:gd name="connsiteY14" fmla="*/ 45720 h 487680"/>
              <a:gd name="connsiteX15" fmla="*/ 411480 w 869527"/>
              <a:gd name="connsiteY15" fmla="*/ 30480 h 487680"/>
              <a:gd name="connsiteX16" fmla="*/ 434340 w 869527"/>
              <a:gd name="connsiteY16" fmla="*/ 15240 h 487680"/>
              <a:gd name="connsiteX17" fmla="*/ 464820 w 869527"/>
              <a:gd name="connsiteY17" fmla="*/ 7620 h 487680"/>
              <a:gd name="connsiteX18" fmla="*/ 487680 w 869527"/>
              <a:gd name="connsiteY18" fmla="*/ 0 h 487680"/>
              <a:gd name="connsiteX19" fmla="*/ 548640 w 869527"/>
              <a:gd name="connsiteY19" fmla="*/ 22860 h 487680"/>
              <a:gd name="connsiteX20" fmla="*/ 563880 w 869527"/>
              <a:gd name="connsiteY20" fmla="*/ 45720 h 487680"/>
              <a:gd name="connsiteX21" fmla="*/ 586740 w 869527"/>
              <a:gd name="connsiteY21" fmla="*/ 53340 h 487680"/>
              <a:gd name="connsiteX22" fmla="*/ 609600 w 869527"/>
              <a:gd name="connsiteY22" fmla="*/ 68580 h 487680"/>
              <a:gd name="connsiteX23" fmla="*/ 624840 w 869527"/>
              <a:gd name="connsiteY23" fmla="*/ 91440 h 487680"/>
              <a:gd name="connsiteX24" fmla="*/ 647700 w 869527"/>
              <a:gd name="connsiteY24" fmla="*/ 106680 h 487680"/>
              <a:gd name="connsiteX25" fmla="*/ 678180 w 869527"/>
              <a:gd name="connsiteY25" fmla="*/ 137160 h 487680"/>
              <a:gd name="connsiteX26" fmla="*/ 739140 w 869527"/>
              <a:gd name="connsiteY26" fmla="*/ 190500 h 487680"/>
              <a:gd name="connsiteX27" fmla="*/ 800100 w 869527"/>
              <a:gd name="connsiteY27" fmla="*/ 259080 h 487680"/>
              <a:gd name="connsiteX28" fmla="*/ 762000 w 869527"/>
              <a:gd name="connsiteY28" fmla="*/ 342900 h 487680"/>
              <a:gd name="connsiteX29" fmla="*/ 769620 w 869527"/>
              <a:gd name="connsiteY29" fmla="*/ 381000 h 487680"/>
              <a:gd name="connsiteX30" fmla="*/ 777240 w 869527"/>
              <a:gd name="connsiteY30" fmla="*/ 403860 h 487680"/>
              <a:gd name="connsiteX31" fmla="*/ 822960 w 869527"/>
              <a:gd name="connsiteY31" fmla="*/ 419100 h 487680"/>
              <a:gd name="connsiteX32" fmla="*/ 869527 w 869527"/>
              <a:gd name="connsiteY32" fmla="*/ 485951 h 4876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Lst>
            <a:rect l="l" t="t" r="r" b="b"/>
            <a:pathLst>
              <a:path w="869527" h="487680">
                <a:moveTo>
                  <a:pt x="869527" y="485951"/>
                </a:moveTo>
                <a:lnTo>
                  <a:pt x="0" y="487680"/>
                </a:ln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07579" y="405418"/>
                  <a:pt x="822960" y="419100"/>
                </a:cubicBezTo>
                <a:lnTo>
                  <a:pt x="869527" y="485951"/>
                </a:lnTo>
                <a:close/>
              </a:path>
            </a:pathLst>
          </a:custGeom>
          <a:solidFill>
            <a:srgbClr val="FF9999">
              <a:alpha val="10196"/>
            </a:srgbClr>
          </a:solidFill>
          <a:ln>
            <a:solidFill>
              <a:srgbClr val="FF9999">
                <a:alpha val="50196"/>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3" name="iceberg: react right - tip">
            <a:extLst>
              <a:ext uri="{FF2B5EF4-FFF2-40B4-BE49-F238E27FC236}">
                <a16:creationId xmlns:a16="http://schemas.microsoft.com/office/drawing/2014/main" id="{00000000-0008-0000-0200-0000ED060000}"/>
              </a:ext>
            </a:extLst>
          </xdr:cNvPr>
          <xdr:cNvSpPr/>
        </xdr:nvSpPr>
        <xdr:spPr>
          <a:xfrm flipH="1">
            <a:off x="10347113" y="19964193"/>
            <a:ext cx="869527" cy="560381"/>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0580 w 899160"/>
              <a:gd name="connsiteY38" fmla="*/ 822960 h 1790700"/>
              <a:gd name="connsiteX39" fmla="*/ 807720 w 899160"/>
              <a:gd name="connsiteY39" fmla="*/ 876300 h 1790700"/>
              <a:gd name="connsiteX40" fmla="*/ 815340 w 899160"/>
              <a:gd name="connsiteY40" fmla="*/ 922020 h 1790700"/>
              <a:gd name="connsiteX41" fmla="*/ 830580 w 899160"/>
              <a:gd name="connsiteY41" fmla="*/ 967740 h 1790700"/>
              <a:gd name="connsiteX42" fmla="*/ 838200 w 899160"/>
              <a:gd name="connsiteY42" fmla="*/ 990600 h 1790700"/>
              <a:gd name="connsiteX43" fmla="*/ 853440 w 899160"/>
              <a:gd name="connsiteY43" fmla="*/ 1059180 h 1790700"/>
              <a:gd name="connsiteX44" fmla="*/ 838200 w 899160"/>
              <a:gd name="connsiteY44" fmla="*/ 1150620 h 1790700"/>
              <a:gd name="connsiteX45" fmla="*/ 822960 w 899160"/>
              <a:gd name="connsiteY45" fmla="*/ 1173480 h 1790700"/>
              <a:gd name="connsiteX46" fmla="*/ 807720 w 899160"/>
              <a:gd name="connsiteY46" fmla="*/ 1219200 h 1790700"/>
              <a:gd name="connsiteX47" fmla="*/ 777240 w 899160"/>
              <a:gd name="connsiteY47" fmla="*/ 1264920 h 1790700"/>
              <a:gd name="connsiteX48" fmla="*/ 769620 w 899160"/>
              <a:gd name="connsiteY48" fmla="*/ 1386840 h 1790700"/>
              <a:gd name="connsiteX49" fmla="*/ 754380 w 899160"/>
              <a:gd name="connsiteY49" fmla="*/ 1409700 h 1790700"/>
              <a:gd name="connsiteX50" fmla="*/ 746760 w 899160"/>
              <a:gd name="connsiteY50" fmla="*/ 1432560 h 1790700"/>
              <a:gd name="connsiteX51" fmla="*/ 716280 w 899160"/>
              <a:gd name="connsiteY51" fmla="*/ 1478280 h 1790700"/>
              <a:gd name="connsiteX52" fmla="*/ 685800 w 899160"/>
              <a:gd name="connsiteY52" fmla="*/ 1569720 h 1790700"/>
              <a:gd name="connsiteX53" fmla="*/ 678180 w 899160"/>
              <a:gd name="connsiteY53" fmla="*/ 1592580 h 1790700"/>
              <a:gd name="connsiteX54" fmla="*/ 670560 w 899160"/>
              <a:gd name="connsiteY54" fmla="*/ 1615440 h 1790700"/>
              <a:gd name="connsiteX55" fmla="*/ 655320 w 899160"/>
              <a:gd name="connsiteY55" fmla="*/ 1676400 h 1790700"/>
              <a:gd name="connsiteX56" fmla="*/ 632460 w 899160"/>
              <a:gd name="connsiteY56" fmla="*/ 1729740 h 1790700"/>
              <a:gd name="connsiteX57" fmla="*/ 609600 w 899160"/>
              <a:gd name="connsiteY57" fmla="*/ 1760220 h 1790700"/>
              <a:gd name="connsiteX58" fmla="*/ 563880 w 899160"/>
              <a:gd name="connsiteY58" fmla="*/ 1775460 h 1790700"/>
              <a:gd name="connsiteX59" fmla="*/ 495300 w 899160"/>
              <a:gd name="connsiteY59" fmla="*/ 1790700 h 1790700"/>
              <a:gd name="connsiteX60" fmla="*/ 388620 w 899160"/>
              <a:gd name="connsiteY60" fmla="*/ 1783080 h 1790700"/>
              <a:gd name="connsiteX61" fmla="*/ 342900 w 899160"/>
              <a:gd name="connsiteY61" fmla="*/ 1752600 h 1790700"/>
              <a:gd name="connsiteX62" fmla="*/ 320040 w 899160"/>
              <a:gd name="connsiteY62" fmla="*/ 1737360 h 1790700"/>
              <a:gd name="connsiteX63" fmla="*/ 274320 w 899160"/>
              <a:gd name="connsiteY63" fmla="*/ 1699260 h 1790700"/>
              <a:gd name="connsiteX64" fmla="*/ 251460 w 899160"/>
              <a:gd name="connsiteY64" fmla="*/ 1546860 h 1790700"/>
              <a:gd name="connsiteX65" fmla="*/ 228600 w 899160"/>
              <a:gd name="connsiteY65" fmla="*/ 1524000 h 1790700"/>
              <a:gd name="connsiteX66" fmla="*/ 213360 w 899160"/>
              <a:gd name="connsiteY66" fmla="*/ 1501140 h 1790700"/>
              <a:gd name="connsiteX67" fmla="*/ 198120 w 899160"/>
              <a:gd name="connsiteY67" fmla="*/ 1348740 h 1790700"/>
              <a:gd name="connsiteX68" fmla="*/ 190500 w 899160"/>
              <a:gd name="connsiteY68" fmla="*/ 1325880 h 1790700"/>
              <a:gd name="connsiteX69" fmla="*/ 182880 w 899160"/>
              <a:gd name="connsiteY69" fmla="*/ 1181100 h 1790700"/>
              <a:gd name="connsiteX70" fmla="*/ 175260 w 899160"/>
              <a:gd name="connsiteY70" fmla="*/ 1143000 h 1790700"/>
              <a:gd name="connsiteX71" fmla="*/ 190500 w 899160"/>
              <a:gd name="connsiteY71" fmla="*/ 1043940 h 1790700"/>
              <a:gd name="connsiteX72" fmla="*/ 182880 w 899160"/>
              <a:gd name="connsiteY72" fmla="*/ 929640 h 1790700"/>
              <a:gd name="connsiteX73" fmla="*/ 160020 w 899160"/>
              <a:gd name="connsiteY73" fmla="*/ 914400 h 1790700"/>
              <a:gd name="connsiteX74" fmla="*/ 121920 w 899160"/>
              <a:gd name="connsiteY74" fmla="*/ 906780 h 1790700"/>
              <a:gd name="connsiteX75" fmla="*/ 53340 w 899160"/>
              <a:gd name="connsiteY75" fmla="*/ 876300 h 1790700"/>
              <a:gd name="connsiteX76" fmla="*/ 60960 w 899160"/>
              <a:gd name="connsiteY76" fmla="*/ 784860 h 1790700"/>
              <a:gd name="connsiteX77" fmla="*/ 76200 w 899160"/>
              <a:gd name="connsiteY77" fmla="*/ 731520 h 1790700"/>
              <a:gd name="connsiteX78" fmla="*/ 53340 w 899160"/>
              <a:gd name="connsiteY78" fmla="*/ 662940 h 1790700"/>
              <a:gd name="connsiteX79" fmla="*/ 45720 w 899160"/>
              <a:gd name="connsiteY79" fmla="*/ 640080 h 1790700"/>
              <a:gd name="connsiteX80" fmla="*/ 22860 w 899160"/>
              <a:gd name="connsiteY8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07720 w 899160"/>
              <a:gd name="connsiteY38" fmla="*/ 876300 h 1790700"/>
              <a:gd name="connsiteX39" fmla="*/ 815340 w 899160"/>
              <a:gd name="connsiteY39" fmla="*/ 922020 h 1790700"/>
              <a:gd name="connsiteX40" fmla="*/ 830580 w 899160"/>
              <a:gd name="connsiteY40" fmla="*/ 967740 h 1790700"/>
              <a:gd name="connsiteX41" fmla="*/ 838200 w 899160"/>
              <a:gd name="connsiteY41" fmla="*/ 990600 h 1790700"/>
              <a:gd name="connsiteX42" fmla="*/ 853440 w 899160"/>
              <a:gd name="connsiteY42" fmla="*/ 1059180 h 1790700"/>
              <a:gd name="connsiteX43" fmla="*/ 838200 w 899160"/>
              <a:gd name="connsiteY43" fmla="*/ 1150620 h 1790700"/>
              <a:gd name="connsiteX44" fmla="*/ 822960 w 899160"/>
              <a:gd name="connsiteY44" fmla="*/ 1173480 h 1790700"/>
              <a:gd name="connsiteX45" fmla="*/ 807720 w 899160"/>
              <a:gd name="connsiteY45" fmla="*/ 1219200 h 1790700"/>
              <a:gd name="connsiteX46" fmla="*/ 777240 w 899160"/>
              <a:gd name="connsiteY46" fmla="*/ 1264920 h 1790700"/>
              <a:gd name="connsiteX47" fmla="*/ 769620 w 899160"/>
              <a:gd name="connsiteY47" fmla="*/ 1386840 h 1790700"/>
              <a:gd name="connsiteX48" fmla="*/ 754380 w 899160"/>
              <a:gd name="connsiteY48" fmla="*/ 1409700 h 1790700"/>
              <a:gd name="connsiteX49" fmla="*/ 746760 w 899160"/>
              <a:gd name="connsiteY49" fmla="*/ 1432560 h 1790700"/>
              <a:gd name="connsiteX50" fmla="*/ 716280 w 899160"/>
              <a:gd name="connsiteY50" fmla="*/ 1478280 h 1790700"/>
              <a:gd name="connsiteX51" fmla="*/ 685800 w 899160"/>
              <a:gd name="connsiteY51" fmla="*/ 1569720 h 1790700"/>
              <a:gd name="connsiteX52" fmla="*/ 678180 w 899160"/>
              <a:gd name="connsiteY52" fmla="*/ 1592580 h 1790700"/>
              <a:gd name="connsiteX53" fmla="*/ 670560 w 899160"/>
              <a:gd name="connsiteY53" fmla="*/ 1615440 h 1790700"/>
              <a:gd name="connsiteX54" fmla="*/ 655320 w 899160"/>
              <a:gd name="connsiteY54" fmla="*/ 1676400 h 1790700"/>
              <a:gd name="connsiteX55" fmla="*/ 632460 w 899160"/>
              <a:gd name="connsiteY55" fmla="*/ 1729740 h 1790700"/>
              <a:gd name="connsiteX56" fmla="*/ 609600 w 899160"/>
              <a:gd name="connsiteY56" fmla="*/ 1760220 h 1790700"/>
              <a:gd name="connsiteX57" fmla="*/ 563880 w 899160"/>
              <a:gd name="connsiteY57" fmla="*/ 1775460 h 1790700"/>
              <a:gd name="connsiteX58" fmla="*/ 495300 w 899160"/>
              <a:gd name="connsiteY58" fmla="*/ 1790700 h 1790700"/>
              <a:gd name="connsiteX59" fmla="*/ 388620 w 899160"/>
              <a:gd name="connsiteY59" fmla="*/ 1783080 h 1790700"/>
              <a:gd name="connsiteX60" fmla="*/ 342900 w 899160"/>
              <a:gd name="connsiteY60" fmla="*/ 1752600 h 1790700"/>
              <a:gd name="connsiteX61" fmla="*/ 320040 w 899160"/>
              <a:gd name="connsiteY61" fmla="*/ 1737360 h 1790700"/>
              <a:gd name="connsiteX62" fmla="*/ 274320 w 899160"/>
              <a:gd name="connsiteY62" fmla="*/ 1699260 h 1790700"/>
              <a:gd name="connsiteX63" fmla="*/ 251460 w 899160"/>
              <a:gd name="connsiteY63" fmla="*/ 1546860 h 1790700"/>
              <a:gd name="connsiteX64" fmla="*/ 228600 w 899160"/>
              <a:gd name="connsiteY64" fmla="*/ 1524000 h 1790700"/>
              <a:gd name="connsiteX65" fmla="*/ 213360 w 899160"/>
              <a:gd name="connsiteY65" fmla="*/ 1501140 h 1790700"/>
              <a:gd name="connsiteX66" fmla="*/ 198120 w 899160"/>
              <a:gd name="connsiteY66" fmla="*/ 1348740 h 1790700"/>
              <a:gd name="connsiteX67" fmla="*/ 190500 w 899160"/>
              <a:gd name="connsiteY67" fmla="*/ 1325880 h 1790700"/>
              <a:gd name="connsiteX68" fmla="*/ 182880 w 899160"/>
              <a:gd name="connsiteY68" fmla="*/ 1181100 h 1790700"/>
              <a:gd name="connsiteX69" fmla="*/ 175260 w 899160"/>
              <a:gd name="connsiteY69" fmla="*/ 1143000 h 1790700"/>
              <a:gd name="connsiteX70" fmla="*/ 190500 w 899160"/>
              <a:gd name="connsiteY70" fmla="*/ 1043940 h 1790700"/>
              <a:gd name="connsiteX71" fmla="*/ 182880 w 899160"/>
              <a:gd name="connsiteY71" fmla="*/ 929640 h 1790700"/>
              <a:gd name="connsiteX72" fmla="*/ 160020 w 899160"/>
              <a:gd name="connsiteY72" fmla="*/ 914400 h 1790700"/>
              <a:gd name="connsiteX73" fmla="*/ 121920 w 899160"/>
              <a:gd name="connsiteY73" fmla="*/ 906780 h 1790700"/>
              <a:gd name="connsiteX74" fmla="*/ 53340 w 899160"/>
              <a:gd name="connsiteY74" fmla="*/ 876300 h 1790700"/>
              <a:gd name="connsiteX75" fmla="*/ 60960 w 899160"/>
              <a:gd name="connsiteY75" fmla="*/ 784860 h 1790700"/>
              <a:gd name="connsiteX76" fmla="*/ 76200 w 899160"/>
              <a:gd name="connsiteY76" fmla="*/ 731520 h 1790700"/>
              <a:gd name="connsiteX77" fmla="*/ 53340 w 899160"/>
              <a:gd name="connsiteY77" fmla="*/ 662940 h 1790700"/>
              <a:gd name="connsiteX78" fmla="*/ 45720 w 899160"/>
              <a:gd name="connsiteY78" fmla="*/ 640080 h 1790700"/>
              <a:gd name="connsiteX79" fmla="*/ 22860 w 899160"/>
              <a:gd name="connsiteY7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990600 h 1790700"/>
              <a:gd name="connsiteX41" fmla="*/ 853440 w 899160"/>
              <a:gd name="connsiteY41" fmla="*/ 1059180 h 1790700"/>
              <a:gd name="connsiteX42" fmla="*/ 838200 w 899160"/>
              <a:gd name="connsiteY42" fmla="*/ 1150620 h 1790700"/>
              <a:gd name="connsiteX43" fmla="*/ 822960 w 899160"/>
              <a:gd name="connsiteY43" fmla="*/ 1173480 h 1790700"/>
              <a:gd name="connsiteX44" fmla="*/ 807720 w 899160"/>
              <a:gd name="connsiteY44" fmla="*/ 1219200 h 1790700"/>
              <a:gd name="connsiteX45" fmla="*/ 777240 w 899160"/>
              <a:gd name="connsiteY45" fmla="*/ 1264920 h 1790700"/>
              <a:gd name="connsiteX46" fmla="*/ 769620 w 899160"/>
              <a:gd name="connsiteY46" fmla="*/ 1386840 h 1790700"/>
              <a:gd name="connsiteX47" fmla="*/ 754380 w 899160"/>
              <a:gd name="connsiteY47" fmla="*/ 1409700 h 1790700"/>
              <a:gd name="connsiteX48" fmla="*/ 746760 w 899160"/>
              <a:gd name="connsiteY48" fmla="*/ 1432560 h 1790700"/>
              <a:gd name="connsiteX49" fmla="*/ 716280 w 899160"/>
              <a:gd name="connsiteY49" fmla="*/ 1478280 h 1790700"/>
              <a:gd name="connsiteX50" fmla="*/ 685800 w 899160"/>
              <a:gd name="connsiteY50" fmla="*/ 1569720 h 1790700"/>
              <a:gd name="connsiteX51" fmla="*/ 678180 w 899160"/>
              <a:gd name="connsiteY51" fmla="*/ 1592580 h 1790700"/>
              <a:gd name="connsiteX52" fmla="*/ 670560 w 899160"/>
              <a:gd name="connsiteY52" fmla="*/ 1615440 h 1790700"/>
              <a:gd name="connsiteX53" fmla="*/ 655320 w 899160"/>
              <a:gd name="connsiteY53" fmla="*/ 1676400 h 1790700"/>
              <a:gd name="connsiteX54" fmla="*/ 632460 w 899160"/>
              <a:gd name="connsiteY54" fmla="*/ 1729740 h 1790700"/>
              <a:gd name="connsiteX55" fmla="*/ 609600 w 899160"/>
              <a:gd name="connsiteY55" fmla="*/ 1760220 h 1790700"/>
              <a:gd name="connsiteX56" fmla="*/ 563880 w 899160"/>
              <a:gd name="connsiteY56" fmla="*/ 1775460 h 1790700"/>
              <a:gd name="connsiteX57" fmla="*/ 495300 w 899160"/>
              <a:gd name="connsiteY57" fmla="*/ 1790700 h 1790700"/>
              <a:gd name="connsiteX58" fmla="*/ 388620 w 899160"/>
              <a:gd name="connsiteY58" fmla="*/ 1783080 h 1790700"/>
              <a:gd name="connsiteX59" fmla="*/ 342900 w 899160"/>
              <a:gd name="connsiteY59" fmla="*/ 1752600 h 1790700"/>
              <a:gd name="connsiteX60" fmla="*/ 320040 w 899160"/>
              <a:gd name="connsiteY60" fmla="*/ 1737360 h 1790700"/>
              <a:gd name="connsiteX61" fmla="*/ 274320 w 899160"/>
              <a:gd name="connsiteY61" fmla="*/ 1699260 h 1790700"/>
              <a:gd name="connsiteX62" fmla="*/ 251460 w 899160"/>
              <a:gd name="connsiteY62" fmla="*/ 1546860 h 1790700"/>
              <a:gd name="connsiteX63" fmla="*/ 228600 w 899160"/>
              <a:gd name="connsiteY63" fmla="*/ 1524000 h 1790700"/>
              <a:gd name="connsiteX64" fmla="*/ 213360 w 899160"/>
              <a:gd name="connsiteY64" fmla="*/ 1501140 h 1790700"/>
              <a:gd name="connsiteX65" fmla="*/ 198120 w 899160"/>
              <a:gd name="connsiteY65" fmla="*/ 1348740 h 1790700"/>
              <a:gd name="connsiteX66" fmla="*/ 190500 w 899160"/>
              <a:gd name="connsiteY66" fmla="*/ 1325880 h 1790700"/>
              <a:gd name="connsiteX67" fmla="*/ 182880 w 899160"/>
              <a:gd name="connsiteY67" fmla="*/ 1181100 h 1790700"/>
              <a:gd name="connsiteX68" fmla="*/ 175260 w 899160"/>
              <a:gd name="connsiteY68" fmla="*/ 1143000 h 1790700"/>
              <a:gd name="connsiteX69" fmla="*/ 190500 w 899160"/>
              <a:gd name="connsiteY69" fmla="*/ 1043940 h 1790700"/>
              <a:gd name="connsiteX70" fmla="*/ 182880 w 899160"/>
              <a:gd name="connsiteY70" fmla="*/ 929640 h 1790700"/>
              <a:gd name="connsiteX71" fmla="*/ 160020 w 899160"/>
              <a:gd name="connsiteY71" fmla="*/ 914400 h 1790700"/>
              <a:gd name="connsiteX72" fmla="*/ 121920 w 899160"/>
              <a:gd name="connsiteY72" fmla="*/ 906780 h 1790700"/>
              <a:gd name="connsiteX73" fmla="*/ 53340 w 899160"/>
              <a:gd name="connsiteY73" fmla="*/ 876300 h 1790700"/>
              <a:gd name="connsiteX74" fmla="*/ 60960 w 899160"/>
              <a:gd name="connsiteY74" fmla="*/ 784860 h 1790700"/>
              <a:gd name="connsiteX75" fmla="*/ 76200 w 899160"/>
              <a:gd name="connsiteY75" fmla="*/ 731520 h 1790700"/>
              <a:gd name="connsiteX76" fmla="*/ 53340 w 899160"/>
              <a:gd name="connsiteY76" fmla="*/ 662940 h 1790700"/>
              <a:gd name="connsiteX77" fmla="*/ 45720 w 899160"/>
              <a:gd name="connsiteY77" fmla="*/ 640080 h 1790700"/>
              <a:gd name="connsiteX78" fmla="*/ 22860 w 899160"/>
              <a:gd name="connsiteY7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53440 w 899160"/>
              <a:gd name="connsiteY40" fmla="*/ 1059180 h 1790700"/>
              <a:gd name="connsiteX41" fmla="*/ 838200 w 899160"/>
              <a:gd name="connsiteY41" fmla="*/ 1150620 h 1790700"/>
              <a:gd name="connsiteX42" fmla="*/ 822960 w 899160"/>
              <a:gd name="connsiteY42" fmla="*/ 1173480 h 1790700"/>
              <a:gd name="connsiteX43" fmla="*/ 807720 w 899160"/>
              <a:gd name="connsiteY43" fmla="*/ 1219200 h 1790700"/>
              <a:gd name="connsiteX44" fmla="*/ 777240 w 899160"/>
              <a:gd name="connsiteY44" fmla="*/ 1264920 h 1790700"/>
              <a:gd name="connsiteX45" fmla="*/ 769620 w 899160"/>
              <a:gd name="connsiteY45" fmla="*/ 1386840 h 1790700"/>
              <a:gd name="connsiteX46" fmla="*/ 754380 w 899160"/>
              <a:gd name="connsiteY46" fmla="*/ 1409700 h 1790700"/>
              <a:gd name="connsiteX47" fmla="*/ 746760 w 899160"/>
              <a:gd name="connsiteY47" fmla="*/ 1432560 h 1790700"/>
              <a:gd name="connsiteX48" fmla="*/ 716280 w 899160"/>
              <a:gd name="connsiteY48" fmla="*/ 1478280 h 1790700"/>
              <a:gd name="connsiteX49" fmla="*/ 685800 w 899160"/>
              <a:gd name="connsiteY49" fmla="*/ 1569720 h 1790700"/>
              <a:gd name="connsiteX50" fmla="*/ 678180 w 899160"/>
              <a:gd name="connsiteY50" fmla="*/ 1592580 h 1790700"/>
              <a:gd name="connsiteX51" fmla="*/ 670560 w 899160"/>
              <a:gd name="connsiteY51" fmla="*/ 1615440 h 1790700"/>
              <a:gd name="connsiteX52" fmla="*/ 655320 w 899160"/>
              <a:gd name="connsiteY52" fmla="*/ 1676400 h 1790700"/>
              <a:gd name="connsiteX53" fmla="*/ 632460 w 899160"/>
              <a:gd name="connsiteY53" fmla="*/ 1729740 h 1790700"/>
              <a:gd name="connsiteX54" fmla="*/ 609600 w 899160"/>
              <a:gd name="connsiteY54" fmla="*/ 1760220 h 1790700"/>
              <a:gd name="connsiteX55" fmla="*/ 563880 w 899160"/>
              <a:gd name="connsiteY55" fmla="*/ 1775460 h 1790700"/>
              <a:gd name="connsiteX56" fmla="*/ 495300 w 899160"/>
              <a:gd name="connsiteY56" fmla="*/ 1790700 h 1790700"/>
              <a:gd name="connsiteX57" fmla="*/ 388620 w 899160"/>
              <a:gd name="connsiteY57" fmla="*/ 1783080 h 1790700"/>
              <a:gd name="connsiteX58" fmla="*/ 342900 w 899160"/>
              <a:gd name="connsiteY58" fmla="*/ 1752600 h 1790700"/>
              <a:gd name="connsiteX59" fmla="*/ 320040 w 899160"/>
              <a:gd name="connsiteY59" fmla="*/ 1737360 h 1790700"/>
              <a:gd name="connsiteX60" fmla="*/ 274320 w 899160"/>
              <a:gd name="connsiteY60" fmla="*/ 1699260 h 1790700"/>
              <a:gd name="connsiteX61" fmla="*/ 251460 w 899160"/>
              <a:gd name="connsiteY61" fmla="*/ 1546860 h 1790700"/>
              <a:gd name="connsiteX62" fmla="*/ 228600 w 899160"/>
              <a:gd name="connsiteY62" fmla="*/ 1524000 h 1790700"/>
              <a:gd name="connsiteX63" fmla="*/ 213360 w 899160"/>
              <a:gd name="connsiteY63" fmla="*/ 1501140 h 1790700"/>
              <a:gd name="connsiteX64" fmla="*/ 198120 w 899160"/>
              <a:gd name="connsiteY64" fmla="*/ 1348740 h 1790700"/>
              <a:gd name="connsiteX65" fmla="*/ 190500 w 899160"/>
              <a:gd name="connsiteY65" fmla="*/ 1325880 h 1790700"/>
              <a:gd name="connsiteX66" fmla="*/ 182880 w 899160"/>
              <a:gd name="connsiteY66" fmla="*/ 1181100 h 1790700"/>
              <a:gd name="connsiteX67" fmla="*/ 175260 w 899160"/>
              <a:gd name="connsiteY67" fmla="*/ 1143000 h 1790700"/>
              <a:gd name="connsiteX68" fmla="*/ 190500 w 899160"/>
              <a:gd name="connsiteY68" fmla="*/ 1043940 h 1790700"/>
              <a:gd name="connsiteX69" fmla="*/ 182880 w 899160"/>
              <a:gd name="connsiteY69" fmla="*/ 929640 h 1790700"/>
              <a:gd name="connsiteX70" fmla="*/ 160020 w 899160"/>
              <a:gd name="connsiteY70" fmla="*/ 914400 h 1790700"/>
              <a:gd name="connsiteX71" fmla="*/ 121920 w 899160"/>
              <a:gd name="connsiteY71" fmla="*/ 906780 h 1790700"/>
              <a:gd name="connsiteX72" fmla="*/ 53340 w 899160"/>
              <a:gd name="connsiteY72" fmla="*/ 876300 h 1790700"/>
              <a:gd name="connsiteX73" fmla="*/ 60960 w 899160"/>
              <a:gd name="connsiteY73" fmla="*/ 784860 h 1790700"/>
              <a:gd name="connsiteX74" fmla="*/ 76200 w 899160"/>
              <a:gd name="connsiteY74" fmla="*/ 731520 h 1790700"/>
              <a:gd name="connsiteX75" fmla="*/ 53340 w 899160"/>
              <a:gd name="connsiteY75" fmla="*/ 662940 h 1790700"/>
              <a:gd name="connsiteX76" fmla="*/ 45720 w 899160"/>
              <a:gd name="connsiteY76" fmla="*/ 640080 h 1790700"/>
              <a:gd name="connsiteX77" fmla="*/ 22860 w 899160"/>
              <a:gd name="connsiteY7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1150620 h 1790700"/>
              <a:gd name="connsiteX41" fmla="*/ 822960 w 899160"/>
              <a:gd name="connsiteY41" fmla="*/ 1173480 h 1790700"/>
              <a:gd name="connsiteX42" fmla="*/ 807720 w 899160"/>
              <a:gd name="connsiteY42" fmla="*/ 1219200 h 1790700"/>
              <a:gd name="connsiteX43" fmla="*/ 777240 w 899160"/>
              <a:gd name="connsiteY43" fmla="*/ 1264920 h 1790700"/>
              <a:gd name="connsiteX44" fmla="*/ 769620 w 899160"/>
              <a:gd name="connsiteY44" fmla="*/ 1386840 h 1790700"/>
              <a:gd name="connsiteX45" fmla="*/ 754380 w 899160"/>
              <a:gd name="connsiteY45" fmla="*/ 1409700 h 1790700"/>
              <a:gd name="connsiteX46" fmla="*/ 746760 w 899160"/>
              <a:gd name="connsiteY46" fmla="*/ 1432560 h 1790700"/>
              <a:gd name="connsiteX47" fmla="*/ 716280 w 899160"/>
              <a:gd name="connsiteY47" fmla="*/ 1478280 h 1790700"/>
              <a:gd name="connsiteX48" fmla="*/ 685800 w 899160"/>
              <a:gd name="connsiteY48" fmla="*/ 1569720 h 1790700"/>
              <a:gd name="connsiteX49" fmla="*/ 678180 w 899160"/>
              <a:gd name="connsiteY49" fmla="*/ 1592580 h 1790700"/>
              <a:gd name="connsiteX50" fmla="*/ 670560 w 899160"/>
              <a:gd name="connsiteY50" fmla="*/ 1615440 h 1790700"/>
              <a:gd name="connsiteX51" fmla="*/ 655320 w 899160"/>
              <a:gd name="connsiteY51" fmla="*/ 1676400 h 1790700"/>
              <a:gd name="connsiteX52" fmla="*/ 632460 w 899160"/>
              <a:gd name="connsiteY52" fmla="*/ 1729740 h 1790700"/>
              <a:gd name="connsiteX53" fmla="*/ 609600 w 899160"/>
              <a:gd name="connsiteY53" fmla="*/ 1760220 h 1790700"/>
              <a:gd name="connsiteX54" fmla="*/ 563880 w 899160"/>
              <a:gd name="connsiteY54" fmla="*/ 1775460 h 1790700"/>
              <a:gd name="connsiteX55" fmla="*/ 495300 w 899160"/>
              <a:gd name="connsiteY55" fmla="*/ 1790700 h 1790700"/>
              <a:gd name="connsiteX56" fmla="*/ 388620 w 899160"/>
              <a:gd name="connsiteY56" fmla="*/ 1783080 h 1790700"/>
              <a:gd name="connsiteX57" fmla="*/ 342900 w 899160"/>
              <a:gd name="connsiteY57" fmla="*/ 1752600 h 1790700"/>
              <a:gd name="connsiteX58" fmla="*/ 320040 w 899160"/>
              <a:gd name="connsiteY58" fmla="*/ 1737360 h 1790700"/>
              <a:gd name="connsiteX59" fmla="*/ 274320 w 899160"/>
              <a:gd name="connsiteY59" fmla="*/ 1699260 h 1790700"/>
              <a:gd name="connsiteX60" fmla="*/ 251460 w 899160"/>
              <a:gd name="connsiteY60" fmla="*/ 1546860 h 1790700"/>
              <a:gd name="connsiteX61" fmla="*/ 228600 w 899160"/>
              <a:gd name="connsiteY61" fmla="*/ 1524000 h 1790700"/>
              <a:gd name="connsiteX62" fmla="*/ 213360 w 899160"/>
              <a:gd name="connsiteY62" fmla="*/ 1501140 h 1790700"/>
              <a:gd name="connsiteX63" fmla="*/ 198120 w 899160"/>
              <a:gd name="connsiteY63" fmla="*/ 1348740 h 1790700"/>
              <a:gd name="connsiteX64" fmla="*/ 190500 w 899160"/>
              <a:gd name="connsiteY64" fmla="*/ 1325880 h 1790700"/>
              <a:gd name="connsiteX65" fmla="*/ 182880 w 899160"/>
              <a:gd name="connsiteY65" fmla="*/ 1181100 h 1790700"/>
              <a:gd name="connsiteX66" fmla="*/ 175260 w 899160"/>
              <a:gd name="connsiteY66" fmla="*/ 1143000 h 1790700"/>
              <a:gd name="connsiteX67" fmla="*/ 190500 w 899160"/>
              <a:gd name="connsiteY67" fmla="*/ 1043940 h 1790700"/>
              <a:gd name="connsiteX68" fmla="*/ 182880 w 899160"/>
              <a:gd name="connsiteY68" fmla="*/ 929640 h 1790700"/>
              <a:gd name="connsiteX69" fmla="*/ 160020 w 899160"/>
              <a:gd name="connsiteY69" fmla="*/ 914400 h 1790700"/>
              <a:gd name="connsiteX70" fmla="*/ 121920 w 899160"/>
              <a:gd name="connsiteY70" fmla="*/ 906780 h 1790700"/>
              <a:gd name="connsiteX71" fmla="*/ 53340 w 899160"/>
              <a:gd name="connsiteY71" fmla="*/ 876300 h 1790700"/>
              <a:gd name="connsiteX72" fmla="*/ 60960 w 899160"/>
              <a:gd name="connsiteY72" fmla="*/ 784860 h 1790700"/>
              <a:gd name="connsiteX73" fmla="*/ 76200 w 899160"/>
              <a:gd name="connsiteY73" fmla="*/ 731520 h 1790700"/>
              <a:gd name="connsiteX74" fmla="*/ 53340 w 899160"/>
              <a:gd name="connsiteY74" fmla="*/ 662940 h 1790700"/>
              <a:gd name="connsiteX75" fmla="*/ 45720 w 899160"/>
              <a:gd name="connsiteY75" fmla="*/ 640080 h 1790700"/>
              <a:gd name="connsiteX76" fmla="*/ 22860 w 899160"/>
              <a:gd name="connsiteY7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8200 w 899160"/>
              <a:gd name="connsiteY39" fmla="*/ 1150620 h 1790700"/>
              <a:gd name="connsiteX40" fmla="*/ 822960 w 899160"/>
              <a:gd name="connsiteY40" fmla="*/ 1173480 h 1790700"/>
              <a:gd name="connsiteX41" fmla="*/ 807720 w 899160"/>
              <a:gd name="connsiteY41" fmla="*/ 1219200 h 1790700"/>
              <a:gd name="connsiteX42" fmla="*/ 777240 w 899160"/>
              <a:gd name="connsiteY42" fmla="*/ 1264920 h 1790700"/>
              <a:gd name="connsiteX43" fmla="*/ 769620 w 899160"/>
              <a:gd name="connsiteY43" fmla="*/ 1386840 h 1790700"/>
              <a:gd name="connsiteX44" fmla="*/ 754380 w 899160"/>
              <a:gd name="connsiteY44" fmla="*/ 1409700 h 1790700"/>
              <a:gd name="connsiteX45" fmla="*/ 746760 w 899160"/>
              <a:gd name="connsiteY45" fmla="*/ 1432560 h 1790700"/>
              <a:gd name="connsiteX46" fmla="*/ 716280 w 899160"/>
              <a:gd name="connsiteY46" fmla="*/ 1478280 h 1790700"/>
              <a:gd name="connsiteX47" fmla="*/ 685800 w 899160"/>
              <a:gd name="connsiteY47" fmla="*/ 1569720 h 1790700"/>
              <a:gd name="connsiteX48" fmla="*/ 678180 w 899160"/>
              <a:gd name="connsiteY48" fmla="*/ 1592580 h 1790700"/>
              <a:gd name="connsiteX49" fmla="*/ 670560 w 899160"/>
              <a:gd name="connsiteY49" fmla="*/ 1615440 h 1790700"/>
              <a:gd name="connsiteX50" fmla="*/ 655320 w 899160"/>
              <a:gd name="connsiteY50" fmla="*/ 1676400 h 1790700"/>
              <a:gd name="connsiteX51" fmla="*/ 632460 w 899160"/>
              <a:gd name="connsiteY51" fmla="*/ 1729740 h 1790700"/>
              <a:gd name="connsiteX52" fmla="*/ 609600 w 899160"/>
              <a:gd name="connsiteY52" fmla="*/ 1760220 h 1790700"/>
              <a:gd name="connsiteX53" fmla="*/ 563880 w 899160"/>
              <a:gd name="connsiteY53" fmla="*/ 1775460 h 1790700"/>
              <a:gd name="connsiteX54" fmla="*/ 495300 w 899160"/>
              <a:gd name="connsiteY54" fmla="*/ 1790700 h 1790700"/>
              <a:gd name="connsiteX55" fmla="*/ 388620 w 899160"/>
              <a:gd name="connsiteY55" fmla="*/ 1783080 h 1790700"/>
              <a:gd name="connsiteX56" fmla="*/ 342900 w 899160"/>
              <a:gd name="connsiteY56" fmla="*/ 1752600 h 1790700"/>
              <a:gd name="connsiteX57" fmla="*/ 320040 w 899160"/>
              <a:gd name="connsiteY57" fmla="*/ 1737360 h 1790700"/>
              <a:gd name="connsiteX58" fmla="*/ 274320 w 899160"/>
              <a:gd name="connsiteY58" fmla="*/ 1699260 h 1790700"/>
              <a:gd name="connsiteX59" fmla="*/ 251460 w 899160"/>
              <a:gd name="connsiteY59" fmla="*/ 1546860 h 1790700"/>
              <a:gd name="connsiteX60" fmla="*/ 228600 w 899160"/>
              <a:gd name="connsiteY60" fmla="*/ 1524000 h 1790700"/>
              <a:gd name="connsiteX61" fmla="*/ 213360 w 899160"/>
              <a:gd name="connsiteY61" fmla="*/ 1501140 h 1790700"/>
              <a:gd name="connsiteX62" fmla="*/ 198120 w 899160"/>
              <a:gd name="connsiteY62" fmla="*/ 1348740 h 1790700"/>
              <a:gd name="connsiteX63" fmla="*/ 190500 w 899160"/>
              <a:gd name="connsiteY63" fmla="*/ 1325880 h 1790700"/>
              <a:gd name="connsiteX64" fmla="*/ 182880 w 899160"/>
              <a:gd name="connsiteY64" fmla="*/ 1181100 h 1790700"/>
              <a:gd name="connsiteX65" fmla="*/ 175260 w 899160"/>
              <a:gd name="connsiteY65" fmla="*/ 1143000 h 1790700"/>
              <a:gd name="connsiteX66" fmla="*/ 190500 w 899160"/>
              <a:gd name="connsiteY66" fmla="*/ 1043940 h 1790700"/>
              <a:gd name="connsiteX67" fmla="*/ 182880 w 899160"/>
              <a:gd name="connsiteY67" fmla="*/ 929640 h 1790700"/>
              <a:gd name="connsiteX68" fmla="*/ 160020 w 899160"/>
              <a:gd name="connsiteY68" fmla="*/ 914400 h 1790700"/>
              <a:gd name="connsiteX69" fmla="*/ 121920 w 899160"/>
              <a:gd name="connsiteY69" fmla="*/ 906780 h 1790700"/>
              <a:gd name="connsiteX70" fmla="*/ 53340 w 899160"/>
              <a:gd name="connsiteY70" fmla="*/ 876300 h 1790700"/>
              <a:gd name="connsiteX71" fmla="*/ 60960 w 899160"/>
              <a:gd name="connsiteY71" fmla="*/ 784860 h 1790700"/>
              <a:gd name="connsiteX72" fmla="*/ 76200 w 899160"/>
              <a:gd name="connsiteY72" fmla="*/ 731520 h 1790700"/>
              <a:gd name="connsiteX73" fmla="*/ 53340 w 899160"/>
              <a:gd name="connsiteY73" fmla="*/ 662940 h 1790700"/>
              <a:gd name="connsiteX74" fmla="*/ 45720 w 899160"/>
              <a:gd name="connsiteY74" fmla="*/ 640080 h 1790700"/>
              <a:gd name="connsiteX75" fmla="*/ 22860 w 899160"/>
              <a:gd name="connsiteY7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807720 w 899160"/>
              <a:gd name="connsiteY40" fmla="*/ 1219200 h 1790700"/>
              <a:gd name="connsiteX41" fmla="*/ 777240 w 899160"/>
              <a:gd name="connsiteY41" fmla="*/ 1264920 h 1790700"/>
              <a:gd name="connsiteX42" fmla="*/ 769620 w 899160"/>
              <a:gd name="connsiteY42" fmla="*/ 1386840 h 1790700"/>
              <a:gd name="connsiteX43" fmla="*/ 754380 w 899160"/>
              <a:gd name="connsiteY43" fmla="*/ 1409700 h 1790700"/>
              <a:gd name="connsiteX44" fmla="*/ 746760 w 899160"/>
              <a:gd name="connsiteY44" fmla="*/ 1432560 h 1790700"/>
              <a:gd name="connsiteX45" fmla="*/ 716280 w 899160"/>
              <a:gd name="connsiteY45" fmla="*/ 1478280 h 1790700"/>
              <a:gd name="connsiteX46" fmla="*/ 685800 w 899160"/>
              <a:gd name="connsiteY46" fmla="*/ 1569720 h 1790700"/>
              <a:gd name="connsiteX47" fmla="*/ 678180 w 899160"/>
              <a:gd name="connsiteY47" fmla="*/ 1592580 h 1790700"/>
              <a:gd name="connsiteX48" fmla="*/ 670560 w 899160"/>
              <a:gd name="connsiteY48" fmla="*/ 1615440 h 1790700"/>
              <a:gd name="connsiteX49" fmla="*/ 655320 w 899160"/>
              <a:gd name="connsiteY49" fmla="*/ 1676400 h 1790700"/>
              <a:gd name="connsiteX50" fmla="*/ 632460 w 899160"/>
              <a:gd name="connsiteY50" fmla="*/ 1729740 h 1790700"/>
              <a:gd name="connsiteX51" fmla="*/ 609600 w 899160"/>
              <a:gd name="connsiteY51" fmla="*/ 1760220 h 1790700"/>
              <a:gd name="connsiteX52" fmla="*/ 563880 w 899160"/>
              <a:gd name="connsiteY52" fmla="*/ 1775460 h 1790700"/>
              <a:gd name="connsiteX53" fmla="*/ 495300 w 899160"/>
              <a:gd name="connsiteY53" fmla="*/ 1790700 h 1790700"/>
              <a:gd name="connsiteX54" fmla="*/ 388620 w 899160"/>
              <a:gd name="connsiteY54" fmla="*/ 1783080 h 1790700"/>
              <a:gd name="connsiteX55" fmla="*/ 342900 w 899160"/>
              <a:gd name="connsiteY55" fmla="*/ 1752600 h 1790700"/>
              <a:gd name="connsiteX56" fmla="*/ 320040 w 899160"/>
              <a:gd name="connsiteY56" fmla="*/ 1737360 h 1790700"/>
              <a:gd name="connsiteX57" fmla="*/ 274320 w 899160"/>
              <a:gd name="connsiteY57" fmla="*/ 1699260 h 1790700"/>
              <a:gd name="connsiteX58" fmla="*/ 251460 w 899160"/>
              <a:gd name="connsiteY58" fmla="*/ 1546860 h 1790700"/>
              <a:gd name="connsiteX59" fmla="*/ 228600 w 899160"/>
              <a:gd name="connsiteY59" fmla="*/ 1524000 h 1790700"/>
              <a:gd name="connsiteX60" fmla="*/ 213360 w 899160"/>
              <a:gd name="connsiteY60" fmla="*/ 1501140 h 1790700"/>
              <a:gd name="connsiteX61" fmla="*/ 198120 w 899160"/>
              <a:gd name="connsiteY61" fmla="*/ 1348740 h 1790700"/>
              <a:gd name="connsiteX62" fmla="*/ 190500 w 899160"/>
              <a:gd name="connsiteY62" fmla="*/ 1325880 h 1790700"/>
              <a:gd name="connsiteX63" fmla="*/ 182880 w 899160"/>
              <a:gd name="connsiteY63" fmla="*/ 1181100 h 1790700"/>
              <a:gd name="connsiteX64" fmla="*/ 175260 w 899160"/>
              <a:gd name="connsiteY64" fmla="*/ 1143000 h 1790700"/>
              <a:gd name="connsiteX65" fmla="*/ 190500 w 899160"/>
              <a:gd name="connsiteY65" fmla="*/ 1043940 h 1790700"/>
              <a:gd name="connsiteX66" fmla="*/ 182880 w 899160"/>
              <a:gd name="connsiteY66" fmla="*/ 929640 h 1790700"/>
              <a:gd name="connsiteX67" fmla="*/ 160020 w 899160"/>
              <a:gd name="connsiteY67" fmla="*/ 914400 h 1790700"/>
              <a:gd name="connsiteX68" fmla="*/ 121920 w 899160"/>
              <a:gd name="connsiteY68" fmla="*/ 906780 h 1790700"/>
              <a:gd name="connsiteX69" fmla="*/ 53340 w 899160"/>
              <a:gd name="connsiteY69" fmla="*/ 876300 h 1790700"/>
              <a:gd name="connsiteX70" fmla="*/ 60960 w 899160"/>
              <a:gd name="connsiteY70" fmla="*/ 784860 h 1790700"/>
              <a:gd name="connsiteX71" fmla="*/ 76200 w 899160"/>
              <a:gd name="connsiteY71" fmla="*/ 731520 h 1790700"/>
              <a:gd name="connsiteX72" fmla="*/ 53340 w 899160"/>
              <a:gd name="connsiteY72" fmla="*/ 662940 h 1790700"/>
              <a:gd name="connsiteX73" fmla="*/ 45720 w 899160"/>
              <a:gd name="connsiteY73" fmla="*/ 640080 h 1790700"/>
              <a:gd name="connsiteX74" fmla="*/ 22860 w 899160"/>
              <a:gd name="connsiteY7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777240 w 899160"/>
              <a:gd name="connsiteY40" fmla="*/ 1264920 h 1790700"/>
              <a:gd name="connsiteX41" fmla="*/ 769620 w 899160"/>
              <a:gd name="connsiteY41" fmla="*/ 1386840 h 1790700"/>
              <a:gd name="connsiteX42" fmla="*/ 754380 w 899160"/>
              <a:gd name="connsiteY42" fmla="*/ 1409700 h 1790700"/>
              <a:gd name="connsiteX43" fmla="*/ 746760 w 899160"/>
              <a:gd name="connsiteY43" fmla="*/ 1432560 h 1790700"/>
              <a:gd name="connsiteX44" fmla="*/ 716280 w 899160"/>
              <a:gd name="connsiteY44" fmla="*/ 1478280 h 1790700"/>
              <a:gd name="connsiteX45" fmla="*/ 685800 w 899160"/>
              <a:gd name="connsiteY45" fmla="*/ 1569720 h 1790700"/>
              <a:gd name="connsiteX46" fmla="*/ 678180 w 899160"/>
              <a:gd name="connsiteY46" fmla="*/ 1592580 h 1790700"/>
              <a:gd name="connsiteX47" fmla="*/ 670560 w 899160"/>
              <a:gd name="connsiteY47" fmla="*/ 1615440 h 1790700"/>
              <a:gd name="connsiteX48" fmla="*/ 655320 w 899160"/>
              <a:gd name="connsiteY48" fmla="*/ 1676400 h 1790700"/>
              <a:gd name="connsiteX49" fmla="*/ 632460 w 899160"/>
              <a:gd name="connsiteY49" fmla="*/ 1729740 h 1790700"/>
              <a:gd name="connsiteX50" fmla="*/ 609600 w 899160"/>
              <a:gd name="connsiteY50" fmla="*/ 1760220 h 1790700"/>
              <a:gd name="connsiteX51" fmla="*/ 563880 w 899160"/>
              <a:gd name="connsiteY51" fmla="*/ 1775460 h 1790700"/>
              <a:gd name="connsiteX52" fmla="*/ 495300 w 899160"/>
              <a:gd name="connsiteY52" fmla="*/ 1790700 h 1790700"/>
              <a:gd name="connsiteX53" fmla="*/ 388620 w 899160"/>
              <a:gd name="connsiteY53" fmla="*/ 1783080 h 1790700"/>
              <a:gd name="connsiteX54" fmla="*/ 342900 w 899160"/>
              <a:gd name="connsiteY54" fmla="*/ 1752600 h 1790700"/>
              <a:gd name="connsiteX55" fmla="*/ 320040 w 899160"/>
              <a:gd name="connsiteY55" fmla="*/ 1737360 h 1790700"/>
              <a:gd name="connsiteX56" fmla="*/ 274320 w 899160"/>
              <a:gd name="connsiteY56" fmla="*/ 1699260 h 1790700"/>
              <a:gd name="connsiteX57" fmla="*/ 251460 w 899160"/>
              <a:gd name="connsiteY57" fmla="*/ 1546860 h 1790700"/>
              <a:gd name="connsiteX58" fmla="*/ 228600 w 899160"/>
              <a:gd name="connsiteY58" fmla="*/ 1524000 h 1790700"/>
              <a:gd name="connsiteX59" fmla="*/ 213360 w 899160"/>
              <a:gd name="connsiteY59" fmla="*/ 1501140 h 1790700"/>
              <a:gd name="connsiteX60" fmla="*/ 198120 w 899160"/>
              <a:gd name="connsiteY60" fmla="*/ 1348740 h 1790700"/>
              <a:gd name="connsiteX61" fmla="*/ 190500 w 899160"/>
              <a:gd name="connsiteY61" fmla="*/ 1325880 h 1790700"/>
              <a:gd name="connsiteX62" fmla="*/ 182880 w 899160"/>
              <a:gd name="connsiteY62" fmla="*/ 1181100 h 1790700"/>
              <a:gd name="connsiteX63" fmla="*/ 175260 w 899160"/>
              <a:gd name="connsiteY63" fmla="*/ 1143000 h 1790700"/>
              <a:gd name="connsiteX64" fmla="*/ 190500 w 899160"/>
              <a:gd name="connsiteY64" fmla="*/ 1043940 h 1790700"/>
              <a:gd name="connsiteX65" fmla="*/ 182880 w 899160"/>
              <a:gd name="connsiteY65" fmla="*/ 929640 h 1790700"/>
              <a:gd name="connsiteX66" fmla="*/ 160020 w 899160"/>
              <a:gd name="connsiteY66" fmla="*/ 914400 h 1790700"/>
              <a:gd name="connsiteX67" fmla="*/ 121920 w 899160"/>
              <a:gd name="connsiteY67" fmla="*/ 906780 h 1790700"/>
              <a:gd name="connsiteX68" fmla="*/ 53340 w 899160"/>
              <a:gd name="connsiteY68" fmla="*/ 876300 h 1790700"/>
              <a:gd name="connsiteX69" fmla="*/ 60960 w 899160"/>
              <a:gd name="connsiteY69" fmla="*/ 784860 h 1790700"/>
              <a:gd name="connsiteX70" fmla="*/ 76200 w 899160"/>
              <a:gd name="connsiteY70" fmla="*/ 731520 h 1790700"/>
              <a:gd name="connsiteX71" fmla="*/ 53340 w 899160"/>
              <a:gd name="connsiteY71" fmla="*/ 662940 h 1790700"/>
              <a:gd name="connsiteX72" fmla="*/ 45720 w 899160"/>
              <a:gd name="connsiteY72" fmla="*/ 640080 h 1790700"/>
              <a:gd name="connsiteX73" fmla="*/ 22860 w 899160"/>
              <a:gd name="connsiteY7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77240 w 899160"/>
              <a:gd name="connsiteY39" fmla="*/ 1264920 h 1790700"/>
              <a:gd name="connsiteX40" fmla="*/ 769620 w 899160"/>
              <a:gd name="connsiteY40" fmla="*/ 1386840 h 1790700"/>
              <a:gd name="connsiteX41" fmla="*/ 754380 w 899160"/>
              <a:gd name="connsiteY41" fmla="*/ 1409700 h 1790700"/>
              <a:gd name="connsiteX42" fmla="*/ 746760 w 899160"/>
              <a:gd name="connsiteY42" fmla="*/ 1432560 h 1790700"/>
              <a:gd name="connsiteX43" fmla="*/ 716280 w 899160"/>
              <a:gd name="connsiteY43" fmla="*/ 1478280 h 1790700"/>
              <a:gd name="connsiteX44" fmla="*/ 685800 w 899160"/>
              <a:gd name="connsiteY44" fmla="*/ 1569720 h 1790700"/>
              <a:gd name="connsiteX45" fmla="*/ 678180 w 899160"/>
              <a:gd name="connsiteY45" fmla="*/ 1592580 h 1790700"/>
              <a:gd name="connsiteX46" fmla="*/ 670560 w 899160"/>
              <a:gd name="connsiteY46" fmla="*/ 1615440 h 1790700"/>
              <a:gd name="connsiteX47" fmla="*/ 655320 w 899160"/>
              <a:gd name="connsiteY47" fmla="*/ 1676400 h 1790700"/>
              <a:gd name="connsiteX48" fmla="*/ 632460 w 899160"/>
              <a:gd name="connsiteY48" fmla="*/ 1729740 h 1790700"/>
              <a:gd name="connsiteX49" fmla="*/ 609600 w 899160"/>
              <a:gd name="connsiteY49" fmla="*/ 1760220 h 1790700"/>
              <a:gd name="connsiteX50" fmla="*/ 563880 w 899160"/>
              <a:gd name="connsiteY50" fmla="*/ 1775460 h 1790700"/>
              <a:gd name="connsiteX51" fmla="*/ 495300 w 899160"/>
              <a:gd name="connsiteY51" fmla="*/ 1790700 h 1790700"/>
              <a:gd name="connsiteX52" fmla="*/ 388620 w 899160"/>
              <a:gd name="connsiteY52" fmla="*/ 1783080 h 1790700"/>
              <a:gd name="connsiteX53" fmla="*/ 342900 w 899160"/>
              <a:gd name="connsiteY53" fmla="*/ 1752600 h 1790700"/>
              <a:gd name="connsiteX54" fmla="*/ 320040 w 899160"/>
              <a:gd name="connsiteY54" fmla="*/ 1737360 h 1790700"/>
              <a:gd name="connsiteX55" fmla="*/ 274320 w 899160"/>
              <a:gd name="connsiteY55" fmla="*/ 1699260 h 1790700"/>
              <a:gd name="connsiteX56" fmla="*/ 251460 w 899160"/>
              <a:gd name="connsiteY56" fmla="*/ 1546860 h 1790700"/>
              <a:gd name="connsiteX57" fmla="*/ 228600 w 899160"/>
              <a:gd name="connsiteY57" fmla="*/ 1524000 h 1790700"/>
              <a:gd name="connsiteX58" fmla="*/ 213360 w 899160"/>
              <a:gd name="connsiteY58" fmla="*/ 1501140 h 1790700"/>
              <a:gd name="connsiteX59" fmla="*/ 198120 w 899160"/>
              <a:gd name="connsiteY59" fmla="*/ 1348740 h 1790700"/>
              <a:gd name="connsiteX60" fmla="*/ 190500 w 899160"/>
              <a:gd name="connsiteY60" fmla="*/ 1325880 h 1790700"/>
              <a:gd name="connsiteX61" fmla="*/ 182880 w 899160"/>
              <a:gd name="connsiteY61" fmla="*/ 1181100 h 1790700"/>
              <a:gd name="connsiteX62" fmla="*/ 175260 w 899160"/>
              <a:gd name="connsiteY62" fmla="*/ 1143000 h 1790700"/>
              <a:gd name="connsiteX63" fmla="*/ 190500 w 899160"/>
              <a:gd name="connsiteY63" fmla="*/ 1043940 h 1790700"/>
              <a:gd name="connsiteX64" fmla="*/ 182880 w 899160"/>
              <a:gd name="connsiteY64" fmla="*/ 929640 h 1790700"/>
              <a:gd name="connsiteX65" fmla="*/ 160020 w 899160"/>
              <a:gd name="connsiteY65" fmla="*/ 914400 h 1790700"/>
              <a:gd name="connsiteX66" fmla="*/ 121920 w 899160"/>
              <a:gd name="connsiteY66" fmla="*/ 906780 h 1790700"/>
              <a:gd name="connsiteX67" fmla="*/ 53340 w 899160"/>
              <a:gd name="connsiteY67" fmla="*/ 876300 h 1790700"/>
              <a:gd name="connsiteX68" fmla="*/ 60960 w 899160"/>
              <a:gd name="connsiteY68" fmla="*/ 784860 h 1790700"/>
              <a:gd name="connsiteX69" fmla="*/ 76200 w 899160"/>
              <a:gd name="connsiteY69" fmla="*/ 731520 h 1790700"/>
              <a:gd name="connsiteX70" fmla="*/ 53340 w 899160"/>
              <a:gd name="connsiteY70" fmla="*/ 662940 h 1790700"/>
              <a:gd name="connsiteX71" fmla="*/ 45720 w 899160"/>
              <a:gd name="connsiteY71" fmla="*/ 640080 h 1790700"/>
              <a:gd name="connsiteX72" fmla="*/ 22860 w 899160"/>
              <a:gd name="connsiteY7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716280 w 899160"/>
              <a:gd name="connsiteY42" fmla="*/ 1478280 h 1790700"/>
              <a:gd name="connsiteX43" fmla="*/ 685800 w 899160"/>
              <a:gd name="connsiteY43" fmla="*/ 1569720 h 1790700"/>
              <a:gd name="connsiteX44" fmla="*/ 678180 w 899160"/>
              <a:gd name="connsiteY44" fmla="*/ 1592580 h 1790700"/>
              <a:gd name="connsiteX45" fmla="*/ 670560 w 899160"/>
              <a:gd name="connsiteY45" fmla="*/ 1615440 h 1790700"/>
              <a:gd name="connsiteX46" fmla="*/ 655320 w 899160"/>
              <a:gd name="connsiteY46" fmla="*/ 1676400 h 1790700"/>
              <a:gd name="connsiteX47" fmla="*/ 632460 w 899160"/>
              <a:gd name="connsiteY47" fmla="*/ 1729740 h 1790700"/>
              <a:gd name="connsiteX48" fmla="*/ 609600 w 899160"/>
              <a:gd name="connsiteY48" fmla="*/ 1760220 h 1790700"/>
              <a:gd name="connsiteX49" fmla="*/ 563880 w 899160"/>
              <a:gd name="connsiteY49" fmla="*/ 1775460 h 1790700"/>
              <a:gd name="connsiteX50" fmla="*/ 495300 w 899160"/>
              <a:gd name="connsiteY50" fmla="*/ 1790700 h 1790700"/>
              <a:gd name="connsiteX51" fmla="*/ 388620 w 899160"/>
              <a:gd name="connsiteY51" fmla="*/ 1783080 h 1790700"/>
              <a:gd name="connsiteX52" fmla="*/ 342900 w 899160"/>
              <a:gd name="connsiteY52" fmla="*/ 1752600 h 1790700"/>
              <a:gd name="connsiteX53" fmla="*/ 320040 w 899160"/>
              <a:gd name="connsiteY53" fmla="*/ 1737360 h 1790700"/>
              <a:gd name="connsiteX54" fmla="*/ 274320 w 899160"/>
              <a:gd name="connsiteY54" fmla="*/ 1699260 h 1790700"/>
              <a:gd name="connsiteX55" fmla="*/ 251460 w 899160"/>
              <a:gd name="connsiteY55" fmla="*/ 1546860 h 1790700"/>
              <a:gd name="connsiteX56" fmla="*/ 228600 w 899160"/>
              <a:gd name="connsiteY56" fmla="*/ 1524000 h 1790700"/>
              <a:gd name="connsiteX57" fmla="*/ 213360 w 899160"/>
              <a:gd name="connsiteY57" fmla="*/ 1501140 h 1790700"/>
              <a:gd name="connsiteX58" fmla="*/ 198120 w 899160"/>
              <a:gd name="connsiteY58" fmla="*/ 1348740 h 1790700"/>
              <a:gd name="connsiteX59" fmla="*/ 190500 w 899160"/>
              <a:gd name="connsiteY59" fmla="*/ 1325880 h 1790700"/>
              <a:gd name="connsiteX60" fmla="*/ 182880 w 899160"/>
              <a:gd name="connsiteY60" fmla="*/ 1181100 h 1790700"/>
              <a:gd name="connsiteX61" fmla="*/ 175260 w 899160"/>
              <a:gd name="connsiteY61" fmla="*/ 1143000 h 1790700"/>
              <a:gd name="connsiteX62" fmla="*/ 190500 w 899160"/>
              <a:gd name="connsiteY62" fmla="*/ 1043940 h 1790700"/>
              <a:gd name="connsiteX63" fmla="*/ 182880 w 899160"/>
              <a:gd name="connsiteY63" fmla="*/ 929640 h 1790700"/>
              <a:gd name="connsiteX64" fmla="*/ 160020 w 899160"/>
              <a:gd name="connsiteY64" fmla="*/ 914400 h 1790700"/>
              <a:gd name="connsiteX65" fmla="*/ 121920 w 899160"/>
              <a:gd name="connsiteY65" fmla="*/ 906780 h 1790700"/>
              <a:gd name="connsiteX66" fmla="*/ 53340 w 899160"/>
              <a:gd name="connsiteY66" fmla="*/ 876300 h 1790700"/>
              <a:gd name="connsiteX67" fmla="*/ 60960 w 899160"/>
              <a:gd name="connsiteY67" fmla="*/ 784860 h 1790700"/>
              <a:gd name="connsiteX68" fmla="*/ 76200 w 899160"/>
              <a:gd name="connsiteY68" fmla="*/ 731520 h 1790700"/>
              <a:gd name="connsiteX69" fmla="*/ 53340 w 899160"/>
              <a:gd name="connsiteY69" fmla="*/ 662940 h 1790700"/>
              <a:gd name="connsiteX70" fmla="*/ 45720 w 899160"/>
              <a:gd name="connsiteY70" fmla="*/ 640080 h 1790700"/>
              <a:gd name="connsiteX71" fmla="*/ 22860 w 899160"/>
              <a:gd name="connsiteY7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70560 w 899160"/>
              <a:gd name="connsiteY44" fmla="*/ 1615440 h 1790700"/>
              <a:gd name="connsiteX45" fmla="*/ 655320 w 899160"/>
              <a:gd name="connsiteY45" fmla="*/ 1676400 h 1790700"/>
              <a:gd name="connsiteX46" fmla="*/ 632460 w 899160"/>
              <a:gd name="connsiteY46" fmla="*/ 1729740 h 1790700"/>
              <a:gd name="connsiteX47" fmla="*/ 609600 w 899160"/>
              <a:gd name="connsiteY47" fmla="*/ 1760220 h 1790700"/>
              <a:gd name="connsiteX48" fmla="*/ 563880 w 899160"/>
              <a:gd name="connsiteY48" fmla="*/ 1775460 h 1790700"/>
              <a:gd name="connsiteX49" fmla="*/ 495300 w 899160"/>
              <a:gd name="connsiteY49" fmla="*/ 1790700 h 1790700"/>
              <a:gd name="connsiteX50" fmla="*/ 388620 w 899160"/>
              <a:gd name="connsiteY50" fmla="*/ 1783080 h 1790700"/>
              <a:gd name="connsiteX51" fmla="*/ 342900 w 899160"/>
              <a:gd name="connsiteY51" fmla="*/ 1752600 h 1790700"/>
              <a:gd name="connsiteX52" fmla="*/ 320040 w 899160"/>
              <a:gd name="connsiteY52" fmla="*/ 1737360 h 1790700"/>
              <a:gd name="connsiteX53" fmla="*/ 274320 w 899160"/>
              <a:gd name="connsiteY53" fmla="*/ 1699260 h 1790700"/>
              <a:gd name="connsiteX54" fmla="*/ 251460 w 899160"/>
              <a:gd name="connsiteY54" fmla="*/ 1546860 h 1790700"/>
              <a:gd name="connsiteX55" fmla="*/ 228600 w 899160"/>
              <a:gd name="connsiteY55" fmla="*/ 1524000 h 1790700"/>
              <a:gd name="connsiteX56" fmla="*/ 213360 w 899160"/>
              <a:gd name="connsiteY56" fmla="*/ 1501140 h 1790700"/>
              <a:gd name="connsiteX57" fmla="*/ 198120 w 899160"/>
              <a:gd name="connsiteY57" fmla="*/ 1348740 h 1790700"/>
              <a:gd name="connsiteX58" fmla="*/ 190500 w 899160"/>
              <a:gd name="connsiteY58" fmla="*/ 1325880 h 1790700"/>
              <a:gd name="connsiteX59" fmla="*/ 182880 w 899160"/>
              <a:gd name="connsiteY59" fmla="*/ 1181100 h 1790700"/>
              <a:gd name="connsiteX60" fmla="*/ 175260 w 899160"/>
              <a:gd name="connsiteY60" fmla="*/ 1143000 h 1790700"/>
              <a:gd name="connsiteX61" fmla="*/ 190500 w 899160"/>
              <a:gd name="connsiteY61" fmla="*/ 1043940 h 1790700"/>
              <a:gd name="connsiteX62" fmla="*/ 182880 w 899160"/>
              <a:gd name="connsiteY62" fmla="*/ 929640 h 1790700"/>
              <a:gd name="connsiteX63" fmla="*/ 160020 w 899160"/>
              <a:gd name="connsiteY63" fmla="*/ 914400 h 1790700"/>
              <a:gd name="connsiteX64" fmla="*/ 121920 w 899160"/>
              <a:gd name="connsiteY64" fmla="*/ 906780 h 1790700"/>
              <a:gd name="connsiteX65" fmla="*/ 53340 w 899160"/>
              <a:gd name="connsiteY65" fmla="*/ 876300 h 1790700"/>
              <a:gd name="connsiteX66" fmla="*/ 60960 w 899160"/>
              <a:gd name="connsiteY66" fmla="*/ 784860 h 1790700"/>
              <a:gd name="connsiteX67" fmla="*/ 76200 w 899160"/>
              <a:gd name="connsiteY67" fmla="*/ 731520 h 1790700"/>
              <a:gd name="connsiteX68" fmla="*/ 53340 w 899160"/>
              <a:gd name="connsiteY68" fmla="*/ 662940 h 1790700"/>
              <a:gd name="connsiteX69" fmla="*/ 45720 w 899160"/>
              <a:gd name="connsiteY69" fmla="*/ 640080 h 1790700"/>
              <a:gd name="connsiteX70" fmla="*/ 22860 w 899160"/>
              <a:gd name="connsiteY7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55320 w 899160"/>
              <a:gd name="connsiteY44" fmla="*/ 1676400 h 1790700"/>
              <a:gd name="connsiteX45" fmla="*/ 632460 w 899160"/>
              <a:gd name="connsiteY45" fmla="*/ 1729740 h 1790700"/>
              <a:gd name="connsiteX46" fmla="*/ 609600 w 899160"/>
              <a:gd name="connsiteY46" fmla="*/ 1760220 h 1790700"/>
              <a:gd name="connsiteX47" fmla="*/ 563880 w 899160"/>
              <a:gd name="connsiteY47" fmla="*/ 1775460 h 1790700"/>
              <a:gd name="connsiteX48" fmla="*/ 495300 w 899160"/>
              <a:gd name="connsiteY48" fmla="*/ 1790700 h 1790700"/>
              <a:gd name="connsiteX49" fmla="*/ 388620 w 899160"/>
              <a:gd name="connsiteY49" fmla="*/ 1783080 h 1790700"/>
              <a:gd name="connsiteX50" fmla="*/ 342900 w 899160"/>
              <a:gd name="connsiteY50" fmla="*/ 1752600 h 1790700"/>
              <a:gd name="connsiteX51" fmla="*/ 320040 w 899160"/>
              <a:gd name="connsiteY51" fmla="*/ 1737360 h 1790700"/>
              <a:gd name="connsiteX52" fmla="*/ 274320 w 899160"/>
              <a:gd name="connsiteY52" fmla="*/ 1699260 h 1790700"/>
              <a:gd name="connsiteX53" fmla="*/ 251460 w 899160"/>
              <a:gd name="connsiteY53" fmla="*/ 1546860 h 1790700"/>
              <a:gd name="connsiteX54" fmla="*/ 228600 w 899160"/>
              <a:gd name="connsiteY54" fmla="*/ 1524000 h 1790700"/>
              <a:gd name="connsiteX55" fmla="*/ 213360 w 899160"/>
              <a:gd name="connsiteY55" fmla="*/ 1501140 h 1790700"/>
              <a:gd name="connsiteX56" fmla="*/ 198120 w 899160"/>
              <a:gd name="connsiteY56" fmla="*/ 1348740 h 1790700"/>
              <a:gd name="connsiteX57" fmla="*/ 190500 w 899160"/>
              <a:gd name="connsiteY57" fmla="*/ 1325880 h 1790700"/>
              <a:gd name="connsiteX58" fmla="*/ 182880 w 899160"/>
              <a:gd name="connsiteY58" fmla="*/ 1181100 h 1790700"/>
              <a:gd name="connsiteX59" fmla="*/ 175260 w 899160"/>
              <a:gd name="connsiteY59" fmla="*/ 1143000 h 1790700"/>
              <a:gd name="connsiteX60" fmla="*/ 190500 w 899160"/>
              <a:gd name="connsiteY60" fmla="*/ 1043940 h 1790700"/>
              <a:gd name="connsiteX61" fmla="*/ 182880 w 899160"/>
              <a:gd name="connsiteY61" fmla="*/ 929640 h 1790700"/>
              <a:gd name="connsiteX62" fmla="*/ 160020 w 899160"/>
              <a:gd name="connsiteY62" fmla="*/ 914400 h 1790700"/>
              <a:gd name="connsiteX63" fmla="*/ 121920 w 899160"/>
              <a:gd name="connsiteY63" fmla="*/ 906780 h 1790700"/>
              <a:gd name="connsiteX64" fmla="*/ 53340 w 899160"/>
              <a:gd name="connsiteY64" fmla="*/ 876300 h 1790700"/>
              <a:gd name="connsiteX65" fmla="*/ 60960 w 899160"/>
              <a:gd name="connsiteY65" fmla="*/ 784860 h 1790700"/>
              <a:gd name="connsiteX66" fmla="*/ 76200 w 899160"/>
              <a:gd name="connsiteY66" fmla="*/ 731520 h 1790700"/>
              <a:gd name="connsiteX67" fmla="*/ 53340 w 899160"/>
              <a:gd name="connsiteY67" fmla="*/ 662940 h 1790700"/>
              <a:gd name="connsiteX68" fmla="*/ 45720 w 899160"/>
              <a:gd name="connsiteY68" fmla="*/ 640080 h 1790700"/>
              <a:gd name="connsiteX69" fmla="*/ 22860 w 899160"/>
              <a:gd name="connsiteY6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32460 w 899160"/>
              <a:gd name="connsiteY44" fmla="*/ 1729740 h 1790700"/>
              <a:gd name="connsiteX45" fmla="*/ 609600 w 899160"/>
              <a:gd name="connsiteY45" fmla="*/ 1760220 h 1790700"/>
              <a:gd name="connsiteX46" fmla="*/ 563880 w 899160"/>
              <a:gd name="connsiteY46" fmla="*/ 1775460 h 1790700"/>
              <a:gd name="connsiteX47" fmla="*/ 495300 w 899160"/>
              <a:gd name="connsiteY47" fmla="*/ 1790700 h 1790700"/>
              <a:gd name="connsiteX48" fmla="*/ 388620 w 899160"/>
              <a:gd name="connsiteY48" fmla="*/ 1783080 h 1790700"/>
              <a:gd name="connsiteX49" fmla="*/ 342900 w 899160"/>
              <a:gd name="connsiteY49" fmla="*/ 1752600 h 1790700"/>
              <a:gd name="connsiteX50" fmla="*/ 320040 w 899160"/>
              <a:gd name="connsiteY50" fmla="*/ 1737360 h 1790700"/>
              <a:gd name="connsiteX51" fmla="*/ 274320 w 899160"/>
              <a:gd name="connsiteY51" fmla="*/ 1699260 h 1790700"/>
              <a:gd name="connsiteX52" fmla="*/ 251460 w 899160"/>
              <a:gd name="connsiteY52" fmla="*/ 1546860 h 1790700"/>
              <a:gd name="connsiteX53" fmla="*/ 228600 w 899160"/>
              <a:gd name="connsiteY53" fmla="*/ 1524000 h 1790700"/>
              <a:gd name="connsiteX54" fmla="*/ 213360 w 899160"/>
              <a:gd name="connsiteY54" fmla="*/ 1501140 h 1790700"/>
              <a:gd name="connsiteX55" fmla="*/ 198120 w 899160"/>
              <a:gd name="connsiteY55" fmla="*/ 1348740 h 1790700"/>
              <a:gd name="connsiteX56" fmla="*/ 190500 w 899160"/>
              <a:gd name="connsiteY56" fmla="*/ 1325880 h 1790700"/>
              <a:gd name="connsiteX57" fmla="*/ 182880 w 899160"/>
              <a:gd name="connsiteY57" fmla="*/ 1181100 h 1790700"/>
              <a:gd name="connsiteX58" fmla="*/ 175260 w 899160"/>
              <a:gd name="connsiteY58" fmla="*/ 1143000 h 1790700"/>
              <a:gd name="connsiteX59" fmla="*/ 190500 w 899160"/>
              <a:gd name="connsiteY59" fmla="*/ 1043940 h 1790700"/>
              <a:gd name="connsiteX60" fmla="*/ 182880 w 899160"/>
              <a:gd name="connsiteY60" fmla="*/ 929640 h 1790700"/>
              <a:gd name="connsiteX61" fmla="*/ 160020 w 899160"/>
              <a:gd name="connsiteY61" fmla="*/ 914400 h 1790700"/>
              <a:gd name="connsiteX62" fmla="*/ 121920 w 899160"/>
              <a:gd name="connsiteY62" fmla="*/ 906780 h 1790700"/>
              <a:gd name="connsiteX63" fmla="*/ 53340 w 899160"/>
              <a:gd name="connsiteY63" fmla="*/ 876300 h 1790700"/>
              <a:gd name="connsiteX64" fmla="*/ 60960 w 899160"/>
              <a:gd name="connsiteY64" fmla="*/ 784860 h 1790700"/>
              <a:gd name="connsiteX65" fmla="*/ 76200 w 899160"/>
              <a:gd name="connsiteY65" fmla="*/ 731520 h 1790700"/>
              <a:gd name="connsiteX66" fmla="*/ 53340 w 899160"/>
              <a:gd name="connsiteY66" fmla="*/ 662940 h 1790700"/>
              <a:gd name="connsiteX67" fmla="*/ 45720 w 899160"/>
              <a:gd name="connsiteY67" fmla="*/ 640080 h 1790700"/>
              <a:gd name="connsiteX68" fmla="*/ 22860 w 899160"/>
              <a:gd name="connsiteY6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685800 w 899160"/>
              <a:gd name="connsiteY41" fmla="*/ 1569720 h 1790700"/>
              <a:gd name="connsiteX42" fmla="*/ 678180 w 899160"/>
              <a:gd name="connsiteY42" fmla="*/ 1592580 h 1790700"/>
              <a:gd name="connsiteX43" fmla="*/ 632460 w 899160"/>
              <a:gd name="connsiteY43" fmla="*/ 1729740 h 1790700"/>
              <a:gd name="connsiteX44" fmla="*/ 609600 w 899160"/>
              <a:gd name="connsiteY44" fmla="*/ 1760220 h 1790700"/>
              <a:gd name="connsiteX45" fmla="*/ 563880 w 899160"/>
              <a:gd name="connsiteY45" fmla="*/ 1775460 h 1790700"/>
              <a:gd name="connsiteX46" fmla="*/ 495300 w 899160"/>
              <a:gd name="connsiteY46" fmla="*/ 1790700 h 1790700"/>
              <a:gd name="connsiteX47" fmla="*/ 388620 w 899160"/>
              <a:gd name="connsiteY47" fmla="*/ 1783080 h 1790700"/>
              <a:gd name="connsiteX48" fmla="*/ 342900 w 899160"/>
              <a:gd name="connsiteY48" fmla="*/ 1752600 h 1790700"/>
              <a:gd name="connsiteX49" fmla="*/ 320040 w 899160"/>
              <a:gd name="connsiteY49" fmla="*/ 1737360 h 1790700"/>
              <a:gd name="connsiteX50" fmla="*/ 274320 w 899160"/>
              <a:gd name="connsiteY50" fmla="*/ 1699260 h 1790700"/>
              <a:gd name="connsiteX51" fmla="*/ 251460 w 899160"/>
              <a:gd name="connsiteY51" fmla="*/ 1546860 h 1790700"/>
              <a:gd name="connsiteX52" fmla="*/ 228600 w 899160"/>
              <a:gd name="connsiteY52" fmla="*/ 1524000 h 1790700"/>
              <a:gd name="connsiteX53" fmla="*/ 213360 w 899160"/>
              <a:gd name="connsiteY53" fmla="*/ 1501140 h 1790700"/>
              <a:gd name="connsiteX54" fmla="*/ 198120 w 899160"/>
              <a:gd name="connsiteY54" fmla="*/ 1348740 h 1790700"/>
              <a:gd name="connsiteX55" fmla="*/ 190500 w 899160"/>
              <a:gd name="connsiteY55" fmla="*/ 1325880 h 1790700"/>
              <a:gd name="connsiteX56" fmla="*/ 182880 w 899160"/>
              <a:gd name="connsiteY56" fmla="*/ 1181100 h 1790700"/>
              <a:gd name="connsiteX57" fmla="*/ 175260 w 899160"/>
              <a:gd name="connsiteY57" fmla="*/ 1143000 h 1790700"/>
              <a:gd name="connsiteX58" fmla="*/ 190500 w 899160"/>
              <a:gd name="connsiteY58" fmla="*/ 1043940 h 1790700"/>
              <a:gd name="connsiteX59" fmla="*/ 182880 w 899160"/>
              <a:gd name="connsiteY59" fmla="*/ 929640 h 1790700"/>
              <a:gd name="connsiteX60" fmla="*/ 160020 w 899160"/>
              <a:gd name="connsiteY60" fmla="*/ 914400 h 1790700"/>
              <a:gd name="connsiteX61" fmla="*/ 121920 w 899160"/>
              <a:gd name="connsiteY61" fmla="*/ 906780 h 1790700"/>
              <a:gd name="connsiteX62" fmla="*/ 53340 w 899160"/>
              <a:gd name="connsiteY62" fmla="*/ 876300 h 1790700"/>
              <a:gd name="connsiteX63" fmla="*/ 60960 w 899160"/>
              <a:gd name="connsiteY63" fmla="*/ 784860 h 1790700"/>
              <a:gd name="connsiteX64" fmla="*/ 76200 w 899160"/>
              <a:gd name="connsiteY64" fmla="*/ 731520 h 1790700"/>
              <a:gd name="connsiteX65" fmla="*/ 53340 w 899160"/>
              <a:gd name="connsiteY65" fmla="*/ 662940 h 1790700"/>
              <a:gd name="connsiteX66" fmla="*/ 45720 w 899160"/>
              <a:gd name="connsiteY66" fmla="*/ 640080 h 1790700"/>
              <a:gd name="connsiteX67" fmla="*/ 22860 w 899160"/>
              <a:gd name="connsiteY6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769620 w 899160"/>
              <a:gd name="connsiteY38" fmla="*/ 1386840 h 1790700"/>
              <a:gd name="connsiteX39" fmla="*/ 754380 w 899160"/>
              <a:gd name="connsiteY39" fmla="*/ 1409700 h 1790700"/>
              <a:gd name="connsiteX40" fmla="*/ 685800 w 899160"/>
              <a:gd name="connsiteY40" fmla="*/ 1569720 h 1790700"/>
              <a:gd name="connsiteX41" fmla="*/ 678180 w 899160"/>
              <a:gd name="connsiteY41" fmla="*/ 1592580 h 1790700"/>
              <a:gd name="connsiteX42" fmla="*/ 632460 w 899160"/>
              <a:gd name="connsiteY42" fmla="*/ 1729740 h 1790700"/>
              <a:gd name="connsiteX43" fmla="*/ 609600 w 899160"/>
              <a:gd name="connsiteY43" fmla="*/ 1760220 h 1790700"/>
              <a:gd name="connsiteX44" fmla="*/ 563880 w 899160"/>
              <a:gd name="connsiteY44" fmla="*/ 1775460 h 1790700"/>
              <a:gd name="connsiteX45" fmla="*/ 495300 w 899160"/>
              <a:gd name="connsiteY45" fmla="*/ 1790700 h 1790700"/>
              <a:gd name="connsiteX46" fmla="*/ 388620 w 899160"/>
              <a:gd name="connsiteY46" fmla="*/ 1783080 h 1790700"/>
              <a:gd name="connsiteX47" fmla="*/ 342900 w 899160"/>
              <a:gd name="connsiteY47" fmla="*/ 1752600 h 1790700"/>
              <a:gd name="connsiteX48" fmla="*/ 320040 w 899160"/>
              <a:gd name="connsiteY48" fmla="*/ 1737360 h 1790700"/>
              <a:gd name="connsiteX49" fmla="*/ 274320 w 899160"/>
              <a:gd name="connsiteY49" fmla="*/ 1699260 h 1790700"/>
              <a:gd name="connsiteX50" fmla="*/ 251460 w 899160"/>
              <a:gd name="connsiteY50" fmla="*/ 1546860 h 1790700"/>
              <a:gd name="connsiteX51" fmla="*/ 228600 w 899160"/>
              <a:gd name="connsiteY51" fmla="*/ 1524000 h 1790700"/>
              <a:gd name="connsiteX52" fmla="*/ 213360 w 899160"/>
              <a:gd name="connsiteY52" fmla="*/ 1501140 h 1790700"/>
              <a:gd name="connsiteX53" fmla="*/ 198120 w 899160"/>
              <a:gd name="connsiteY53" fmla="*/ 1348740 h 1790700"/>
              <a:gd name="connsiteX54" fmla="*/ 190500 w 899160"/>
              <a:gd name="connsiteY54" fmla="*/ 1325880 h 1790700"/>
              <a:gd name="connsiteX55" fmla="*/ 182880 w 899160"/>
              <a:gd name="connsiteY55" fmla="*/ 1181100 h 1790700"/>
              <a:gd name="connsiteX56" fmla="*/ 175260 w 899160"/>
              <a:gd name="connsiteY56" fmla="*/ 1143000 h 1790700"/>
              <a:gd name="connsiteX57" fmla="*/ 190500 w 899160"/>
              <a:gd name="connsiteY57" fmla="*/ 1043940 h 1790700"/>
              <a:gd name="connsiteX58" fmla="*/ 182880 w 899160"/>
              <a:gd name="connsiteY58" fmla="*/ 929640 h 1790700"/>
              <a:gd name="connsiteX59" fmla="*/ 160020 w 899160"/>
              <a:gd name="connsiteY59" fmla="*/ 914400 h 1790700"/>
              <a:gd name="connsiteX60" fmla="*/ 121920 w 899160"/>
              <a:gd name="connsiteY60" fmla="*/ 906780 h 1790700"/>
              <a:gd name="connsiteX61" fmla="*/ 53340 w 899160"/>
              <a:gd name="connsiteY61" fmla="*/ 876300 h 1790700"/>
              <a:gd name="connsiteX62" fmla="*/ 60960 w 899160"/>
              <a:gd name="connsiteY62" fmla="*/ 784860 h 1790700"/>
              <a:gd name="connsiteX63" fmla="*/ 76200 w 899160"/>
              <a:gd name="connsiteY63" fmla="*/ 731520 h 1790700"/>
              <a:gd name="connsiteX64" fmla="*/ 53340 w 899160"/>
              <a:gd name="connsiteY64" fmla="*/ 662940 h 1790700"/>
              <a:gd name="connsiteX65" fmla="*/ 45720 w 899160"/>
              <a:gd name="connsiteY65" fmla="*/ 640080 h 1790700"/>
              <a:gd name="connsiteX66" fmla="*/ 22860 w 899160"/>
              <a:gd name="connsiteY6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769620 w 899160"/>
              <a:gd name="connsiteY37" fmla="*/ 1386840 h 1790700"/>
              <a:gd name="connsiteX38" fmla="*/ 754380 w 899160"/>
              <a:gd name="connsiteY38" fmla="*/ 1409700 h 1790700"/>
              <a:gd name="connsiteX39" fmla="*/ 685800 w 899160"/>
              <a:gd name="connsiteY39" fmla="*/ 1569720 h 1790700"/>
              <a:gd name="connsiteX40" fmla="*/ 678180 w 899160"/>
              <a:gd name="connsiteY40" fmla="*/ 1592580 h 1790700"/>
              <a:gd name="connsiteX41" fmla="*/ 632460 w 899160"/>
              <a:gd name="connsiteY41" fmla="*/ 1729740 h 1790700"/>
              <a:gd name="connsiteX42" fmla="*/ 609600 w 899160"/>
              <a:gd name="connsiteY42" fmla="*/ 1760220 h 1790700"/>
              <a:gd name="connsiteX43" fmla="*/ 563880 w 899160"/>
              <a:gd name="connsiteY43" fmla="*/ 1775460 h 1790700"/>
              <a:gd name="connsiteX44" fmla="*/ 495300 w 899160"/>
              <a:gd name="connsiteY44" fmla="*/ 1790700 h 1790700"/>
              <a:gd name="connsiteX45" fmla="*/ 388620 w 899160"/>
              <a:gd name="connsiteY45" fmla="*/ 1783080 h 1790700"/>
              <a:gd name="connsiteX46" fmla="*/ 342900 w 899160"/>
              <a:gd name="connsiteY46" fmla="*/ 1752600 h 1790700"/>
              <a:gd name="connsiteX47" fmla="*/ 320040 w 899160"/>
              <a:gd name="connsiteY47" fmla="*/ 1737360 h 1790700"/>
              <a:gd name="connsiteX48" fmla="*/ 274320 w 899160"/>
              <a:gd name="connsiteY48" fmla="*/ 1699260 h 1790700"/>
              <a:gd name="connsiteX49" fmla="*/ 251460 w 899160"/>
              <a:gd name="connsiteY49" fmla="*/ 1546860 h 1790700"/>
              <a:gd name="connsiteX50" fmla="*/ 228600 w 899160"/>
              <a:gd name="connsiteY50" fmla="*/ 1524000 h 1790700"/>
              <a:gd name="connsiteX51" fmla="*/ 213360 w 899160"/>
              <a:gd name="connsiteY51" fmla="*/ 1501140 h 1790700"/>
              <a:gd name="connsiteX52" fmla="*/ 198120 w 899160"/>
              <a:gd name="connsiteY52" fmla="*/ 1348740 h 1790700"/>
              <a:gd name="connsiteX53" fmla="*/ 190500 w 899160"/>
              <a:gd name="connsiteY53" fmla="*/ 1325880 h 1790700"/>
              <a:gd name="connsiteX54" fmla="*/ 182880 w 899160"/>
              <a:gd name="connsiteY54" fmla="*/ 1181100 h 1790700"/>
              <a:gd name="connsiteX55" fmla="*/ 175260 w 899160"/>
              <a:gd name="connsiteY55" fmla="*/ 1143000 h 1790700"/>
              <a:gd name="connsiteX56" fmla="*/ 190500 w 899160"/>
              <a:gd name="connsiteY56" fmla="*/ 1043940 h 1790700"/>
              <a:gd name="connsiteX57" fmla="*/ 182880 w 899160"/>
              <a:gd name="connsiteY57" fmla="*/ 929640 h 1790700"/>
              <a:gd name="connsiteX58" fmla="*/ 160020 w 899160"/>
              <a:gd name="connsiteY58" fmla="*/ 914400 h 1790700"/>
              <a:gd name="connsiteX59" fmla="*/ 121920 w 899160"/>
              <a:gd name="connsiteY59" fmla="*/ 906780 h 1790700"/>
              <a:gd name="connsiteX60" fmla="*/ 53340 w 899160"/>
              <a:gd name="connsiteY60" fmla="*/ 876300 h 1790700"/>
              <a:gd name="connsiteX61" fmla="*/ 60960 w 899160"/>
              <a:gd name="connsiteY61" fmla="*/ 784860 h 1790700"/>
              <a:gd name="connsiteX62" fmla="*/ 76200 w 899160"/>
              <a:gd name="connsiteY62" fmla="*/ 731520 h 1790700"/>
              <a:gd name="connsiteX63" fmla="*/ 53340 w 899160"/>
              <a:gd name="connsiteY63" fmla="*/ 662940 h 1790700"/>
              <a:gd name="connsiteX64" fmla="*/ 45720 w 899160"/>
              <a:gd name="connsiteY64" fmla="*/ 640080 h 1790700"/>
              <a:gd name="connsiteX65" fmla="*/ 22860 w 899160"/>
              <a:gd name="connsiteY6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754380 w 899160"/>
              <a:gd name="connsiteY37" fmla="*/ 1409700 h 1790700"/>
              <a:gd name="connsiteX38" fmla="*/ 685800 w 899160"/>
              <a:gd name="connsiteY38" fmla="*/ 1569720 h 1790700"/>
              <a:gd name="connsiteX39" fmla="*/ 678180 w 899160"/>
              <a:gd name="connsiteY39" fmla="*/ 1592580 h 1790700"/>
              <a:gd name="connsiteX40" fmla="*/ 632460 w 899160"/>
              <a:gd name="connsiteY40" fmla="*/ 1729740 h 1790700"/>
              <a:gd name="connsiteX41" fmla="*/ 609600 w 899160"/>
              <a:gd name="connsiteY41" fmla="*/ 1760220 h 1790700"/>
              <a:gd name="connsiteX42" fmla="*/ 563880 w 899160"/>
              <a:gd name="connsiteY42" fmla="*/ 1775460 h 1790700"/>
              <a:gd name="connsiteX43" fmla="*/ 495300 w 899160"/>
              <a:gd name="connsiteY43" fmla="*/ 1790700 h 1790700"/>
              <a:gd name="connsiteX44" fmla="*/ 388620 w 899160"/>
              <a:gd name="connsiteY44" fmla="*/ 1783080 h 1790700"/>
              <a:gd name="connsiteX45" fmla="*/ 342900 w 899160"/>
              <a:gd name="connsiteY45" fmla="*/ 1752600 h 1790700"/>
              <a:gd name="connsiteX46" fmla="*/ 320040 w 899160"/>
              <a:gd name="connsiteY46" fmla="*/ 1737360 h 1790700"/>
              <a:gd name="connsiteX47" fmla="*/ 274320 w 899160"/>
              <a:gd name="connsiteY47" fmla="*/ 1699260 h 1790700"/>
              <a:gd name="connsiteX48" fmla="*/ 251460 w 899160"/>
              <a:gd name="connsiteY48" fmla="*/ 1546860 h 1790700"/>
              <a:gd name="connsiteX49" fmla="*/ 228600 w 899160"/>
              <a:gd name="connsiteY49" fmla="*/ 1524000 h 1790700"/>
              <a:gd name="connsiteX50" fmla="*/ 213360 w 899160"/>
              <a:gd name="connsiteY50" fmla="*/ 1501140 h 1790700"/>
              <a:gd name="connsiteX51" fmla="*/ 198120 w 899160"/>
              <a:gd name="connsiteY51" fmla="*/ 1348740 h 1790700"/>
              <a:gd name="connsiteX52" fmla="*/ 190500 w 899160"/>
              <a:gd name="connsiteY52" fmla="*/ 1325880 h 1790700"/>
              <a:gd name="connsiteX53" fmla="*/ 182880 w 899160"/>
              <a:gd name="connsiteY53" fmla="*/ 1181100 h 1790700"/>
              <a:gd name="connsiteX54" fmla="*/ 175260 w 899160"/>
              <a:gd name="connsiteY54" fmla="*/ 1143000 h 1790700"/>
              <a:gd name="connsiteX55" fmla="*/ 190500 w 899160"/>
              <a:gd name="connsiteY55" fmla="*/ 1043940 h 1790700"/>
              <a:gd name="connsiteX56" fmla="*/ 182880 w 899160"/>
              <a:gd name="connsiteY56" fmla="*/ 929640 h 1790700"/>
              <a:gd name="connsiteX57" fmla="*/ 160020 w 899160"/>
              <a:gd name="connsiteY57" fmla="*/ 914400 h 1790700"/>
              <a:gd name="connsiteX58" fmla="*/ 121920 w 899160"/>
              <a:gd name="connsiteY58" fmla="*/ 906780 h 1790700"/>
              <a:gd name="connsiteX59" fmla="*/ 53340 w 899160"/>
              <a:gd name="connsiteY59" fmla="*/ 876300 h 1790700"/>
              <a:gd name="connsiteX60" fmla="*/ 60960 w 899160"/>
              <a:gd name="connsiteY60" fmla="*/ 784860 h 1790700"/>
              <a:gd name="connsiteX61" fmla="*/ 76200 w 899160"/>
              <a:gd name="connsiteY61" fmla="*/ 731520 h 1790700"/>
              <a:gd name="connsiteX62" fmla="*/ 53340 w 899160"/>
              <a:gd name="connsiteY62" fmla="*/ 662940 h 1790700"/>
              <a:gd name="connsiteX63" fmla="*/ 45720 w 899160"/>
              <a:gd name="connsiteY63" fmla="*/ 640080 h 1790700"/>
              <a:gd name="connsiteX64" fmla="*/ 22860 w 899160"/>
              <a:gd name="connsiteY6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685800 w 899160"/>
              <a:gd name="connsiteY37" fmla="*/ 1569720 h 1790700"/>
              <a:gd name="connsiteX38" fmla="*/ 678180 w 899160"/>
              <a:gd name="connsiteY38" fmla="*/ 1592580 h 1790700"/>
              <a:gd name="connsiteX39" fmla="*/ 632460 w 899160"/>
              <a:gd name="connsiteY39" fmla="*/ 1729740 h 1790700"/>
              <a:gd name="connsiteX40" fmla="*/ 609600 w 899160"/>
              <a:gd name="connsiteY40" fmla="*/ 1760220 h 1790700"/>
              <a:gd name="connsiteX41" fmla="*/ 563880 w 899160"/>
              <a:gd name="connsiteY41" fmla="*/ 1775460 h 1790700"/>
              <a:gd name="connsiteX42" fmla="*/ 495300 w 899160"/>
              <a:gd name="connsiteY42" fmla="*/ 1790700 h 1790700"/>
              <a:gd name="connsiteX43" fmla="*/ 388620 w 899160"/>
              <a:gd name="connsiteY43" fmla="*/ 1783080 h 1790700"/>
              <a:gd name="connsiteX44" fmla="*/ 342900 w 899160"/>
              <a:gd name="connsiteY44" fmla="*/ 1752600 h 1790700"/>
              <a:gd name="connsiteX45" fmla="*/ 320040 w 899160"/>
              <a:gd name="connsiteY45" fmla="*/ 1737360 h 1790700"/>
              <a:gd name="connsiteX46" fmla="*/ 274320 w 899160"/>
              <a:gd name="connsiteY46" fmla="*/ 1699260 h 1790700"/>
              <a:gd name="connsiteX47" fmla="*/ 251460 w 899160"/>
              <a:gd name="connsiteY47" fmla="*/ 1546860 h 1790700"/>
              <a:gd name="connsiteX48" fmla="*/ 228600 w 899160"/>
              <a:gd name="connsiteY48" fmla="*/ 1524000 h 1790700"/>
              <a:gd name="connsiteX49" fmla="*/ 213360 w 899160"/>
              <a:gd name="connsiteY49" fmla="*/ 1501140 h 1790700"/>
              <a:gd name="connsiteX50" fmla="*/ 198120 w 899160"/>
              <a:gd name="connsiteY50" fmla="*/ 1348740 h 1790700"/>
              <a:gd name="connsiteX51" fmla="*/ 190500 w 899160"/>
              <a:gd name="connsiteY51" fmla="*/ 1325880 h 1790700"/>
              <a:gd name="connsiteX52" fmla="*/ 182880 w 899160"/>
              <a:gd name="connsiteY52" fmla="*/ 1181100 h 1790700"/>
              <a:gd name="connsiteX53" fmla="*/ 175260 w 899160"/>
              <a:gd name="connsiteY53" fmla="*/ 1143000 h 1790700"/>
              <a:gd name="connsiteX54" fmla="*/ 190500 w 899160"/>
              <a:gd name="connsiteY54" fmla="*/ 1043940 h 1790700"/>
              <a:gd name="connsiteX55" fmla="*/ 182880 w 899160"/>
              <a:gd name="connsiteY55" fmla="*/ 929640 h 1790700"/>
              <a:gd name="connsiteX56" fmla="*/ 160020 w 899160"/>
              <a:gd name="connsiteY56" fmla="*/ 914400 h 1790700"/>
              <a:gd name="connsiteX57" fmla="*/ 121920 w 899160"/>
              <a:gd name="connsiteY57" fmla="*/ 906780 h 1790700"/>
              <a:gd name="connsiteX58" fmla="*/ 53340 w 899160"/>
              <a:gd name="connsiteY58" fmla="*/ 876300 h 1790700"/>
              <a:gd name="connsiteX59" fmla="*/ 60960 w 899160"/>
              <a:gd name="connsiteY59" fmla="*/ 784860 h 1790700"/>
              <a:gd name="connsiteX60" fmla="*/ 76200 w 899160"/>
              <a:gd name="connsiteY60" fmla="*/ 731520 h 1790700"/>
              <a:gd name="connsiteX61" fmla="*/ 53340 w 899160"/>
              <a:gd name="connsiteY61" fmla="*/ 662940 h 1790700"/>
              <a:gd name="connsiteX62" fmla="*/ 45720 w 899160"/>
              <a:gd name="connsiteY62" fmla="*/ 640080 h 1790700"/>
              <a:gd name="connsiteX63" fmla="*/ 22860 w 899160"/>
              <a:gd name="connsiteY6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78180 w 899160"/>
              <a:gd name="connsiteY37" fmla="*/ 1592580 h 1790700"/>
              <a:gd name="connsiteX38" fmla="*/ 632460 w 899160"/>
              <a:gd name="connsiteY38" fmla="*/ 1729740 h 1790700"/>
              <a:gd name="connsiteX39" fmla="*/ 609600 w 899160"/>
              <a:gd name="connsiteY39" fmla="*/ 1760220 h 1790700"/>
              <a:gd name="connsiteX40" fmla="*/ 563880 w 899160"/>
              <a:gd name="connsiteY40" fmla="*/ 1775460 h 1790700"/>
              <a:gd name="connsiteX41" fmla="*/ 495300 w 899160"/>
              <a:gd name="connsiteY41" fmla="*/ 1790700 h 1790700"/>
              <a:gd name="connsiteX42" fmla="*/ 388620 w 899160"/>
              <a:gd name="connsiteY42" fmla="*/ 1783080 h 1790700"/>
              <a:gd name="connsiteX43" fmla="*/ 342900 w 899160"/>
              <a:gd name="connsiteY43" fmla="*/ 1752600 h 1790700"/>
              <a:gd name="connsiteX44" fmla="*/ 320040 w 899160"/>
              <a:gd name="connsiteY44" fmla="*/ 1737360 h 1790700"/>
              <a:gd name="connsiteX45" fmla="*/ 274320 w 899160"/>
              <a:gd name="connsiteY45" fmla="*/ 1699260 h 1790700"/>
              <a:gd name="connsiteX46" fmla="*/ 251460 w 899160"/>
              <a:gd name="connsiteY46" fmla="*/ 1546860 h 1790700"/>
              <a:gd name="connsiteX47" fmla="*/ 228600 w 899160"/>
              <a:gd name="connsiteY47" fmla="*/ 1524000 h 1790700"/>
              <a:gd name="connsiteX48" fmla="*/ 213360 w 899160"/>
              <a:gd name="connsiteY48" fmla="*/ 1501140 h 1790700"/>
              <a:gd name="connsiteX49" fmla="*/ 198120 w 899160"/>
              <a:gd name="connsiteY49" fmla="*/ 1348740 h 1790700"/>
              <a:gd name="connsiteX50" fmla="*/ 190500 w 899160"/>
              <a:gd name="connsiteY50" fmla="*/ 1325880 h 1790700"/>
              <a:gd name="connsiteX51" fmla="*/ 182880 w 899160"/>
              <a:gd name="connsiteY51" fmla="*/ 1181100 h 1790700"/>
              <a:gd name="connsiteX52" fmla="*/ 175260 w 899160"/>
              <a:gd name="connsiteY52" fmla="*/ 1143000 h 1790700"/>
              <a:gd name="connsiteX53" fmla="*/ 190500 w 899160"/>
              <a:gd name="connsiteY53" fmla="*/ 1043940 h 1790700"/>
              <a:gd name="connsiteX54" fmla="*/ 182880 w 899160"/>
              <a:gd name="connsiteY54" fmla="*/ 929640 h 1790700"/>
              <a:gd name="connsiteX55" fmla="*/ 160020 w 899160"/>
              <a:gd name="connsiteY55" fmla="*/ 914400 h 1790700"/>
              <a:gd name="connsiteX56" fmla="*/ 121920 w 899160"/>
              <a:gd name="connsiteY56" fmla="*/ 906780 h 1790700"/>
              <a:gd name="connsiteX57" fmla="*/ 53340 w 899160"/>
              <a:gd name="connsiteY57" fmla="*/ 876300 h 1790700"/>
              <a:gd name="connsiteX58" fmla="*/ 60960 w 899160"/>
              <a:gd name="connsiteY58" fmla="*/ 784860 h 1790700"/>
              <a:gd name="connsiteX59" fmla="*/ 76200 w 899160"/>
              <a:gd name="connsiteY59" fmla="*/ 731520 h 1790700"/>
              <a:gd name="connsiteX60" fmla="*/ 53340 w 899160"/>
              <a:gd name="connsiteY60" fmla="*/ 662940 h 1790700"/>
              <a:gd name="connsiteX61" fmla="*/ 45720 w 899160"/>
              <a:gd name="connsiteY61" fmla="*/ 640080 h 1790700"/>
              <a:gd name="connsiteX62" fmla="*/ 22860 w 899160"/>
              <a:gd name="connsiteY6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563880 w 899160"/>
              <a:gd name="connsiteY39" fmla="*/ 1775460 h 1790700"/>
              <a:gd name="connsiteX40" fmla="*/ 495300 w 899160"/>
              <a:gd name="connsiteY40" fmla="*/ 1790700 h 1790700"/>
              <a:gd name="connsiteX41" fmla="*/ 388620 w 899160"/>
              <a:gd name="connsiteY41" fmla="*/ 1783080 h 1790700"/>
              <a:gd name="connsiteX42" fmla="*/ 342900 w 899160"/>
              <a:gd name="connsiteY42" fmla="*/ 1752600 h 1790700"/>
              <a:gd name="connsiteX43" fmla="*/ 320040 w 899160"/>
              <a:gd name="connsiteY43" fmla="*/ 1737360 h 1790700"/>
              <a:gd name="connsiteX44" fmla="*/ 274320 w 899160"/>
              <a:gd name="connsiteY44" fmla="*/ 1699260 h 1790700"/>
              <a:gd name="connsiteX45" fmla="*/ 251460 w 899160"/>
              <a:gd name="connsiteY45" fmla="*/ 1546860 h 1790700"/>
              <a:gd name="connsiteX46" fmla="*/ 228600 w 899160"/>
              <a:gd name="connsiteY46" fmla="*/ 1524000 h 1790700"/>
              <a:gd name="connsiteX47" fmla="*/ 213360 w 899160"/>
              <a:gd name="connsiteY47" fmla="*/ 1501140 h 1790700"/>
              <a:gd name="connsiteX48" fmla="*/ 198120 w 899160"/>
              <a:gd name="connsiteY48" fmla="*/ 1348740 h 1790700"/>
              <a:gd name="connsiteX49" fmla="*/ 190500 w 899160"/>
              <a:gd name="connsiteY49" fmla="*/ 1325880 h 1790700"/>
              <a:gd name="connsiteX50" fmla="*/ 182880 w 899160"/>
              <a:gd name="connsiteY50" fmla="*/ 1181100 h 1790700"/>
              <a:gd name="connsiteX51" fmla="*/ 175260 w 899160"/>
              <a:gd name="connsiteY51" fmla="*/ 1143000 h 1790700"/>
              <a:gd name="connsiteX52" fmla="*/ 190500 w 899160"/>
              <a:gd name="connsiteY52" fmla="*/ 1043940 h 1790700"/>
              <a:gd name="connsiteX53" fmla="*/ 182880 w 899160"/>
              <a:gd name="connsiteY53" fmla="*/ 929640 h 1790700"/>
              <a:gd name="connsiteX54" fmla="*/ 160020 w 899160"/>
              <a:gd name="connsiteY54" fmla="*/ 914400 h 1790700"/>
              <a:gd name="connsiteX55" fmla="*/ 121920 w 899160"/>
              <a:gd name="connsiteY55" fmla="*/ 906780 h 1790700"/>
              <a:gd name="connsiteX56" fmla="*/ 53340 w 899160"/>
              <a:gd name="connsiteY56" fmla="*/ 876300 h 1790700"/>
              <a:gd name="connsiteX57" fmla="*/ 60960 w 899160"/>
              <a:gd name="connsiteY57" fmla="*/ 784860 h 1790700"/>
              <a:gd name="connsiteX58" fmla="*/ 76200 w 899160"/>
              <a:gd name="connsiteY58" fmla="*/ 731520 h 1790700"/>
              <a:gd name="connsiteX59" fmla="*/ 53340 w 899160"/>
              <a:gd name="connsiteY59" fmla="*/ 662940 h 1790700"/>
              <a:gd name="connsiteX60" fmla="*/ 45720 w 899160"/>
              <a:gd name="connsiteY60" fmla="*/ 640080 h 1790700"/>
              <a:gd name="connsiteX61" fmla="*/ 22860 w 899160"/>
              <a:gd name="connsiteY6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88620 w 899160"/>
              <a:gd name="connsiteY40" fmla="*/ 1783080 h 1790700"/>
              <a:gd name="connsiteX41" fmla="*/ 342900 w 899160"/>
              <a:gd name="connsiteY41" fmla="*/ 1752600 h 1790700"/>
              <a:gd name="connsiteX42" fmla="*/ 320040 w 899160"/>
              <a:gd name="connsiteY42" fmla="*/ 1737360 h 1790700"/>
              <a:gd name="connsiteX43" fmla="*/ 274320 w 899160"/>
              <a:gd name="connsiteY43" fmla="*/ 1699260 h 1790700"/>
              <a:gd name="connsiteX44" fmla="*/ 251460 w 899160"/>
              <a:gd name="connsiteY44" fmla="*/ 1546860 h 1790700"/>
              <a:gd name="connsiteX45" fmla="*/ 228600 w 899160"/>
              <a:gd name="connsiteY45" fmla="*/ 1524000 h 1790700"/>
              <a:gd name="connsiteX46" fmla="*/ 213360 w 899160"/>
              <a:gd name="connsiteY46" fmla="*/ 1501140 h 1790700"/>
              <a:gd name="connsiteX47" fmla="*/ 198120 w 899160"/>
              <a:gd name="connsiteY47" fmla="*/ 1348740 h 1790700"/>
              <a:gd name="connsiteX48" fmla="*/ 190500 w 899160"/>
              <a:gd name="connsiteY48" fmla="*/ 1325880 h 1790700"/>
              <a:gd name="connsiteX49" fmla="*/ 182880 w 899160"/>
              <a:gd name="connsiteY49" fmla="*/ 1181100 h 1790700"/>
              <a:gd name="connsiteX50" fmla="*/ 175260 w 899160"/>
              <a:gd name="connsiteY50" fmla="*/ 1143000 h 1790700"/>
              <a:gd name="connsiteX51" fmla="*/ 190500 w 899160"/>
              <a:gd name="connsiteY51" fmla="*/ 1043940 h 1790700"/>
              <a:gd name="connsiteX52" fmla="*/ 182880 w 899160"/>
              <a:gd name="connsiteY52" fmla="*/ 929640 h 1790700"/>
              <a:gd name="connsiteX53" fmla="*/ 160020 w 899160"/>
              <a:gd name="connsiteY53" fmla="*/ 914400 h 1790700"/>
              <a:gd name="connsiteX54" fmla="*/ 121920 w 899160"/>
              <a:gd name="connsiteY54" fmla="*/ 906780 h 1790700"/>
              <a:gd name="connsiteX55" fmla="*/ 53340 w 899160"/>
              <a:gd name="connsiteY55" fmla="*/ 876300 h 1790700"/>
              <a:gd name="connsiteX56" fmla="*/ 60960 w 899160"/>
              <a:gd name="connsiteY56" fmla="*/ 784860 h 1790700"/>
              <a:gd name="connsiteX57" fmla="*/ 76200 w 899160"/>
              <a:gd name="connsiteY57" fmla="*/ 731520 h 1790700"/>
              <a:gd name="connsiteX58" fmla="*/ 53340 w 899160"/>
              <a:gd name="connsiteY58" fmla="*/ 662940 h 1790700"/>
              <a:gd name="connsiteX59" fmla="*/ 45720 w 899160"/>
              <a:gd name="connsiteY59" fmla="*/ 640080 h 1790700"/>
              <a:gd name="connsiteX60" fmla="*/ 22860 w 899160"/>
              <a:gd name="connsiteY6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74320 w 899160"/>
              <a:gd name="connsiteY42" fmla="*/ 1699260 h 1790700"/>
              <a:gd name="connsiteX43" fmla="*/ 251460 w 899160"/>
              <a:gd name="connsiteY43" fmla="*/ 1546860 h 1790700"/>
              <a:gd name="connsiteX44" fmla="*/ 228600 w 899160"/>
              <a:gd name="connsiteY44" fmla="*/ 1524000 h 1790700"/>
              <a:gd name="connsiteX45" fmla="*/ 213360 w 899160"/>
              <a:gd name="connsiteY45" fmla="*/ 1501140 h 1790700"/>
              <a:gd name="connsiteX46" fmla="*/ 198120 w 899160"/>
              <a:gd name="connsiteY46" fmla="*/ 1348740 h 1790700"/>
              <a:gd name="connsiteX47" fmla="*/ 190500 w 899160"/>
              <a:gd name="connsiteY47" fmla="*/ 1325880 h 1790700"/>
              <a:gd name="connsiteX48" fmla="*/ 182880 w 899160"/>
              <a:gd name="connsiteY48" fmla="*/ 1181100 h 1790700"/>
              <a:gd name="connsiteX49" fmla="*/ 175260 w 899160"/>
              <a:gd name="connsiteY49" fmla="*/ 1143000 h 1790700"/>
              <a:gd name="connsiteX50" fmla="*/ 190500 w 899160"/>
              <a:gd name="connsiteY50" fmla="*/ 1043940 h 1790700"/>
              <a:gd name="connsiteX51" fmla="*/ 182880 w 899160"/>
              <a:gd name="connsiteY51" fmla="*/ 929640 h 1790700"/>
              <a:gd name="connsiteX52" fmla="*/ 160020 w 899160"/>
              <a:gd name="connsiteY52" fmla="*/ 914400 h 1790700"/>
              <a:gd name="connsiteX53" fmla="*/ 121920 w 899160"/>
              <a:gd name="connsiteY53" fmla="*/ 906780 h 1790700"/>
              <a:gd name="connsiteX54" fmla="*/ 53340 w 899160"/>
              <a:gd name="connsiteY54" fmla="*/ 876300 h 1790700"/>
              <a:gd name="connsiteX55" fmla="*/ 60960 w 899160"/>
              <a:gd name="connsiteY55" fmla="*/ 784860 h 1790700"/>
              <a:gd name="connsiteX56" fmla="*/ 76200 w 899160"/>
              <a:gd name="connsiteY56" fmla="*/ 731520 h 1790700"/>
              <a:gd name="connsiteX57" fmla="*/ 53340 w 899160"/>
              <a:gd name="connsiteY57" fmla="*/ 662940 h 1790700"/>
              <a:gd name="connsiteX58" fmla="*/ 45720 w 899160"/>
              <a:gd name="connsiteY58" fmla="*/ 640080 h 1790700"/>
              <a:gd name="connsiteX59" fmla="*/ 22860 w 899160"/>
              <a:gd name="connsiteY5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213360 w 899160"/>
              <a:gd name="connsiteY44" fmla="*/ 1501140 h 1790700"/>
              <a:gd name="connsiteX45" fmla="*/ 198120 w 899160"/>
              <a:gd name="connsiteY45" fmla="*/ 1348740 h 1790700"/>
              <a:gd name="connsiteX46" fmla="*/ 190500 w 899160"/>
              <a:gd name="connsiteY46" fmla="*/ 1325880 h 1790700"/>
              <a:gd name="connsiteX47" fmla="*/ 182880 w 899160"/>
              <a:gd name="connsiteY47" fmla="*/ 1181100 h 1790700"/>
              <a:gd name="connsiteX48" fmla="*/ 175260 w 899160"/>
              <a:gd name="connsiteY48" fmla="*/ 1143000 h 1790700"/>
              <a:gd name="connsiteX49" fmla="*/ 190500 w 899160"/>
              <a:gd name="connsiteY49" fmla="*/ 1043940 h 1790700"/>
              <a:gd name="connsiteX50" fmla="*/ 182880 w 899160"/>
              <a:gd name="connsiteY50" fmla="*/ 929640 h 1790700"/>
              <a:gd name="connsiteX51" fmla="*/ 160020 w 899160"/>
              <a:gd name="connsiteY51" fmla="*/ 914400 h 1790700"/>
              <a:gd name="connsiteX52" fmla="*/ 121920 w 899160"/>
              <a:gd name="connsiteY52" fmla="*/ 906780 h 1790700"/>
              <a:gd name="connsiteX53" fmla="*/ 53340 w 899160"/>
              <a:gd name="connsiteY53" fmla="*/ 876300 h 1790700"/>
              <a:gd name="connsiteX54" fmla="*/ 60960 w 899160"/>
              <a:gd name="connsiteY54" fmla="*/ 784860 h 1790700"/>
              <a:gd name="connsiteX55" fmla="*/ 76200 w 899160"/>
              <a:gd name="connsiteY55" fmla="*/ 731520 h 1790700"/>
              <a:gd name="connsiteX56" fmla="*/ 53340 w 899160"/>
              <a:gd name="connsiteY56" fmla="*/ 662940 h 1790700"/>
              <a:gd name="connsiteX57" fmla="*/ 45720 w 899160"/>
              <a:gd name="connsiteY57" fmla="*/ 640080 h 1790700"/>
              <a:gd name="connsiteX58" fmla="*/ 22860 w 899160"/>
              <a:gd name="connsiteY5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198120 w 899160"/>
              <a:gd name="connsiteY44" fmla="*/ 1348740 h 1790700"/>
              <a:gd name="connsiteX45" fmla="*/ 190500 w 899160"/>
              <a:gd name="connsiteY45" fmla="*/ 1325880 h 1790700"/>
              <a:gd name="connsiteX46" fmla="*/ 182880 w 899160"/>
              <a:gd name="connsiteY46" fmla="*/ 1181100 h 1790700"/>
              <a:gd name="connsiteX47" fmla="*/ 175260 w 899160"/>
              <a:gd name="connsiteY47" fmla="*/ 1143000 h 1790700"/>
              <a:gd name="connsiteX48" fmla="*/ 190500 w 899160"/>
              <a:gd name="connsiteY48" fmla="*/ 1043940 h 1790700"/>
              <a:gd name="connsiteX49" fmla="*/ 182880 w 899160"/>
              <a:gd name="connsiteY49" fmla="*/ 929640 h 1790700"/>
              <a:gd name="connsiteX50" fmla="*/ 160020 w 899160"/>
              <a:gd name="connsiteY50" fmla="*/ 914400 h 1790700"/>
              <a:gd name="connsiteX51" fmla="*/ 121920 w 899160"/>
              <a:gd name="connsiteY51" fmla="*/ 906780 h 1790700"/>
              <a:gd name="connsiteX52" fmla="*/ 53340 w 899160"/>
              <a:gd name="connsiteY52" fmla="*/ 876300 h 1790700"/>
              <a:gd name="connsiteX53" fmla="*/ 60960 w 899160"/>
              <a:gd name="connsiteY53" fmla="*/ 784860 h 1790700"/>
              <a:gd name="connsiteX54" fmla="*/ 76200 w 899160"/>
              <a:gd name="connsiteY54" fmla="*/ 731520 h 1790700"/>
              <a:gd name="connsiteX55" fmla="*/ 53340 w 899160"/>
              <a:gd name="connsiteY55" fmla="*/ 662940 h 1790700"/>
              <a:gd name="connsiteX56" fmla="*/ 45720 w 899160"/>
              <a:gd name="connsiteY56" fmla="*/ 640080 h 1790700"/>
              <a:gd name="connsiteX57" fmla="*/ 22860 w 899160"/>
              <a:gd name="connsiteY5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198120 w 899160"/>
              <a:gd name="connsiteY43" fmla="*/ 1348740 h 1790700"/>
              <a:gd name="connsiteX44" fmla="*/ 190500 w 899160"/>
              <a:gd name="connsiteY44" fmla="*/ 1325880 h 1790700"/>
              <a:gd name="connsiteX45" fmla="*/ 182880 w 899160"/>
              <a:gd name="connsiteY45" fmla="*/ 1181100 h 1790700"/>
              <a:gd name="connsiteX46" fmla="*/ 175260 w 899160"/>
              <a:gd name="connsiteY46" fmla="*/ 1143000 h 1790700"/>
              <a:gd name="connsiteX47" fmla="*/ 190500 w 899160"/>
              <a:gd name="connsiteY47" fmla="*/ 1043940 h 1790700"/>
              <a:gd name="connsiteX48" fmla="*/ 182880 w 899160"/>
              <a:gd name="connsiteY48" fmla="*/ 929640 h 1790700"/>
              <a:gd name="connsiteX49" fmla="*/ 160020 w 899160"/>
              <a:gd name="connsiteY49" fmla="*/ 914400 h 1790700"/>
              <a:gd name="connsiteX50" fmla="*/ 121920 w 899160"/>
              <a:gd name="connsiteY50" fmla="*/ 906780 h 1790700"/>
              <a:gd name="connsiteX51" fmla="*/ 53340 w 899160"/>
              <a:gd name="connsiteY51" fmla="*/ 876300 h 1790700"/>
              <a:gd name="connsiteX52" fmla="*/ 60960 w 899160"/>
              <a:gd name="connsiteY52" fmla="*/ 784860 h 1790700"/>
              <a:gd name="connsiteX53" fmla="*/ 76200 w 899160"/>
              <a:gd name="connsiteY53" fmla="*/ 731520 h 1790700"/>
              <a:gd name="connsiteX54" fmla="*/ 53340 w 899160"/>
              <a:gd name="connsiteY54" fmla="*/ 662940 h 1790700"/>
              <a:gd name="connsiteX55" fmla="*/ 45720 w 899160"/>
              <a:gd name="connsiteY55" fmla="*/ 640080 h 1790700"/>
              <a:gd name="connsiteX56" fmla="*/ 22860 w 899160"/>
              <a:gd name="connsiteY5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198120 w 899160"/>
              <a:gd name="connsiteY42" fmla="*/ 1348740 h 1790700"/>
              <a:gd name="connsiteX43" fmla="*/ 190500 w 899160"/>
              <a:gd name="connsiteY43" fmla="*/ 1325880 h 1790700"/>
              <a:gd name="connsiteX44" fmla="*/ 182880 w 899160"/>
              <a:gd name="connsiteY44" fmla="*/ 1181100 h 1790700"/>
              <a:gd name="connsiteX45" fmla="*/ 175260 w 899160"/>
              <a:gd name="connsiteY45" fmla="*/ 1143000 h 1790700"/>
              <a:gd name="connsiteX46" fmla="*/ 190500 w 899160"/>
              <a:gd name="connsiteY46" fmla="*/ 1043940 h 1790700"/>
              <a:gd name="connsiteX47" fmla="*/ 182880 w 899160"/>
              <a:gd name="connsiteY47" fmla="*/ 929640 h 1790700"/>
              <a:gd name="connsiteX48" fmla="*/ 160020 w 899160"/>
              <a:gd name="connsiteY48" fmla="*/ 914400 h 1790700"/>
              <a:gd name="connsiteX49" fmla="*/ 121920 w 899160"/>
              <a:gd name="connsiteY49" fmla="*/ 906780 h 1790700"/>
              <a:gd name="connsiteX50" fmla="*/ 53340 w 899160"/>
              <a:gd name="connsiteY50" fmla="*/ 876300 h 1790700"/>
              <a:gd name="connsiteX51" fmla="*/ 60960 w 899160"/>
              <a:gd name="connsiteY51" fmla="*/ 784860 h 1790700"/>
              <a:gd name="connsiteX52" fmla="*/ 76200 w 899160"/>
              <a:gd name="connsiteY52" fmla="*/ 731520 h 1790700"/>
              <a:gd name="connsiteX53" fmla="*/ 53340 w 899160"/>
              <a:gd name="connsiteY53" fmla="*/ 662940 h 1790700"/>
              <a:gd name="connsiteX54" fmla="*/ 45720 w 899160"/>
              <a:gd name="connsiteY54" fmla="*/ 640080 h 1790700"/>
              <a:gd name="connsiteX55" fmla="*/ 22860 w 899160"/>
              <a:gd name="connsiteY55" fmla="*/ 640080 h 1790700"/>
              <a:gd name="connsiteX0" fmla="*/ 22860 w 899160"/>
              <a:gd name="connsiteY0" fmla="*/ 640080 h 1798798"/>
              <a:gd name="connsiteX1" fmla="*/ 22860 w 899160"/>
              <a:gd name="connsiteY1" fmla="*/ 640080 h 1798798"/>
              <a:gd name="connsiteX2" fmla="*/ 7620 w 899160"/>
              <a:gd name="connsiteY2" fmla="*/ 510540 h 1798798"/>
              <a:gd name="connsiteX3" fmla="*/ 0 w 899160"/>
              <a:gd name="connsiteY3" fmla="*/ 487680 h 1798798"/>
              <a:gd name="connsiteX4" fmla="*/ 22860 w 899160"/>
              <a:gd name="connsiteY4" fmla="*/ 373380 h 1798798"/>
              <a:gd name="connsiteX5" fmla="*/ 38100 w 899160"/>
              <a:gd name="connsiteY5" fmla="*/ 350520 h 1798798"/>
              <a:gd name="connsiteX6" fmla="*/ 60960 w 899160"/>
              <a:gd name="connsiteY6" fmla="*/ 335280 h 1798798"/>
              <a:gd name="connsiteX7" fmla="*/ 114300 w 899160"/>
              <a:gd name="connsiteY7" fmla="*/ 274320 h 1798798"/>
              <a:gd name="connsiteX8" fmla="*/ 129540 w 899160"/>
              <a:gd name="connsiteY8" fmla="*/ 251460 h 1798798"/>
              <a:gd name="connsiteX9" fmla="*/ 175260 w 899160"/>
              <a:gd name="connsiteY9" fmla="*/ 220980 h 1798798"/>
              <a:gd name="connsiteX10" fmla="*/ 190500 w 899160"/>
              <a:gd name="connsiteY10" fmla="*/ 198120 h 1798798"/>
              <a:gd name="connsiteX11" fmla="*/ 236220 w 899160"/>
              <a:gd name="connsiteY11" fmla="*/ 160020 h 1798798"/>
              <a:gd name="connsiteX12" fmla="*/ 251460 w 899160"/>
              <a:gd name="connsiteY12" fmla="*/ 137160 h 1798798"/>
              <a:gd name="connsiteX13" fmla="*/ 281940 w 899160"/>
              <a:gd name="connsiteY13" fmla="*/ 114300 h 1798798"/>
              <a:gd name="connsiteX14" fmla="*/ 304800 w 899160"/>
              <a:gd name="connsiteY14" fmla="*/ 91440 h 1798798"/>
              <a:gd name="connsiteX15" fmla="*/ 350520 w 899160"/>
              <a:gd name="connsiteY15" fmla="*/ 68580 h 1798798"/>
              <a:gd name="connsiteX16" fmla="*/ 365760 w 899160"/>
              <a:gd name="connsiteY16" fmla="*/ 45720 h 1798798"/>
              <a:gd name="connsiteX17" fmla="*/ 411480 w 899160"/>
              <a:gd name="connsiteY17" fmla="*/ 30480 h 1798798"/>
              <a:gd name="connsiteX18" fmla="*/ 434340 w 899160"/>
              <a:gd name="connsiteY18" fmla="*/ 15240 h 1798798"/>
              <a:gd name="connsiteX19" fmla="*/ 464820 w 899160"/>
              <a:gd name="connsiteY19" fmla="*/ 7620 h 1798798"/>
              <a:gd name="connsiteX20" fmla="*/ 487680 w 899160"/>
              <a:gd name="connsiteY20" fmla="*/ 0 h 1798798"/>
              <a:gd name="connsiteX21" fmla="*/ 548640 w 899160"/>
              <a:gd name="connsiteY21" fmla="*/ 22860 h 1798798"/>
              <a:gd name="connsiteX22" fmla="*/ 563880 w 899160"/>
              <a:gd name="connsiteY22" fmla="*/ 45720 h 1798798"/>
              <a:gd name="connsiteX23" fmla="*/ 586740 w 899160"/>
              <a:gd name="connsiteY23" fmla="*/ 53340 h 1798798"/>
              <a:gd name="connsiteX24" fmla="*/ 609600 w 899160"/>
              <a:gd name="connsiteY24" fmla="*/ 68580 h 1798798"/>
              <a:gd name="connsiteX25" fmla="*/ 624840 w 899160"/>
              <a:gd name="connsiteY25" fmla="*/ 91440 h 1798798"/>
              <a:gd name="connsiteX26" fmla="*/ 647700 w 899160"/>
              <a:gd name="connsiteY26" fmla="*/ 106680 h 1798798"/>
              <a:gd name="connsiteX27" fmla="*/ 678180 w 899160"/>
              <a:gd name="connsiteY27" fmla="*/ 137160 h 1798798"/>
              <a:gd name="connsiteX28" fmla="*/ 739140 w 899160"/>
              <a:gd name="connsiteY28" fmla="*/ 190500 h 1798798"/>
              <a:gd name="connsiteX29" fmla="*/ 800100 w 899160"/>
              <a:gd name="connsiteY29" fmla="*/ 259080 h 1798798"/>
              <a:gd name="connsiteX30" fmla="*/ 762000 w 899160"/>
              <a:gd name="connsiteY30" fmla="*/ 342900 h 1798798"/>
              <a:gd name="connsiteX31" fmla="*/ 769620 w 899160"/>
              <a:gd name="connsiteY31" fmla="*/ 381000 h 1798798"/>
              <a:gd name="connsiteX32" fmla="*/ 777240 w 899160"/>
              <a:gd name="connsiteY32" fmla="*/ 403860 h 1798798"/>
              <a:gd name="connsiteX33" fmla="*/ 822960 w 899160"/>
              <a:gd name="connsiteY33" fmla="*/ 419100 h 1798798"/>
              <a:gd name="connsiteX34" fmla="*/ 861060 w 899160"/>
              <a:gd name="connsiteY34" fmla="*/ 464820 h 1798798"/>
              <a:gd name="connsiteX35" fmla="*/ 899160 w 899160"/>
              <a:gd name="connsiteY35" fmla="*/ 510540 h 1798798"/>
              <a:gd name="connsiteX36" fmla="*/ 685800 w 899160"/>
              <a:gd name="connsiteY36" fmla="*/ 1569720 h 1798798"/>
              <a:gd name="connsiteX37" fmla="*/ 632460 w 899160"/>
              <a:gd name="connsiteY37" fmla="*/ 1729740 h 1798798"/>
              <a:gd name="connsiteX38" fmla="*/ 609600 w 899160"/>
              <a:gd name="connsiteY38" fmla="*/ 1760220 h 1798798"/>
              <a:gd name="connsiteX39" fmla="*/ 495300 w 899160"/>
              <a:gd name="connsiteY39" fmla="*/ 1790700 h 1798798"/>
              <a:gd name="connsiteX40" fmla="*/ 342900 w 899160"/>
              <a:gd name="connsiteY40" fmla="*/ 1752600 h 1798798"/>
              <a:gd name="connsiteX41" fmla="*/ 198120 w 899160"/>
              <a:gd name="connsiteY41" fmla="*/ 1348740 h 1798798"/>
              <a:gd name="connsiteX42" fmla="*/ 190500 w 899160"/>
              <a:gd name="connsiteY42" fmla="*/ 1325880 h 1798798"/>
              <a:gd name="connsiteX43" fmla="*/ 182880 w 899160"/>
              <a:gd name="connsiteY43" fmla="*/ 1181100 h 1798798"/>
              <a:gd name="connsiteX44" fmla="*/ 175260 w 899160"/>
              <a:gd name="connsiteY44" fmla="*/ 1143000 h 1798798"/>
              <a:gd name="connsiteX45" fmla="*/ 190500 w 899160"/>
              <a:gd name="connsiteY45" fmla="*/ 1043940 h 1798798"/>
              <a:gd name="connsiteX46" fmla="*/ 182880 w 899160"/>
              <a:gd name="connsiteY46" fmla="*/ 929640 h 1798798"/>
              <a:gd name="connsiteX47" fmla="*/ 160020 w 899160"/>
              <a:gd name="connsiteY47" fmla="*/ 914400 h 1798798"/>
              <a:gd name="connsiteX48" fmla="*/ 121920 w 899160"/>
              <a:gd name="connsiteY48" fmla="*/ 906780 h 1798798"/>
              <a:gd name="connsiteX49" fmla="*/ 53340 w 899160"/>
              <a:gd name="connsiteY49" fmla="*/ 876300 h 1798798"/>
              <a:gd name="connsiteX50" fmla="*/ 60960 w 899160"/>
              <a:gd name="connsiteY50" fmla="*/ 784860 h 1798798"/>
              <a:gd name="connsiteX51" fmla="*/ 76200 w 899160"/>
              <a:gd name="connsiteY51" fmla="*/ 731520 h 1798798"/>
              <a:gd name="connsiteX52" fmla="*/ 53340 w 899160"/>
              <a:gd name="connsiteY52" fmla="*/ 662940 h 1798798"/>
              <a:gd name="connsiteX53" fmla="*/ 45720 w 899160"/>
              <a:gd name="connsiteY53" fmla="*/ 640080 h 1798798"/>
              <a:gd name="connsiteX54" fmla="*/ 22860 w 899160"/>
              <a:gd name="connsiteY54" fmla="*/ 640080 h 1798798"/>
              <a:gd name="connsiteX0" fmla="*/ 22860 w 899160"/>
              <a:gd name="connsiteY0" fmla="*/ 640080 h 1786156"/>
              <a:gd name="connsiteX1" fmla="*/ 22860 w 899160"/>
              <a:gd name="connsiteY1" fmla="*/ 640080 h 1786156"/>
              <a:gd name="connsiteX2" fmla="*/ 7620 w 899160"/>
              <a:gd name="connsiteY2" fmla="*/ 510540 h 1786156"/>
              <a:gd name="connsiteX3" fmla="*/ 0 w 899160"/>
              <a:gd name="connsiteY3" fmla="*/ 487680 h 1786156"/>
              <a:gd name="connsiteX4" fmla="*/ 22860 w 899160"/>
              <a:gd name="connsiteY4" fmla="*/ 373380 h 1786156"/>
              <a:gd name="connsiteX5" fmla="*/ 38100 w 899160"/>
              <a:gd name="connsiteY5" fmla="*/ 350520 h 1786156"/>
              <a:gd name="connsiteX6" fmla="*/ 60960 w 899160"/>
              <a:gd name="connsiteY6" fmla="*/ 335280 h 1786156"/>
              <a:gd name="connsiteX7" fmla="*/ 114300 w 899160"/>
              <a:gd name="connsiteY7" fmla="*/ 274320 h 1786156"/>
              <a:gd name="connsiteX8" fmla="*/ 129540 w 899160"/>
              <a:gd name="connsiteY8" fmla="*/ 251460 h 1786156"/>
              <a:gd name="connsiteX9" fmla="*/ 175260 w 899160"/>
              <a:gd name="connsiteY9" fmla="*/ 220980 h 1786156"/>
              <a:gd name="connsiteX10" fmla="*/ 190500 w 899160"/>
              <a:gd name="connsiteY10" fmla="*/ 198120 h 1786156"/>
              <a:gd name="connsiteX11" fmla="*/ 236220 w 899160"/>
              <a:gd name="connsiteY11" fmla="*/ 160020 h 1786156"/>
              <a:gd name="connsiteX12" fmla="*/ 251460 w 899160"/>
              <a:gd name="connsiteY12" fmla="*/ 137160 h 1786156"/>
              <a:gd name="connsiteX13" fmla="*/ 281940 w 899160"/>
              <a:gd name="connsiteY13" fmla="*/ 114300 h 1786156"/>
              <a:gd name="connsiteX14" fmla="*/ 304800 w 899160"/>
              <a:gd name="connsiteY14" fmla="*/ 91440 h 1786156"/>
              <a:gd name="connsiteX15" fmla="*/ 350520 w 899160"/>
              <a:gd name="connsiteY15" fmla="*/ 68580 h 1786156"/>
              <a:gd name="connsiteX16" fmla="*/ 365760 w 899160"/>
              <a:gd name="connsiteY16" fmla="*/ 45720 h 1786156"/>
              <a:gd name="connsiteX17" fmla="*/ 411480 w 899160"/>
              <a:gd name="connsiteY17" fmla="*/ 30480 h 1786156"/>
              <a:gd name="connsiteX18" fmla="*/ 434340 w 899160"/>
              <a:gd name="connsiteY18" fmla="*/ 15240 h 1786156"/>
              <a:gd name="connsiteX19" fmla="*/ 464820 w 899160"/>
              <a:gd name="connsiteY19" fmla="*/ 7620 h 1786156"/>
              <a:gd name="connsiteX20" fmla="*/ 487680 w 899160"/>
              <a:gd name="connsiteY20" fmla="*/ 0 h 1786156"/>
              <a:gd name="connsiteX21" fmla="*/ 548640 w 899160"/>
              <a:gd name="connsiteY21" fmla="*/ 22860 h 1786156"/>
              <a:gd name="connsiteX22" fmla="*/ 563880 w 899160"/>
              <a:gd name="connsiteY22" fmla="*/ 45720 h 1786156"/>
              <a:gd name="connsiteX23" fmla="*/ 586740 w 899160"/>
              <a:gd name="connsiteY23" fmla="*/ 53340 h 1786156"/>
              <a:gd name="connsiteX24" fmla="*/ 609600 w 899160"/>
              <a:gd name="connsiteY24" fmla="*/ 68580 h 1786156"/>
              <a:gd name="connsiteX25" fmla="*/ 624840 w 899160"/>
              <a:gd name="connsiteY25" fmla="*/ 91440 h 1786156"/>
              <a:gd name="connsiteX26" fmla="*/ 647700 w 899160"/>
              <a:gd name="connsiteY26" fmla="*/ 106680 h 1786156"/>
              <a:gd name="connsiteX27" fmla="*/ 678180 w 899160"/>
              <a:gd name="connsiteY27" fmla="*/ 137160 h 1786156"/>
              <a:gd name="connsiteX28" fmla="*/ 739140 w 899160"/>
              <a:gd name="connsiteY28" fmla="*/ 190500 h 1786156"/>
              <a:gd name="connsiteX29" fmla="*/ 800100 w 899160"/>
              <a:gd name="connsiteY29" fmla="*/ 259080 h 1786156"/>
              <a:gd name="connsiteX30" fmla="*/ 762000 w 899160"/>
              <a:gd name="connsiteY30" fmla="*/ 342900 h 1786156"/>
              <a:gd name="connsiteX31" fmla="*/ 769620 w 899160"/>
              <a:gd name="connsiteY31" fmla="*/ 381000 h 1786156"/>
              <a:gd name="connsiteX32" fmla="*/ 777240 w 899160"/>
              <a:gd name="connsiteY32" fmla="*/ 403860 h 1786156"/>
              <a:gd name="connsiteX33" fmla="*/ 822960 w 899160"/>
              <a:gd name="connsiteY33" fmla="*/ 419100 h 1786156"/>
              <a:gd name="connsiteX34" fmla="*/ 861060 w 899160"/>
              <a:gd name="connsiteY34" fmla="*/ 464820 h 1786156"/>
              <a:gd name="connsiteX35" fmla="*/ 899160 w 899160"/>
              <a:gd name="connsiteY35" fmla="*/ 510540 h 1786156"/>
              <a:gd name="connsiteX36" fmla="*/ 685800 w 899160"/>
              <a:gd name="connsiteY36" fmla="*/ 1569720 h 1786156"/>
              <a:gd name="connsiteX37" fmla="*/ 632460 w 899160"/>
              <a:gd name="connsiteY37" fmla="*/ 1729740 h 1786156"/>
              <a:gd name="connsiteX38" fmla="*/ 609600 w 899160"/>
              <a:gd name="connsiteY38" fmla="*/ 1760220 h 1786156"/>
              <a:gd name="connsiteX39" fmla="*/ 342900 w 899160"/>
              <a:gd name="connsiteY39" fmla="*/ 1752600 h 1786156"/>
              <a:gd name="connsiteX40" fmla="*/ 198120 w 899160"/>
              <a:gd name="connsiteY40" fmla="*/ 1348740 h 1786156"/>
              <a:gd name="connsiteX41" fmla="*/ 190500 w 899160"/>
              <a:gd name="connsiteY41" fmla="*/ 1325880 h 1786156"/>
              <a:gd name="connsiteX42" fmla="*/ 182880 w 899160"/>
              <a:gd name="connsiteY42" fmla="*/ 1181100 h 1786156"/>
              <a:gd name="connsiteX43" fmla="*/ 175260 w 899160"/>
              <a:gd name="connsiteY43" fmla="*/ 1143000 h 1786156"/>
              <a:gd name="connsiteX44" fmla="*/ 190500 w 899160"/>
              <a:gd name="connsiteY44" fmla="*/ 1043940 h 1786156"/>
              <a:gd name="connsiteX45" fmla="*/ 182880 w 899160"/>
              <a:gd name="connsiteY45" fmla="*/ 929640 h 1786156"/>
              <a:gd name="connsiteX46" fmla="*/ 160020 w 899160"/>
              <a:gd name="connsiteY46" fmla="*/ 914400 h 1786156"/>
              <a:gd name="connsiteX47" fmla="*/ 121920 w 899160"/>
              <a:gd name="connsiteY47" fmla="*/ 906780 h 1786156"/>
              <a:gd name="connsiteX48" fmla="*/ 53340 w 899160"/>
              <a:gd name="connsiteY48" fmla="*/ 876300 h 1786156"/>
              <a:gd name="connsiteX49" fmla="*/ 60960 w 899160"/>
              <a:gd name="connsiteY49" fmla="*/ 784860 h 1786156"/>
              <a:gd name="connsiteX50" fmla="*/ 76200 w 899160"/>
              <a:gd name="connsiteY50" fmla="*/ 731520 h 1786156"/>
              <a:gd name="connsiteX51" fmla="*/ 53340 w 899160"/>
              <a:gd name="connsiteY51" fmla="*/ 662940 h 1786156"/>
              <a:gd name="connsiteX52" fmla="*/ 45720 w 899160"/>
              <a:gd name="connsiteY52" fmla="*/ 640080 h 1786156"/>
              <a:gd name="connsiteX53" fmla="*/ 22860 w 899160"/>
              <a:gd name="connsiteY53" fmla="*/ 640080 h 1786156"/>
              <a:gd name="connsiteX0" fmla="*/ 22860 w 899160"/>
              <a:gd name="connsiteY0" fmla="*/ 640080 h 1781668"/>
              <a:gd name="connsiteX1" fmla="*/ 22860 w 899160"/>
              <a:gd name="connsiteY1" fmla="*/ 640080 h 1781668"/>
              <a:gd name="connsiteX2" fmla="*/ 7620 w 899160"/>
              <a:gd name="connsiteY2" fmla="*/ 510540 h 1781668"/>
              <a:gd name="connsiteX3" fmla="*/ 0 w 899160"/>
              <a:gd name="connsiteY3" fmla="*/ 487680 h 1781668"/>
              <a:gd name="connsiteX4" fmla="*/ 22860 w 899160"/>
              <a:gd name="connsiteY4" fmla="*/ 373380 h 1781668"/>
              <a:gd name="connsiteX5" fmla="*/ 38100 w 899160"/>
              <a:gd name="connsiteY5" fmla="*/ 350520 h 1781668"/>
              <a:gd name="connsiteX6" fmla="*/ 60960 w 899160"/>
              <a:gd name="connsiteY6" fmla="*/ 335280 h 1781668"/>
              <a:gd name="connsiteX7" fmla="*/ 114300 w 899160"/>
              <a:gd name="connsiteY7" fmla="*/ 274320 h 1781668"/>
              <a:gd name="connsiteX8" fmla="*/ 129540 w 899160"/>
              <a:gd name="connsiteY8" fmla="*/ 251460 h 1781668"/>
              <a:gd name="connsiteX9" fmla="*/ 175260 w 899160"/>
              <a:gd name="connsiteY9" fmla="*/ 220980 h 1781668"/>
              <a:gd name="connsiteX10" fmla="*/ 190500 w 899160"/>
              <a:gd name="connsiteY10" fmla="*/ 198120 h 1781668"/>
              <a:gd name="connsiteX11" fmla="*/ 236220 w 899160"/>
              <a:gd name="connsiteY11" fmla="*/ 160020 h 1781668"/>
              <a:gd name="connsiteX12" fmla="*/ 251460 w 899160"/>
              <a:gd name="connsiteY12" fmla="*/ 137160 h 1781668"/>
              <a:gd name="connsiteX13" fmla="*/ 281940 w 899160"/>
              <a:gd name="connsiteY13" fmla="*/ 114300 h 1781668"/>
              <a:gd name="connsiteX14" fmla="*/ 304800 w 899160"/>
              <a:gd name="connsiteY14" fmla="*/ 91440 h 1781668"/>
              <a:gd name="connsiteX15" fmla="*/ 350520 w 899160"/>
              <a:gd name="connsiteY15" fmla="*/ 68580 h 1781668"/>
              <a:gd name="connsiteX16" fmla="*/ 365760 w 899160"/>
              <a:gd name="connsiteY16" fmla="*/ 45720 h 1781668"/>
              <a:gd name="connsiteX17" fmla="*/ 411480 w 899160"/>
              <a:gd name="connsiteY17" fmla="*/ 30480 h 1781668"/>
              <a:gd name="connsiteX18" fmla="*/ 434340 w 899160"/>
              <a:gd name="connsiteY18" fmla="*/ 15240 h 1781668"/>
              <a:gd name="connsiteX19" fmla="*/ 464820 w 899160"/>
              <a:gd name="connsiteY19" fmla="*/ 7620 h 1781668"/>
              <a:gd name="connsiteX20" fmla="*/ 487680 w 899160"/>
              <a:gd name="connsiteY20" fmla="*/ 0 h 1781668"/>
              <a:gd name="connsiteX21" fmla="*/ 548640 w 899160"/>
              <a:gd name="connsiteY21" fmla="*/ 22860 h 1781668"/>
              <a:gd name="connsiteX22" fmla="*/ 563880 w 899160"/>
              <a:gd name="connsiteY22" fmla="*/ 45720 h 1781668"/>
              <a:gd name="connsiteX23" fmla="*/ 586740 w 899160"/>
              <a:gd name="connsiteY23" fmla="*/ 53340 h 1781668"/>
              <a:gd name="connsiteX24" fmla="*/ 609600 w 899160"/>
              <a:gd name="connsiteY24" fmla="*/ 68580 h 1781668"/>
              <a:gd name="connsiteX25" fmla="*/ 624840 w 899160"/>
              <a:gd name="connsiteY25" fmla="*/ 91440 h 1781668"/>
              <a:gd name="connsiteX26" fmla="*/ 647700 w 899160"/>
              <a:gd name="connsiteY26" fmla="*/ 106680 h 1781668"/>
              <a:gd name="connsiteX27" fmla="*/ 678180 w 899160"/>
              <a:gd name="connsiteY27" fmla="*/ 137160 h 1781668"/>
              <a:gd name="connsiteX28" fmla="*/ 739140 w 899160"/>
              <a:gd name="connsiteY28" fmla="*/ 190500 h 1781668"/>
              <a:gd name="connsiteX29" fmla="*/ 800100 w 899160"/>
              <a:gd name="connsiteY29" fmla="*/ 259080 h 1781668"/>
              <a:gd name="connsiteX30" fmla="*/ 762000 w 899160"/>
              <a:gd name="connsiteY30" fmla="*/ 342900 h 1781668"/>
              <a:gd name="connsiteX31" fmla="*/ 769620 w 899160"/>
              <a:gd name="connsiteY31" fmla="*/ 381000 h 1781668"/>
              <a:gd name="connsiteX32" fmla="*/ 777240 w 899160"/>
              <a:gd name="connsiteY32" fmla="*/ 403860 h 1781668"/>
              <a:gd name="connsiteX33" fmla="*/ 822960 w 899160"/>
              <a:gd name="connsiteY33" fmla="*/ 419100 h 1781668"/>
              <a:gd name="connsiteX34" fmla="*/ 861060 w 899160"/>
              <a:gd name="connsiteY34" fmla="*/ 464820 h 1781668"/>
              <a:gd name="connsiteX35" fmla="*/ 899160 w 899160"/>
              <a:gd name="connsiteY35" fmla="*/ 510540 h 1781668"/>
              <a:gd name="connsiteX36" fmla="*/ 685800 w 899160"/>
              <a:gd name="connsiteY36" fmla="*/ 1569720 h 1781668"/>
              <a:gd name="connsiteX37" fmla="*/ 632460 w 899160"/>
              <a:gd name="connsiteY37" fmla="*/ 1729740 h 1781668"/>
              <a:gd name="connsiteX38" fmla="*/ 342900 w 899160"/>
              <a:gd name="connsiteY38" fmla="*/ 1752600 h 1781668"/>
              <a:gd name="connsiteX39" fmla="*/ 198120 w 899160"/>
              <a:gd name="connsiteY39" fmla="*/ 1348740 h 1781668"/>
              <a:gd name="connsiteX40" fmla="*/ 190500 w 899160"/>
              <a:gd name="connsiteY40" fmla="*/ 1325880 h 1781668"/>
              <a:gd name="connsiteX41" fmla="*/ 182880 w 899160"/>
              <a:gd name="connsiteY41" fmla="*/ 1181100 h 1781668"/>
              <a:gd name="connsiteX42" fmla="*/ 175260 w 899160"/>
              <a:gd name="connsiteY42" fmla="*/ 1143000 h 1781668"/>
              <a:gd name="connsiteX43" fmla="*/ 190500 w 899160"/>
              <a:gd name="connsiteY43" fmla="*/ 1043940 h 1781668"/>
              <a:gd name="connsiteX44" fmla="*/ 182880 w 899160"/>
              <a:gd name="connsiteY44" fmla="*/ 929640 h 1781668"/>
              <a:gd name="connsiteX45" fmla="*/ 160020 w 899160"/>
              <a:gd name="connsiteY45" fmla="*/ 914400 h 1781668"/>
              <a:gd name="connsiteX46" fmla="*/ 121920 w 899160"/>
              <a:gd name="connsiteY46" fmla="*/ 906780 h 1781668"/>
              <a:gd name="connsiteX47" fmla="*/ 53340 w 899160"/>
              <a:gd name="connsiteY47" fmla="*/ 876300 h 1781668"/>
              <a:gd name="connsiteX48" fmla="*/ 60960 w 899160"/>
              <a:gd name="connsiteY48" fmla="*/ 784860 h 1781668"/>
              <a:gd name="connsiteX49" fmla="*/ 76200 w 899160"/>
              <a:gd name="connsiteY49" fmla="*/ 731520 h 1781668"/>
              <a:gd name="connsiteX50" fmla="*/ 53340 w 899160"/>
              <a:gd name="connsiteY50" fmla="*/ 662940 h 1781668"/>
              <a:gd name="connsiteX51" fmla="*/ 45720 w 899160"/>
              <a:gd name="connsiteY51" fmla="*/ 640080 h 1781668"/>
              <a:gd name="connsiteX52" fmla="*/ 22860 w 899160"/>
              <a:gd name="connsiteY52" fmla="*/ 640080 h 1781668"/>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90500 w 899160"/>
              <a:gd name="connsiteY39" fmla="*/ 1325880 h 1845685"/>
              <a:gd name="connsiteX40" fmla="*/ 182880 w 899160"/>
              <a:gd name="connsiteY40" fmla="*/ 1181100 h 1845685"/>
              <a:gd name="connsiteX41" fmla="*/ 175260 w 899160"/>
              <a:gd name="connsiteY41" fmla="*/ 1143000 h 1845685"/>
              <a:gd name="connsiteX42" fmla="*/ 190500 w 899160"/>
              <a:gd name="connsiteY42" fmla="*/ 1043940 h 1845685"/>
              <a:gd name="connsiteX43" fmla="*/ 182880 w 899160"/>
              <a:gd name="connsiteY43" fmla="*/ 929640 h 1845685"/>
              <a:gd name="connsiteX44" fmla="*/ 160020 w 899160"/>
              <a:gd name="connsiteY44" fmla="*/ 914400 h 1845685"/>
              <a:gd name="connsiteX45" fmla="*/ 121920 w 899160"/>
              <a:gd name="connsiteY45" fmla="*/ 906780 h 1845685"/>
              <a:gd name="connsiteX46" fmla="*/ 53340 w 899160"/>
              <a:gd name="connsiteY46" fmla="*/ 876300 h 1845685"/>
              <a:gd name="connsiteX47" fmla="*/ 60960 w 899160"/>
              <a:gd name="connsiteY47" fmla="*/ 784860 h 1845685"/>
              <a:gd name="connsiteX48" fmla="*/ 76200 w 899160"/>
              <a:gd name="connsiteY48" fmla="*/ 731520 h 1845685"/>
              <a:gd name="connsiteX49" fmla="*/ 53340 w 899160"/>
              <a:gd name="connsiteY49" fmla="*/ 662940 h 1845685"/>
              <a:gd name="connsiteX50" fmla="*/ 45720 w 899160"/>
              <a:gd name="connsiteY50" fmla="*/ 640080 h 1845685"/>
              <a:gd name="connsiteX51" fmla="*/ 22860 w 899160"/>
              <a:gd name="connsiteY51" fmla="*/ 640080 h 1845685"/>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82880 w 899160"/>
              <a:gd name="connsiteY39" fmla="*/ 1181100 h 1845685"/>
              <a:gd name="connsiteX40" fmla="*/ 175260 w 899160"/>
              <a:gd name="connsiteY40" fmla="*/ 1143000 h 1845685"/>
              <a:gd name="connsiteX41" fmla="*/ 190500 w 899160"/>
              <a:gd name="connsiteY41" fmla="*/ 1043940 h 1845685"/>
              <a:gd name="connsiteX42" fmla="*/ 182880 w 899160"/>
              <a:gd name="connsiteY42" fmla="*/ 929640 h 1845685"/>
              <a:gd name="connsiteX43" fmla="*/ 160020 w 899160"/>
              <a:gd name="connsiteY43" fmla="*/ 914400 h 1845685"/>
              <a:gd name="connsiteX44" fmla="*/ 121920 w 899160"/>
              <a:gd name="connsiteY44" fmla="*/ 906780 h 1845685"/>
              <a:gd name="connsiteX45" fmla="*/ 53340 w 899160"/>
              <a:gd name="connsiteY45" fmla="*/ 876300 h 1845685"/>
              <a:gd name="connsiteX46" fmla="*/ 60960 w 899160"/>
              <a:gd name="connsiteY46" fmla="*/ 784860 h 1845685"/>
              <a:gd name="connsiteX47" fmla="*/ 76200 w 899160"/>
              <a:gd name="connsiteY47" fmla="*/ 731520 h 1845685"/>
              <a:gd name="connsiteX48" fmla="*/ 53340 w 899160"/>
              <a:gd name="connsiteY48" fmla="*/ 662940 h 1845685"/>
              <a:gd name="connsiteX49" fmla="*/ 45720 w 899160"/>
              <a:gd name="connsiteY49" fmla="*/ 640080 h 1845685"/>
              <a:gd name="connsiteX50" fmla="*/ 22860 w 899160"/>
              <a:gd name="connsiteY50" fmla="*/ 640080 h 1845685"/>
              <a:gd name="connsiteX0" fmla="*/ 2286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49" fmla="*/ 22860 w 899160"/>
              <a:gd name="connsiteY49" fmla="*/ 640080 h 1854565"/>
              <a:gd name="connsiteX0" fmla="*/ 4572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0" fmla="*/ 53340 w 899160"/>
              <a:gd name="connsiteY0" fmla="*/ 66294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0" fmla="*/ 76200 w 899160"/>
              <a:gd name="connsiteY0" fmla="*/ 73152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0" fmla="*/ 76200 w 899160"/>
              <a:gd name="connsiteY0" fmla="*/ 73152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45" fmla="*/ 76200 w 899160"/>
              <a:gd name="connsiteY45" fmla="*/ 731520 h 1854565"/>
              <a:gd name="connsiteX0" fmla="*/ 60960 w 899160"/>
              <a:gd name="connsiteY0" fmla="*/ 78486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0" fmla="*/ 53340 w 899160"/>
              <a:gd name="connsiteY0" fmla="*/ 87630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78377 w 902277"/>
              <a:gd name="connsiteY38" fmla="*/ 1143000 h 1854565"/>
              <a:gd name="connsiteX39" fmla="*/ 193617 w 902277"/>
              <a:gd name="connsiteY39" fmla="*/ 1043940 h 1854565"/>
              <a:gd name="connsiteX40" fmla="*/ 185997 w 902277"/>
              <a:gd name="connsiteY40" fmla="*/ 929640 h 1854565"/>
              <a:gd name="connsiteX41" fmla="*/ 163137 w 902277"/>
              <a:gd name="connsiteY41" fmla="*/ 914400 h 1854565"/>
              <a:gd name="connsiteX42" fmla="*/ 125037 w 902277"/>
              <a:gd name="connsiteY42" fmla="*/ 90678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93617 w 902277"/>
              <a:gd name="connsiteY38" fmla="*/ 1043940 h 1854565"/>
              <a:gd name="connsiteX39" fmla="*/ 185997 w 902277"/>
              <a:gd name="connsiteY39" fmla="*/ 929640 h 1854565"/>
              <a:gd name="connsiteX40" fmla="*/ 163137 w 902277"/>
              <a:gd name="connsiteY40" fmla="*/ 914400 h 1854565"/>
              <a:gd name="connsiteX41" fmla="*/ 125037 w 902277"/>
              <a:gd name="connsiteY41" fmla="*/ 906780 h 1854565"/>
              <a:gd name="connsiteX0" fmla="*/ 125037 w 902277"/>
              <a:gd name="connsiteY0" fmla="*/ 906780 h 1862294"/>
              <a:gd name="connsiteX1" fmla="*/ 10737 w 902277"/>
              <a:gd name="connsiteY1" fmla="*/ 510540 h 1862294"/>
              <a:gd name="connsiteX2" fmla="*/ 3117 w 902277"/>
              <a:gd name="connsiteY2" fmla="*/ 487680 h 1862294"/>
              <a:gd name="connsiteX3" fmla="*/ 25977 w 902277"/>
              <a:gd name="connsiteY3" fmla="*/ 373380 h 1862294"/>
              <a:gd name="connsiteX4" fmla="*/ 41217 w 902277"/>
              <a:gd name="connsiteY4" fmla="*/ 350520 h 1862294"/>
              <a:gd name="connsiteX5" fmla="*/ 64077 w 902277"/>
              <a:gd name="connsiteY5" fmla="*/ 335280 h 1862294"/>
              <a:gd name="connsiteX6" fmla="*/ 117417 w 902277"/>
              <a:gd name="connsiteY6" fmla="*/ 274320 h 1862294"/>
              <a:gd name="connsiteX7" fmla="*/ 132657 w 902277"/>
              <a:gd name="connsiteY7" fmla="*/ 251460 h 1862294"/>
              <a:gd name="connsiteX8" fmla="*/ 178377 w 902277"/>
              <a:gd name="connsiteY8" fmla="*/ 220980 h 1862294"/>
              <a:gd name="connsiteX9" fmla="*/ 193617 w 902277"/>
              <a:gd name="connsiteY9" fmla="*/ 198120 h 1862294"/>
              <a:gd name="connsiteX10" fmla="*/ 239337 w 902277"/>
              <a:gd name="connsiteY10" fmla="*/ 160020 h 1862294"/>
              <a:gd name="connsiteX11" fmla="*/ 254577 w 902277"/>
              <a:gd name="connsiteY11" fmla="*/ 137160 h 1862294"/>
              <a:gd name="connsiteX12" fmla="*/ 285057 w 902277"/>
              <a:gd name="connsiteY12" fmla="*/ 114300 h 1862294"/>
              <a:gd name="connsiteX13" fmla="*/ 307917 w 902277"/>
              <a:gd name="connsiteY13" fmla="*/ 91440 h 1862294"/>
              <a:gd name="connsiteX14" fmla="*/ 353637 w 902277"/>
              <a:gd name="connsiteY14" fmla="*/ 68580 h 1862294"/>
              <a:gd name="connsiteX15" fmla="*/ 368877 w 902277"/>
              <a:gd name="connsiteY15" fmla="*/ 45720 h 1862294"/>
              <a:gd name="connsiteX16" fmla="*/ 414597 w 902277"/>
              <a:gd name="connsiteY16" fmla="*/ 30480 h 1862294"/>
              <a:gd name="connsiteX17" fmla="*/ 437457 w 902277"/>
              <a:gd name="connsiteY17" fmla="*/ 15240 h 1862294"/>
              <a:gd name="connsiteX18" fmla="*/ 467937 w 902277"/>
              <a:gd name="connsiteY18" fmla="*/ 7620 h 1862294"/>
              <a:gd name="connsiteX19" fmla="*/ 490797 w 902277"/>
              <a:gd name="connsiteY19" fmla="*/ 0 h 1862294"/>
              <a:gd name="connsiteX20" fmla="*/ 551757 w 902277"/>
              <a:gd name="connsiteY20" fmla="*/ 22860 h 1862294"/>
              <a:gd name="connsiteX21" fmla="*/ 566997 w 902277"/>
              <a:gd name="connsiteY21" fmla="*/ 45720 h 1862294"/>
              <a:gd name="connsiteX22" fmla="*/ 589857 w 902277"/>
              <a:gd name="connsiteY22" fmla="*/ 53340 h 1862294"/>
              <a:gd name="connsiteX23" fmla="*/ 612717 w 902277"/>
              <a:gd name="connsiteY23" fmla="*/ 68580 h 1862294"/>
              <a:gd name="connsiteX24" fmla="*/ 627957 w 902277"/>
              <a:gd name="connsiteY24" fmla="*/ 91440 h 1862294"/>
              <a:gd name="connsiteX25" fmla="*/ 650817 w 902277"/>
              <a:gd name="connsiteY25" fmla="*/ 106680 h 1862294"/>
              <a:gd name="connsiteX26" fmla="*/ 681297 w 902277"/>
              <a:gd name="connsiteY26" fmla="*/ 137160 h 1862294"/>
              <a:gd name="connsiteX27" fmla="*/ 742257 w 902277"/>
              <a:gd name="connsiteY27" fmla="*/ 190500 h 1862294"/>
              <a:gd name="connsiteX28" fmla="*/ 803217 w 902277"/>
              <a:gd name="connsiteY28" fmla="*/ 259080 h 1862294"/>
              <a:gd name="connsiteX29" fmla="*/ 765117 w 902277"/>
              <a:gd name="connsiteY29" fmla="*/ 342900 h 1862294"/>
              <a:gd name="connsiteX30" fmla="*/ 772737 w 902277"/>
              <a:gd name="connsiteY30" fmla="*/ 381000 h 1862294"/>
              <a:gd name="connsiteX31" fmla="*/ 780357 w 902277"/>
              <a:gd name="connsiteY31" fmla="*/ 403860 h 1862294"/>
              <a:gd name="connsiteX32" fmla="*/ 826077 w 902277"/>
              <a:gd name="connsiteY32" fmla="*/ 419100 h 1862294"/>
              <a:gd name="connsiteX33" fmla="*/ 864177 w 902277"/>
              <a:gd name="connsiteY33" fmla="*/ 464820 h 1862294"/>
              <a:gd name="connsiteX34" fmla="*/ 902277 w 902277"/>
              <a:gd name="connsiteY34" fmla="*/ 510540 h 1862294"/>
              <a:gd name="connsiteX35" fmla="*/ 635577 w 902277"/>
              <a:gd name="connsiteY35" fmla="*/ 1729740 h 1862294"/>
              <a:gd name="connsiteX36" fmla="*/ 346017 w 902277"/>
              <a:gd name="connsiteY36" fmla="*/ 1752600 h 1862294"/>
              <a:gd name="connsiteX37" fmla="*/ 193617 w 902277"/>
              <a:gd name="connsiteY37" fmla="*/ 1043940 h 1862294"/>
              <a:gd name="connsiteX38" fmla="*/ 185997 w 902277"/>
              <a:gd name="connsiteY38" fmla="*/ 929640 h 1862294"/>
              <a:gd name="connsiteX39" fmla="*/ 163137 w 902277"/>
              <a:gd name="connsiteY39" fmla="*/ 914400 h 1862294"/>
              <a:gd name="connsiteX40" fmla="*/ 125037 w 902277"/>
              <a:gd name="connsiteY40" fmla="*/ 906780 h 1862294"/>
              <a:gd name="connsiteX0" fmla="*/ 125037 w 902277"/>
              <a:gd name="connsiteY0" fmla="*/ 906780 h 1869018"/>
              <a:gd name="connsiteX1" fmla="*/ 10737 w 902277"/>
              <a:gd name="connsiteY1" fmla="*/ 510540 h 1869018"/>
              <a:gd name="connsiteX2" fmla="*/ 3117 w 902277"/>
              <a:gd name="connsiteY2" fmla="*/ 487680 h 1869018"/>
              <a:gd name="connsiteX3" fmla="*/ 25977 w 902277"/>
              <a:gd name="connsiteY3" fmla="*/ 373380 h 1869018"/>
              <a:gd name="connsiteX4" fmla="*/ 41217 w 902277"/>
              <a:gd name="connsiteY4" fmla="*/ 350520 h 1869018"/>
              <a:gd name="connsiteX5" fmla="*/ 64077 w 902277"/>
              <a:gd name="connsiteY5" fmla="*/ 335280 h 1869018"/>
              <a:gd name="connsiteX6" fmla="*/ 117417 w 902277"/>
              <a:gd name="connsiteY6" fmla="*/ 274320 h 1869018"/>
              <a:gd name="connsiteX7" fmla="*/ 132657 w 902277"/>
              <a:gd name="connsiteY7" fmla="*/ 251460 h 1869018"/>
              <a:gd name="connsiteX8" fmla="*/ 178377 w 902277"/>
              <a:gd name="connsiteY8" fmla="*/ 220980 h 1869018"/>
              <a:gd name="connsiteX9" fmla="*/ 193617 w 902277"/>
              <a:gd name="connsiteY9" fmla="*/ 198120 h 1869018"/>
              <a:gd name="connsiteX10" fmla="*/ 239337 w 902277"/>
              <a:gd name="connsiteY10" fmla="*/ 160020 h 1869018"/>
              <a:gd name="connsiteX11" fmla="*/ 254577 w 902277"/>
              <a:gd name="connsiteY11" fmla="*/ 137160 h 1869018"/>
              <a:gd name="connsiteX12" fmla="*/ 285057 w 902277"/>
              <a:gd name="connsiteY12" fmla="*/ 114300 h 1869018"/>
              <a:gd name="connsiteX13" fmla="*/ 307917 w 902277"/>
              <a:gd name="connsiteY13" fmla="*/ 91440 h 1869018"/>
              <a:gd name="connsiteX14" fmla="*/ 353637 w 902277"/>
              <a:gd name="connsiteY14" fmla="*/ 68580 h 1869018"/>
              <a:gd name="connsiteX15" fmla="*/ 368877 w 902277"/>
              <a:gd name="connsiteY15" fmla="*/ 45720 h 1869018"/>
              <a:gd name="connsiteX16" fmla="*/ 414597 w 902277"/>
              <a:gd name="connsiteY16" fmla="*/ 30480 h 1869018"/>
              <a:gd name="connsiteX17" fmla="*/ 437457 w 902277"/>
              <a:gd name="connsiteY17" fmla="*/ 15240 h 1869018"/>
              <a:gd name="connsiteX18" fmla="*/ 467937 w 902277"/>
              <a:gd name="connsiteY18" fmla="*/ 7620 h 1869018"/>
              <a:gd name="connsiteX19" fmla="*/ 490797 w 902277"/>
              <a:gd name="connsiteY19" fmla="*/ 0 h 1869018"/>
              <a:gd name="connsiteX20" fmla="*/ 551757 w 902277"/>
              <a:gd name="connsiteY20" fmla="*/ 22860 h 1869018"/>
              <a:gd name="connsiteX21" fmla="*/ 566997 w 902277"/>
              <a:gd name="connsiteY21" fmla="*/ 45720 h 1869018"/>
              <a:gd name="connsiteX22" fmla="*/ 589857 w 902277"/>
              <a:gd name="connsiteY22" fmla="*/ 53340 h 1869018"/>
              <a:gd name="connsiteX23" fmla="*/ 612717 w 902277"/>
              <a:gd name="connsiteY23" fmla="*/ 68580 h 1869018"/>
              <a:gd name="connsiteX24" fmla="*/ 627957 w 902277"/>
              <a:gd name="connsiteY24" fmla="*/ 91440 h 1869018"/>
              <a:gd name="connsiteX25" fmla="*/ 650817 w 902277"/>
              <a:gd name="connsiteY25" fmla="*/ 106680 h 1869018"/>
              <a:gd name="connsiteX26" fmla="*/ 681297 w 902277"/>
              <a:gd name="connsiteY26" fmla="*/ 137160 h 1869018"/>
              <a:gd name="connsiteX27" fmla="*/ 742257 w 902277"/>
              <a:gd name="connsiteY27" fmla="*/ 190500 h 1869018"/>
              <a:gd name="connsiteX28" fmla="*/ 803217 w 902277"/>
              <a:gd name="connsiteY28" fmla="*/ 259080 h 1869018"/>
              <a:gd name="connsiteX29" fmla="*/ 765117 w 902277"/>
              <a:gd name="connsiteY29" fmla="*/ 342900 h 1869018"/>
              <a:gd name="connsiteX30" fmla="*/ 772737 w 902277"/>
              <a:gd name="connsiteY30" fmla="*/ 381000 h 1869018"/>
              <a:gd name="connsiteX31" fmla="*/ 780357 w 902277"/>
              <a:gd name="connsiteY31" fmla="*/ 403860 h 1869018"/>
              <a:gd name="connsiteX32" fmla="*/ 826077 w 902277"/>
              <a:gd name="connsiteY32" fmla="*/ 419100 h 1869018"/>
              <a:gd name="connsiteX33" fmla="*/ 864177 w 902277"/>
              <a:gd name="connsiteY33" fmla="*/ 464820 h 1869018"/>
              <a:gd name="connsiteX34" fmla="*/ 902277 w 902277"/>
              <a:gd name="connsiteY34" fmla="*/ 510540 h 1869018"/>
              <a:gd name="connsiteX35" fmla="*/ 635577 w 902277"/>
              <a:gd name="connsiteY35" fmla="*/ 1729740 h 1869018"/>
              <a:gd name="connsiteX36" fmla="*/ 346017 w 902277"/>
              <a:gd name="connsiteY36" fmla="*/ 1752600 h 1869018"/>
              <a:gd name="connsiteX37" fmla="*/ 185997 w 902277"/>
              <a:gd name="connsiteY37" fmla="*/ 929640 h 1869018"/>
              <a:gd name="connsiteX38" fmla="*/ 163137 w 902277"/>
              <a:gd name="connsiteY38" fmla="*/ 914400 h 1869018"/>
              <a:gd name="connsiteX39" fmla="*/ 125037 w 902277"/>
              <a:gd name="connsiteY39" fmla="*/ 906780 h 1869018"/>
              <a:gd name="connsiteX0" fmla="*/ 165877 w 905017"/>
              <a:gd name="connsiteY0" fmla="*/ 914400 h 1869018"/>
              <a:gd name="connsiteX1" fmla="*/ 13477 w 905017"/>
              <a:gd name="connsiteY1" fmla="*/ 510540 h 1869018"/>
              <a:gd name="connsiteX2" fmla="*/ 5857 w 905017"/>
              <a:gd name="connsiteY2" fmla="*/ 487680 h 1869018"/>
              <a:gd name="connsiteX3" fmla="*/ 28717 w 905017"/>
              <a:gd name="connsiteY3" fmla="*/ 373380 h 1869018"/>
              <a:gd name="connsiteX4" fmla="*/ 43957 w 905017"/>
              <a:gd name="connsiteY4" fmla="*/ 350520 h 1869018"/>
              <a:gd name="connsiteX5" fmla="*/ 66817 w 905017"/>
              <a:gd name="connsiteY5" fmla="*/ 335280 h 1869018"/>
              <a:gd name="connsiteX6" fmla="*/ 120157 w 905017"/>
              <a:gd name="connsiteY6" fmla="*/ 274320 h 1869018"/>
              <a:gd name="connsiteX7" fmla="*/ 135397 w 905017"/>
              <a:gd name="connsiteY7" fmla="*/ 251460 h 1869018"/>
              <a:gd name="connsiteX8" fmla="*/ 181117 w 905017"/>
              <a:gd name="connsiteY8" fmla="*/ 220980 h 1869018"/>
              <a:gd name="connsiteX9" fmla="*/ 196357 w 905017"/>
              <a:gd name="connsiteY9" fmla="*/ 198120 h 1869018"/>
              <a:gd name="connsiteX10" fmla="*/ 242077 w 905017"/>
              <a:gd name="connsiteY10" fmla="*/ 160020 h 1869018"/>
              <a:gd name="connsiteX11" fmla="*/ 257317 w 905017"/>
              <a:gd name="connsiteY11" fmla="*/ 137160 h 1869018"/>
              <a:gd name="connsiteX12" fmla="*/ 287797 w 905017"/>
              <a:gd name="connsiteY12" fmla="*/ 114300 h 1869018"/>
              <a:gd name="connsiteX13" fmla="*/ 310657 w 905017"/>
              <a:gd name="connsiteY13" fmla="*/ 91440 h 1869018"/>
              <a:gd name="connsiteX14" fmla="*/ 356377 w 905017"/>
              <a:gd name="connsiteY14" fmla="*/ 68580 h 1869018"/>
              <a:gd name="connsiteX15" fmla="*/ 371617 w 905017"/>
              <a:gd name="connsiteY15" fmla="*/ 45720 h 1869018"/>
              <a:gd name="connsiteX16" fmla="*/ 417337 w 905017"/>
              <a:gd name="connsiteY16" fmla="*/ 30480 h 1869018"/>
              <a:gd name="connsiteX17" fmla="*/ 440197 w 905017"/>
              <a:gd name="connsiteY17" fmla="*/ 15240 h 1869018"/>
              <a:gd name="connsiteX18" fmla="*/ 470677 w 905017"/>
              <a:gd name="connsiteY18" fmla="*/ 7620 h 1869018"/>
              <a:gd name="connsiteX19" fmla="*/ 493537 w 905017"/>
              <a:gd name="connsiteY19" fmla="*/ 0 h 1869018"/>
              <a:gd name="connsiteX20" fmla="*/ 554497 w 905017"/>
              <a:gd name="connsiteY20" fmla="*/ 22860 h 1869018"/>
              <a:gd name="connsiteX21" fmla="*/ 569737 w 905017"/>
              <a:gd name="connsiteY21" fmla="*/ 45720 h 1869018"/>
              <a:gd name="connsiteX22" fmla="*/ 592597 w 905017"/>
              <a:gd name="connsiteY22" fmla="*/ 53340 h 1869018"/>
              <a:gd name="connsiteX23" fmla="*/ 615457 w 905017"/>
              <a:gd name="connsiteY23" fmla="*/ 68580 h 1869018"/>
              <a:gd name="connsiteX24" fmla="*/ 630697 w 905017"/>
              <a:gd name="connsiteY24" fmla="*/ 91440 h 1869018"/>
              <a:gd name="connsiteX25" fmla="*/ 653557 w 905017"/>
              <a:gd name="connsiteY25" fmla="*/ 106680 h 1869018"/>
              <a:gd name="connsiteX26" fmla="*/ 684037 w 905017"/>
              <a:gd name="connsiteY26" fmla="*/ 137160 h 1869018"/>
              <a:gd name="connsiteX27" fmla="*/ 744997 w 905017"/>
              <a:gd name="connsiteY27" fmla="*/ 190500 h 1869018"/>
              <a:gd name="connsiteX28" fmla="*/ 805957 w 905017"/>
              <a:gd name="connsiteY28" fmla="*/ 259080 h 1869018"/>
              <a:gd name="connsiteX29" fmla="*/ 767857 w 905017"/>
              <a:gd name="connsiteY29" fmla="*/ 342900 h 1869018"/>
              <a:gd name="connsiteX30" fmla="*/ 775477 w 905017"/>
              <a:gd name="connsiteY30" fmla="*/ 381000 h 1869018"/>
              <a:gd name="connsiteX31" fmla="*/ 783097 w 905017"/>
              <a:gd name="connsiteY31" fmla="*/ 403860 h 1869018"/>
              <a:gd name="connsiteX32" fmla="*/ 828817 w 905017"/>
              <a:gd name="connsiteY32" fmla="*/ 419100 h 1869018"/>
              <a:gd name="connsiteX33" fmla="*/ 866917 w 905017"/>
              <a:gd name="connsiteY33" fmla="*/ 464820 h 1869018"/>
              <a:gd name="connsiteX34" fmla="*/ 905017 w 905017"/>
              <a:gd name="connsiteY34" fmla="*/ 510540 h 1869018"/>
              <a:gd name="connsiteX35" fmla="*/ 638317 w 905017"/>
              <a:gd name="connsiteY35" fmla="*/ 1729740 h 1869018"/>
              <a:gd name="connsiteX36" fmla="*/ 348757 w 905017"/>
              <a:gd name="connsiteY36" fmla="*/ 1752600 h 1869018"/>
              <a:gd name="connsiteX37" fmla="*/ 188737 w 905017"/>
              <a:gd name="connsiteY37" fmla="*/ 929640 h 1869018"/>
              <a:gd name="connsiteX38" fmla="*/ 165877 w 905017"/>
              <a:gd name="connsiteY38" fmla="*/ 914400 h 1869018"/>
              <a:gd name="connsiteX0" fmla="*/ 190399 w 906679"/>
              <a:gd name="connsiteY0" fmla="*/ 929640 h 1869018"/>
              <a:gd name="connsiteX1" fmla="*/ 15139 w 906679"/>
              <a:gd name="connsiteY1" fmla="*/ 510540 h 1869018"/>
              <a:gd name="connsiteX2" fmla="*/ 7519 w 906679"/>
              <a:gd name="connsiteY2" fmla="*/ 487680 h 1869018"/>
              <a:gd name="connsiteX3" fmla="*/ 30379 w 906679"/>
              <a:gd name="connsiteY3" fmla="*/ 373380 h 1869018"/>
              <a:gd name="connsiteX4" fmla="*/ 45619 w 906679"/>
              <a:gd name="connsiteY4" fmla="*/ 350520 h 1869018"/>
              <a:gd name="connsiteX5" fmla="*/ 68479 w 906679"/>
              <a:gd name="connsiteY5" fmla="*/ 335280 h 1869018"/>
              <a:gd name="connsiteX6" fmla="*/ 121819 w 906679"/>
              <a:gd name="connsiteY6" fmla="*/ 274320 h 1869018"/>
              <a:gd name="connsiteX7" fmla="*/ 137059 w 906679"/>
              <a:gd name="connsiteY7" fmla="*/ 251460 h 1869018"/>
              <a:gd name="connsiteX8" fmla="*/ 182779 w 906679"/>
              <a:gd name="connsiteY8" fmla="*/ 220980 h 1869018"/>
              <a:gd name="connsiteX9" fmla="*/ 198019 w 906679"/>
              <a:gd name="connsiteY9" fmla="*/ 198120 h 1869018"/>
              <a:gd name="connsiteX10" fmla="*/ 243739 w 906679"/>
              <a:gd name="connsiteY10" fmla="*/ 160020 h 1869018"/>
              <a:gd name="connsiteX11" fmla="*/ 258979 w 906679"/>
              <a:gd name="connsiteY11" fmla="*/ 137160 h 1869018"/>
              <a:gd name="connsiteX12" fmla="*/ 289459 w 906679"/>
              <a:gd name="connsiteY12" fmla="*/ 114300 h 1869018"/>
              <a:gd name="connsiteX13" fmla="*/ 312319 w 906679"/>
              <a:gd name="connsiteY13" fmla="*/ 91440 h 1869018"/>
              <a:gd name="connsiteX14" fmla="*/ 358039 w 906679"/>
              <a:gd name="connsiteY14" fmla="*/ 68580 h 1869018"/>
              <a:gd name="connsiteX15" fmla="*/ 373279 w 906679"/>
              <a:gd name="connsiteY15" fmla="*/ 45720 h 1869018"/>
              <a:gd name="connsiteX16" fmla="*/ 418999 w 906679"/>
              <a:gd name="connsiteY16" fmla="*/ 30480 h 1869018"/>
              <a:gd name="connsiteX17" fmla="*/ 441859 w 906679"/>
              <a:gd name="connsiteY17" fmla="*/ 15240 h 1869018"/>
              <a:gd name="connsiteX18" fmla="*/ 472339 w 906679"/>
              <a:gd name="connsiteY18" fmla="*/ 7620 h 1869018"/>
              <a:gd name="connsiteX19" fmla="*/ 495199 w 906679"/>
              <a:gd name="connsiteY19" fmla="*/ 0 h 1869018"/>
              <a:gd name="connsiteX20" fmla="*/ 556159 w 906679"/>
              <a:gd name="connsiteY20" fmla="*/ 22860 h 1869018"/>
              <a:gd name="connsiteX21" fmla="*/ 571399 w 906679"/>
              <a:gd name="connsiteY21" fmla="*/ 45720 h 1869018"/>
              <a:gd name="connsiteX22" fmla="*/ 594259 w 906679"/>
              <a:gd name="connsiteY22" fmla="*/ 53340 h 1869018"/>
              <a:gd name="connsiteX23" fmla="*/ 617119 w 906679"/>
              <a:gd name="connsiteY23" fmla="*/ 68580 h 1869018"/>
              <a:gd name="connsiteX24" fmla="*/ 632359 w 906679"/>
              <a:gd name="connsiteY24" fmla="*/ 91440 h 1869018"/>
              <a:gd name="connsiteX25" fmla="*/ 655219 w 906679"/>
              <a:gd name="connsiteY25" fmla="*/ 106680 h 1869018"/>
              <a:gd name="connsiteX26" fmla="*/ 685699 w 906679"/>
              <a:gd name="connsiteY26" fmla="*/ 137160 h 1869018"/>
              <a:gd name="connsiteX27" fmla="*/ 746659 w 906679"/>
              <a:gd name="connsiteY27" fmla="*/ 190500 h 1869018"/>
              <a:gd name="connsiteX28" fmla="*/ 807619 w 906679"/>
              <a:gd name="connsiteY28" fmla="*/ 259080 h 1869018"/>
              <a:gd name="connsiteX29" fmla="*/ 769519 w 906679"/>
              <a:gd name="connsiteY29" fmla="*/ 342900 h 1869018"/>
              <a:gd name="connsiteX30" fmla="*/ 777139 w 906679"/>
              <a:gd name="connsiteY30" fmla="*/ 381000 h 1869018"/>
              <a:gd name="connsiteX31" fmla="*/ 784759 w 906679"/>
              <a:gd name="connsiteY31" fmla="*/ 403860 h 1869018"/>
              <a:gd name="connsiteX32" fmla="*/ 830479 w 906679"/>
              <a:gd name="connsiteY32" fmla="*/ 419100 h 1869018"/>
              <a:gd name="connsiteX33" fmla="*/ 868579 w 906679"/>
              <a:gd name="connsiteY33" fmla="*/ 464820 h 1869018"/>
              <a:gd name="connsiteX34" fmla="*/ 906679 w 906679"/>
              <a:gd name="connsiteY34" fmla="*/ 510540 h 1869018"/>
              <a:gd name="connsiteX35" fmla="*/ 639979 w 906679"/>
              <a:gd name="connsiteY35" fmla="*/ 1729740 h 1869018"/>
              <a:gd name="connsiteX36" fmla="*/ 350419 w 906679"/>
              <a:gd name="connsiteY36" fmla="*/ 1752600 h 1869018"/>
              <a:gd name="connsiteX37" fmla="*/ 190399 w 906679"/>
              <a:gd name="connsiteY37" fmla="*/ 929640 h 1869018"/>
              <a:gd name="connsiteX0" fmla="*/ 362181 w 918441"/>
              <a:gd name="connsiteY0" fmla="*/ 1752600 h 1895399"/>
              <a:gd name="connsiteX1" fmla="*/ 26901 w 918441"/>
              <a:gd name="connsiteY1" fmla="*/ 510540 h 1895399"/>
              <a:gd name="connsiteX2" fmla="*/ 19281 w 918441"/>
              <a:gd name="connsiteY2" fmla="*/ 487680 h 1895399"/>
              <a:gd name="connsiteX3" fmla="*/ 42141 w 918441"/>
              <a:gd name="connsiteY3" fmla="*/ 373380 h 1895399"/>
              <a:gd name="connsiteX4" fmla="*/ 57381 w 918441"/>
              <a:gd name="connsiteY4" fmla="*/ 350520 h 1895399"/>
              <a:gd name="connsiteX5" fmla="*/ 80241 w 918441"/>
              <a:gd name="connsiteY5" fmla="*/ 335280 h 1895399"/>
              <a:gd name="connsiteX6" fmla="*/ 133581 w 918441"/>
              <a:gd name="connsiteY6" fmla="*/ 274320 h 1895399"/>
              <a:gd name="connsiteX7" fmla="*/ 148821 w 918441"/>
              <a:gd name="connsiteY7" fmla="*/ 251460 h 1895399"/>
              <a:gd name="connsiteX8" fmla="*/ 194541 w 918441"/>
              <a:gd name="connsiteY8" fmla="*/ 220980 h 1895399"/>
              <a:gd name="connsiteX9" fmla="*/ 209781 w 918441"/>
              <a:gd name="connsiteY9" fmla="*/ 198120 h 1895399"/>
              <a:gd name="connsiteX10" fmla="*/ 255501 w 918441"/>
              <a:gd name="connsiteY10" fmla="*/ 160020 h 1895399"/>
              <a:gd name="connsiteX11" fmla="*/ 270741 w 918441"/>
              <a:gd name="connsiteY11" fmla="*/ 137160 h 1895399"/>
              <a:gd name="connsiteX12" fmla="*/ 301221 w 918441"/>
              <a:gd name="connsiteY12" fmla="*/ 114300 h 1895399"/>
              <a:gd name="connsiteX13" fmla="*/ 324081 w 918441"/>
              <a:gd name="connsiteY13" fmla="*/ 91440 h 1895399"/>
              <a:gd name="connsiteX14" fmla="*/ 369801 w 918441"/>
              <a:gd name="connsiteY14" fmla="*/ 68580 h 1895399"/>
              <a:gd name="connsiteX15" fmla="*/ 385041 w 918441"/>
              <a:gd name="connsiteY15" fmla="*/ 45720 h 1895399"/>
              <a:gd name="connsiteX16" fmla="*/ 430761 w 918441"/>
              <a:gd name="connsiteY16" fmla="*/ 30480 h 1895399"/>
              <a:gd name="connsiteX17" fmla="*/ 453621 w 918441"/>
              <a:gd name="connsiteY17" fmla="*/ 15240 h 1895399"/>
              <a:gd name="connsiteX18" fmla="*/ 484101 w 918441"/>
              <a:gd name="connsiteY18" fmla="*/ 7620 h 1895399"/>
              <a:gd name="connsiteX19" fmla="*/ 506961 w 918441"/>
              <a:gd name="connsiteY19" fmla="*/ 0 h 1895399"/>
              <a:gd name="connsiteX20" fmla="*/ 567921 w 918441"/>
              <a:gd name="connsiteY20" fmla="*/ 22860 h 1895399"/>
              <a:gd name="connsiteX21" fmla="*/ 583161 w 918441"/>
              <a:gd name="connsiteY21" fmla="*/ 45720 h 1895399"/>
              <a:gd name="connsiteX22" fmla="*/ 606021 w 918441"/>
              <a:gd name="connsiteY22" fmla="*/ 53340 h 1895399"/>
              <a:gd name="connsiteX23" fmla="*/ 628881 w 918441"/>
              <a:gd name="connsiteY23" fmla="*/ 68580 h 1895399"/>
              <a:gd name="connsiteX24" fmla="*/ 644121 w 918441"/>
              <a:gd name="connsiteY24" fmla="*/ 91440 h 1895399"/>
              <a:gd name="connsiteX25" fmla="*/ 666981 w 918441"/>
              <a:gd name="connsiteY25" fmla="*/ 106680 h 1895399"/>
              <a:gd name="connsiteX26" fmla="*/ 697461 w 918441"/>
              <a:gd name="connsiteY26" fmla="*/ 137160 h 1895399"/>
              <a:gd name="connsiteX27" fmla="*/ 758421 w 918441"/>
              <a:gd name="connsiteY27" fmla="*/ 190500 h 1895399"/>
              <a:gd name="connsiteX28" fmla="*/ 819381 w 918441"/>
              <a:gd name="connsiteY28" fmla="*/ 259080 h 1895399"/>
              <a:gd name="connsiteX29" fmla="*/ 781281 w 918441"/>
              <a:gd name="connsiteY29" fmla="*/ 342900 h 1895399"/>
              <a:gd name="connsiteX30" fmla="*/ 788901 w 918441"/>
              <a:gd name="connsiteY30" fmla="*/ 381000 h 1895399"/>
              <a:gd name="connsiteX31" fmla="*/ 796521 w 918441"/>
              <a:gd name="connsiteY31" fmla="*/ 403860 h 1895399"/>
              <a:gd name="connsiteX32" fmla="*/ 842241 w 918441"/>
              <a:gd name="connsiteY32" fmla="*/ 419100 h 1895399"/>
              <a:gd name="connsiteX33" fmla="*/ 880341 w 918441"/>
              <a:gd name="connsiteY33" fmla="*/ 464820 h 1895399"/>
              <a:gd name="connsiteX34" fmla="*/ 918441 w 918441"/>
              <a:gd name="connsiteY34" fmla="*/ 510540 h 1895399"/>
              <a:gd name="connsiteX35" fmla="*/ 651741 w 918441"/>
              <a:gd name="connsiteY35" fmla="*/ 1729740 h 1895399"/>
              <a:gd name="connsiteX36" fmla="*/ 362181 w 918441"/>
              <a:gd name="connsiteY36" fmla="*/ 1752600 h 1895399"/>
              <a:gd name="connsiteX0" fmla="*/ 673147 w 939847"/>
              <a:gd name="connsiteY0" fmla="*/ 1729740 h 1729740"/>
              <a:gd name="connsiteX1" fmla="*/ 48307 w 939847"/>
              <a:gd name="connsiteY1" fmla="*/ 510540 h 1729740"/>
              <a:gd name="connsiteX2" fmla="*/ 40687 w 939847"/>
              <a:gd name="connsiteY2" fmla="*/ 487680 h 1729740"/>
              <a:gd name="connsiteX3" fmla="*/ 63547 w 939847"/>
              <a:gd name="connsiteY3" fmla="*/ 373380 h 1729740"/>
              <a:gd name="connsiteX4" fmla="*/ 78787 w 939847"/>
              <a:gd name="connsiteY4" fmla="*/ 350520 h 1729740"/>
              <a:gd name="connsiteX5" fmla="*/ 101647 w 939847"/>
              <a:gd name="connsiteY5" fmla="*/ 335280 h 1729740"/>
              <a:gd name="connsiteX6" fmla="*/ 154987 w 939847"/>
              <a:gd name="connsiteY6" fmla="*/ 274320 h 1729740"/>
              <a:gd name="connsiteX7" fmla="*/ 170227 w 939847"/>
              <a:gd name="connsiteY7" fmla="*/ 251460 h 1729740"/>
              <a:gd name="connsiteX8" fmla="*/ 215947 w 939847"/>
              <a:gd name="connsiteY8" fmla="*/ 220980 h 1729740"/>
              <a:gd name="connsiteX9" fmla="*/ 231187 w 939847"/>
              <a:gd name="connsiteY9" fmla="*/ 198120 h 1729740"/>
              <a:gd name="connsiteX10" fmla="*/ 276907 w 939847"/>
              <a:gd name="connsiteY10" fmla="*/ 160020 h 1729740"/>
              <a:gd name="connsiteX11" fmla="*/ 292147 w 939847"/>
              <a:gd name="connsiteY11" fmla="*/ 137160 h 1729740"/>
              <a:gd name="connsiteX12" fmla="*/ 322627 w 939847"/>
              <a:gd name="connsiteY12" fmla="*/ 114300 h 1729740"/>
              <a:gd name="connsiteX13" fmla="*/ 345487 w 939847"/>
              <a:gd name="connsiteY13" fmla="*/ 91440 h 1729740"/>
              <a:gd name="connsiteX14" fmla="*/ 391207 w 939847"/>
              <a:gd name="connsiteY14" fmla="*/ 68580 h 1729740"/>
              <a:gd name="connsiteX15" fmla="*/ 406447 w 939847"/>
              <a:gd name="connsiteY15" fmla="*/ 45720 h 1729740"/>
              <a:gd name="connsiteX16" fmla="*/ 452167 w 939847"/>
              <a:gd name="connsiteY16" fmla="*/ 30480 h 1729740"/>
              <a:gd name="connsiteX17" fmla="*/ 475027 w 939847"/>
              <a:gd name="connsiteY17" fmla="*/ 15240 h 1729740"/>
              <a:gd name="connsiteX18" fmla="*/ 505507 w 939847"/>
              <a:gd name="connsiteY18" fmla="*/ 7620 h 1729740"/>
              <a:gd name="connsiteX19" fmla="*/ 528367 w 939847"/>
              <a:gd name="connsiteY19" fmla="*/ 0 h 1729740"/>
              <a:gd name="connsiteX20" fmla="*/ 589327 w 939847"/>
              <a:gd name="connsiteY20" fmla="*/ 22860 h 1729740"/>
              <a:gd name="connsiteX21" fmla="*/ 604567 w 939847"/>
              <a:gd name="connsiteY21" fmla="*/ 45720 h 1729740"/>
              <a:gd name="connsiteX22" fmla="*/ 627427 w 939847"/>
              <a:gd name="connsiteY22" fmla="*/ 53340 h 1729740"/>
              <a:gd name="connsiteX23" fmla="*/ 650287 w 939847"/>
              <a:gd name="connsiteY23" fmla="*/ 68580 h 1729740"/>
              <a:gd name="connsiteX24" fmla="*/ 665527 w 939847"/>
              <a:gd name="connsiteY24" fmla="*/ 91440 h 1729740"/>
              <a:gd name="connsiteX25" fmla="*/ 688387 w 939847"/>
              <a:gd name="connsiteY25" fmla="*/ 106680 h 1729740"/>
              <a:gd name="connsiteX26" fmla="*/ 718867 w 939847"/>
              <a:gd name="connsiteY26" fmla="*/ 137160 h 1729740"/>
              <a:gd name="connsiteX27" fmla="*/ 779827 w 939847"/>
              <a:gd name="connsiteY27" fmla="*/ 190500 h 1729740"/>
              <a:gd name="connsiteX28" fmla="*/ 840787 w 939847"/>
              <a:gd name="connsiteY28" fmla="*/ 259080 h 1729740"/>
              <a:gd name="connsiteX29" fmla="*/ 802687 w 939847"/>
              <a:gd name="connsiteY29" fmla="*/ 342900 h 1729740"/>
              <a:gd name="connsiteX30" fmla="*/ 810307 w 939847"/>
              <a:gd name="connsiteY30" fmla="*/ 381000 h 1729740"/>
              <a:gd name="connsiteX31" fmla="*/ 817927 w 939847"/>
              <a:gd name="connsiteY31" fmla="*/ 403860 h 1729740"/>
              <a:gd name="connsiteX32" fmla="*/ 863647 w 939847"/>
              <a:gd name="connsiteY32" fmla="*/ 419100 h 1729740"/>
              <a:gd name="connsiteX33" fmla="*/ 901747 w 939847"/>
              <a:gd name="connsiteY33" fmla="*/ 464820 h 1729740"/>
              <a:gd name="connsiteX34" fmla="*/ 939847 w 939847"/>
              <a:gd name="connsiteY34" fmla="*/ 510540 h 1729740"/>
              <a:gd name="connsiteX35" fmla="*/ 673147 w 939847"/>
              <a:gd name="connsiteY35" fmla="*/ 1729740 h 1729740"/>
              <a:gd name="connsiteX0" fmla="*/ 959588 w 959588"/>
              <a:gd name="connsiteY0" fmla="*/ 510540 h 514939"/>
              <a:gd name="connsiteX1" fmla="*/ 68048 w 959588"/>
              <a:gd name="connsiteY1" fmla="*/ 510540 h 514939"/>
              <a:gd name="connsiteX2" fmla="*/ 60428 w 959588"/>
              <a:gd name="connsiteY2" fmla="*/ 487680 h 514939"/>
              <a:gd name="connsiteX3" fmla="*/ 83288 w 959588"/>
              <a:gd name="connsiteY3" fmla="*/ 373380 h 514939"/>
              <a:gd name="connsiteX4" fmla="*/ 98528 w 959588"/>
              <a:gd name="connsiteY4" fmla="*/ 350520 h 514939"/>
              <a:gd name="connsiteX5" fmla="*/ 121388 w 959588"/>
              <a:gd name="connsiteY5" fmla="*/ 335280 h 514939"/>
              <a:gd name="connsiteX6" fmla="*/ 174728 w 959588"/>
              <a:gd name="connsiteY6" fmla="*/ 274320 h 514939"/>
              <a:gd name="connsiteX7" fmla="*/ 189968 w 959588"/>
              <a:gd name="connsiteY7" fmla="*/ 251460 h 514939"/>
              <a:gd name="connsiteX8" fmla="*/ 235688 w 959588"/>
              <a:gd name="connsiteY8" fmla="*/ 220980 h 514939"/>
              <a:gd name="connsiteX9" fmla="*/ 250928 w 959588"/>
              <a:gd name="connsiteY9" fmla="*/ 198120 h 514939"/>
              <a:gd name="connsiteX10" fmla="*/ 296648 w 959588"/>
              <a:gd name="connsiteY10" fmla="*/ 160020 h 514939"/>
              <a:gd name="connsiteX11" fmla="*/ 311888 w 959588"/>
              <a:gd name="connsiteY11" fmla="*/ 137160 h 514939"/>
              <a:gd name="connsiteX12" fmla="*/ 342368 w 959588"/>
              <a:gd name="connsiteY12" fmla="*/ 114300 h 514939"/>
              <a:gd name="connsiteX13" fmla="*/ 365228 w 959588"/>
              <a:gd name="connsiteY13" fmla="*/ 91440 h 514939"/>
              <a:gd name="connsiteX14" fmla="*/ 410948 w 959588"/>
              <a:gd name="connsiteY14" fmla="*/ 68580 h 514939"/>
              <a:gd name="connsiteX15" fmla="*/ 426188 w 959588"/>
              <a:gd name="connsiteY15" fmla="*/ 45720 h 514939"/>
              <a:gd name="connsiteX16" fmla="*/ 471908 w 959588"/>
              <a:gd name="connsiteY16" fmla="*/ 30480 h 514939"/>
              <a:gd name="connsiteX17" fmla="*/ 494768 w 959588"/>
              <a:gd name="connsiteY17" fmla="*/ 15240 h 514939"/>
              <a:gd name="connsiteX18" fmla="*/ 525248 w 959588"/>
              <a:gd name="connsiteY18" fmla="*/ 7620 h 514939"/>
              <a:gd name="connsiteX19" fmla="*/ 548108 w 959588"/>
              <a:gd name="connsiteY19" fmla="*/ 0 h 514939"/>
              <a:gd name="connsiteX20" fmla="*/ 609068 w 959588"/>
              <a:gd name="connsiteY20" fmla="*/ 22860 h 514939"/>
              <a:gd name="connsiteX21" fmla="*/ 624308 w 959588"/>
              <a:gd name="connsiteY21" fmla="*/ 45720 h 514939"/>
              <a:gd name="connsiteX22" fmla="*/ 647168 w 959588"/>
              <a:gd name="connsiteY22" fmla="*/ 53340 h 514939"/>
              <a:gd name="connsiteX23" fmla="*/ 670028 w 959588"/>
              <a:gd name="connsiteY23" fmla="*/ 68580 h 514939"/>
              <a:gd name="connsiteX24" fmla="*/ 685268 w 959588"/>
              <a:gd name="connsiteY24" fmla="*/ 91440 h 514939"/>
              <a:gd name="connsiteX25" fmla="*/ 708128 w 959588"/>
              <a:gd name="connsiteY25" fmla="*/ 106680 h 514939"/>
              <a:gd name="connsiteX26" fmla="*/ 738608 w 959588"/>
              <a:gd name="connsiteY26" fmla="*/ 137160 h 514939"/>
              <a:gd name="connsiteX27" fmla="*/ 799568 w 959588"/>
              <a:gd name="connsiteY27" fmla="*/ 190500 h 514939"/>
              <a:gd name="connsiteX28" fmla="*/ 860528 w 959588"/>
              <a:gd name="connsiteY28" fmla="*/ 259080 h 514939"/>
              <a:gd name="connsiteX29" fmla="*/ 822428 w 959588"/>
              <a:gd name="connsiteY29" fmla="*/ 342900 h 514939"/>
              <a:gd name="connsiteX30" fmla="*/ 830048 w 959588"/>
              <a:gd name="connsiteY30" fmla="*/ 381000 h 514939"/>
              <a:gd name="connsiteX31" fmla="*/ 837668 w 959588"/>
              <a:gd name="connsiteY31" fmla="*/ 403860 h 514939"/>
              <a:gd name="connsiteX32" fmla="*/ 883388 w 959588"/>
              <a:gd name="connsiteY32" fmla="*/ 419100 h 514939"/>
              <a:gd name="connsiteX33" fmla="*/ 921488 w 959588"/>
              <a:gd name="connsiteY33" fmla="*/ 464820 h 514939"/>
              <a:gd name="connsiteX34" fmla="*/ 959588 w 959588"/>
              <a:gd name="connsiteY34" fmla="*/ 510540 h 514939"/>
              <a:gd name="connsiteX0" fmla="*/ 899160 w 899160"/>
              <a:gd name="connsiteY0" fmla="*/ 510540 h 511827"/>
              <a:gd name="connsiteX1" fmla="*/ 0 w 899160"/>
              <a:gd name="connsiteY1" fmla="*/ 487680 h 511827"/>
              <a:gd name="connsiteX2" fmla="*/ 22860 w 899160"/>
              <a:gd name="connsiteY2" fmla="*/ 373380 h 511827"/>
              <a:gd name="connsiteX3" fmla="*/ 38100 w 899160"/>
              <a:gd name="connsiteY3" fmla="*/ 350520 h 511827"/>
              <a:gd name="connsiteX4" fmla="*/ 60960 w 899160"/>
              <a:gd name="connsiteY4" fmla="*/ 335280 h 511827"/>
              <a:gd name="connsiteX5" fmla="*/ 114300 w 899160"/>
              <a:gd name="connsiteY5" fmla="*/ 274320 h 511827"/>
              <a:gd name="connsiteX6" fmla="*/ 129540 w 899160"/>
              <a:gd name="connsiteY6" fmla="*/ 251460 h 511827"/>
              <a:gd name="connsiteX7" fmla="*/ 175260 w 899160"/>
              <a:gd name="connsiteY7" fmla="*/ 220980 h 511827"/>
              <a:gd name="connsiteX8" fmla="*/ 190500 w 899160"/>
              <a:gd name="connsiteY8" fmla="*/ 198120 h 511827"/>
              <a:gd name="connsiteX9" fmla="*/ 236220 w 899160"/>
              <a:gd name="connsiteY9" fmla="*/ 160020 h 511827"/>
              <a:gd name="connsiteX10" fmla="*/ 251460 w 899160"/>
              <a:gd name="connsiteY10" fmla="*/ 137160 h 511827"/>
              <a:gd name="connsiteX11" fmla="*/ 281940 w 899160"/>
              <a:gd name="connsiteY11" fmla="*/ 114300 h 511827"/>
              <a:gd name="connsiteX12" fmla="*/ 304800 w 899160"/>
              <a:gd name="connsiteY12" fmla="*/ 91440 h 511827"/>
              <a:gd name="connsiteX13" fmla="*/ 350520 w 899160"/>
              <a:gd name="connsiteY13" fmla="*/ 68580 h 511827"/>
              <a:gd name="connsiteX14" fmla="*/ 365760 w 899160"/>
              <a:gd name="connsiteY14" fmla="*/ 45720 h 511827"/>
              <a:gd name="connsiteX15" fmla="*/ 411480 w 899160"/>
              <a:gd name="connsiteY15" fmla="*/ 30480 h 511827"/>
              <a:gd name="connsiteX16" fmla="*/ 434340 w 899160"/>
              <a:gd name="connsiteY16" fmla="*/ 15240 h 511827"/>
              <a:gd name="connsiteX17" fmla="*/ 464820 w 899160"/>
              <a:gd name="connsiteY17" fmla="*/ 7620 h 511827"/>
              <a:gd name="connsiteX18" fmla="*/ 487680 w 899160"/>
              <a:gd name="connsiteY18" fmla="*/ 0 h 511827"/>
              <a:gd name="connsiteX19" fmla="*/ 548640 w 899160"/>
              <a:gd name="connsiteY19" fmla="*/ 22860 h 511827"/>
              <a:gd name="connsiteX20" fmla="*/ 563880 w 899160"/>
              <a:gd name="connsiteY20" fmla="*/ 45720 h 511827"/>
              <a:gd name="connsiteX21" fmla="*/ 586740 w 899160"/>
              <a:gd name="connsiteY21" fmla="*/ 53340 h 511827"/>
              <a:gd name="connsiteX22" fmla="*/ 609600 w 899160"/>
              <a:gd name="connsiteY22" fmla="*/ 68580 h 511827"/>
              <a:gd name="connsiteX23" fmla="*/ 624840 w 899160"/>
              <a:gd name="connsiteY23" fmla="*/ 91440 h 511827"/>
              <a:gd name="connsiteX24" fmla="*/ 647700 w 899160"/>
              <a:gd name="connsiteY24" fmla="*/ 106680 h 511827"/>
              <a:gd name="connsiteX25" fmla="*/ 678180 w 899160"/>
              <a:gd name="connsiteY25" fmla="*/ 137160 h 511827"/>
              <a:gd name="connsiteX26" fmla="*/ 739140 w 899160"/>
              <a:gd name="connsiteY26" fmla="*/ 190500 h 511827"/>
              <a:gd name="connsiteX27" fmla="*/ 800100 w 899160"/>
              <a:gd name="connsiteY27" fmla="*/ 259080 h 511827"/>
              <a:gd name="connsiteX28" fmla="*/ 762000 w 899160"/>
              <a:gd name="connsiteY28" fmla="*/ 342900 h 511827"/>
              <a:gd name="connsiteX29" fmla="*/ 769620 w 899160"/>
              <a:gd name="connsiteY29" fmla="*/ 381000 h 511827"/>
              <a:gd name="connsiteX30" fmla="*/ 777240 w 899160"/>
              <a:gd name="connsiteY30" fmla="*/ 403860 h 511827"/>
              <a:gd name="connsiteX31" fmla="*/ 822960 w 899160"/>
              <a:gd name="connsiteY31" fmla="*/ 419100 h 511827"/>
              <a:gd name="connsiteX32" fmla="*/ 861060 w 899160"/>
              <a:gd name="connsiteY32" fmla="*/ 464820 h 511827"/>
              <a:gd name="connsiteX33" fmla="*/ 899160 w 899160"/>
              <a:gd name="connsiteY33" fmla="*/ 510540 h 511827"/>
              <a:gd name="connsiteX0" fmla="*/ 861060 w 927127"/>
              <a:gd name="connsiteY0" fmla="*/ 464820 h 492266"/>
              <a:gd name="connsiteX1" fmla="*/ 0 w 927127"/>
              <a:gd name="connsiteY1" fmla="*/ 487680 h 492266"/>
              <a:gd name="connsiteX2" fmla="*/ 22860 w 927127"/>
              <a:gd name="connsiteY2" fmla="*/ 373380 h 492266"/>
              <a:gd name="connsiteX3" fmla="*/ 38100 w 927127"/>
              <a:gd name="connsiteY3" fmla="*/ 350520 h 492266"/>
              <a:gd name="connsiteX4" fmla="*/ 60960 w 927127"/>
              <a:gd name="connsiteY4" fmla="*/ 335280 h 492266"/>
              <a:gd name="connsiteX5" fmla="*/ 114300 w 927127"/>
              <a:gd name="connsiteY5" fmla="*/ 274320 h 492266"/>
              <a:gd name="connsiteX6" fmla="*/ 129540 w 927127"/>
              <a:gd name="connsiteY6" fmla="*/ 251460 h 492266"/>
              <a:gd name="connsiteX7" fmla="*/ 175260 w 927127"/>
              <a:gd name="connsiteY7" fmla="*/ 220980 h 492266"/>
              <a:gd name="connsiteX8" fmla="*/ 190500 w 927127"/>
              <a:gd name="connsiteY8" fmla="*/ 198120 h 492266"/>
              <a:gd name="connsiteX9" fmla="*/ 236220 w 927127"/>
              <a:gd name="connsiteY9" fmla="*/ 160020 h 492266"/>
              <a:gd name="connsiteX10" fmla="*/ 251460 w 927127"/>
              <a:gd name="connsiteY10" fmla="*/ 137160 h 492266"/>
              <a:gd name="connsiteX11" fmla="*/ 281940 w 927127"/>
              <a:gd name="connsiteY11" fmla="*/ 114300 h 492266"/>
              <a:gd name="connsiteX12" fmla="*/ 304800 w 927127"/>
              <a:gd name="connsiteY12" fmla="*/ 91440 h 492266"/>
              <a:gd name="connsiteX13" fmla="*/ 350520 w 927127"/>
              <a:gd name="connsiteY13" fmla="*/ 68580 h 492266"/>
              <a:gd name="connsiteX14" fmla="*/ 365760 w 927127"/>
              <a:gd name="connsiteY14" fmla="*/ 45720 h 492266"/>
              <a:gd name="connsiteX15" fmla="*/ 411480 w 927127"/>
              <a:gd name="connsiteY15" fmla="*/ 30480 h 492266"/>
              <a:gd name="connsiteX16" fmla="*/ 434340 w 927127"/>
              <a:gd name="connsiteY16" fmla="*/ 15240 h 492266"/>
              <a:gd name="connsiteX17" fmla="*/ 464820 w 927127"/>
              <a:gd name="connsiteY17" fmla="*/ 7620 h 492266"/>
              <a:gd name="connsiteX18" fmla="*/ 487680 w 927127"/>
              <a:gd name="connsiteY18" fmla="*/ 0 h 492266"/>
              <a:gd name="connsiteX19" fmla="*/ 548640 w 927127"/>
              <a:gd name="connsiteY19" fmla="*/ 22860 h 492266"/>
              <a:gd name="connsiteX20" fmla="*/ 563880 w 927127"/>
              <a:gd name="connsiteY20" fmla="*/ 45720 h 492266"/>
              <a:gd name="connsiteX21" fmla="*/ 586740 w 927127"/>
              <a:gd name="connsiteY21" fmla="*/ 53340 h 492266"/>
              <a:gd name="connsiteX22" fmla="*/ 609600 w 927127"/>
              <a:gd name="connsiteY22" fmla="*/ 68580 h 492266"/>
              <a:gd name="connsiteX23" fmla="*/ 624840 w 927127"/>
              <a:gd name="connsiteY23" fmla="*/ 91440 h 492266"/>
              <a:gd name="connsiteX24" fmla="*/ 647700 w 927127"/>
              <a:gd name="connsiteY24" fmla="*/ 106680 h 492266"/>
              <a:gd name="connsiteX25" fmla="*/ 678180 w 927127"/>
              <a:gd name="connsiteY25" fmla="*/ 137160 h 492266"/>
              <a:gd name="connsiteX26" fmla="*/ 739140 w 927127"/>
              <a:gd name="connsiteY26" fmla="*/ 190500 h 492266"/>
              <a:gd name="connsiteX27" fmla="*/ 800100 w 927127"/>
              <a:gd name="connsiteY27" fmla="*/ 259080 h 492266"/>
              <a:gd name="connsiteX28" fmla="*/ 762000 w 927127"/>
              <a:gd name="connsiteY28" fmla="*/ 342900 h 492266"/>
              <a:gd name="connsiteX29" fmla="*/ 769620 w 927127"/>
              <a:gd name="connsiteY29" fmla="*/ 381000 h 492266"/>
              <a:gd name="connsiteX30" fmla="*/ 777240 w 927127"/>
              <a:gd name="connsiteY30" fmla="*/ 403860 h 492266"/>
              <a:gd name="connsiteX31" fmla="*/ 822960 w 927127"/>
              <a:gd name="connsiteY31" fmla="*/ 419100 h 492266"/>
              <a:gd name="connsiteX32" fmla="*/ 861060 w 927127"/>
              <a:gd name="connsiteY32" fmla="*/ 464820 h 492266"/>
              <a:gd name="connsiteX0" fmla="*/ 869527 w 922968"/>
              <a:gd name="connsiteY0" fmla="*/ 485951 h 496997"/>
              <a:gd name="connsiteX1" fmla="*/ 0 w 922968"/>
              <a:gd name="connsiteY1" fmla="*/ 487680 h 496997"/>
              <a:gd name="connsiteX2" fmla="*/ 22860 w 922968"/>
              <a:gd name="connsiteY2" fmla="*/ 373380 h 496997"/>
              <a:gd name="connsiteX3" fmla="*/ 38100 w 922968"/>
              <a:gd name="connsiteY3" fmla="*/ 350520 h 496997"/>
              <a:gd name="connsiteX4" fmla="*/ 60960 w 922968"/>
              <a:gd name="connsiteY4" fmla="*/ 335280 h 496997"/>
              <a:gd name="connsiteX5" fmla="*/ 114300 w 922968"/>
              <a:gd name="connsiteY5" fmla="*/ 274320 h 496997"/>
              <a:gd name="connsiteX6" fmla="*/ 129540 w 922968"/>
              <a:gd name="connsiteY6" fmla="*/ 251460 h 496997"/>
              <a:gd name="connsiteX7" fmla="*/ 175260 w 922968"/>
              <a:gd name="connsiteY7" fmla="*/ 220980 h 496997"/>
              <a:gd name="connsiteX8" fmla="*/ 190500 w 922968"/>
              <a:gd name="connsiteY8" fmla="*/ 198120 h 496997"/>
              <a:gd name="connsiteX9" fmla="*/ 236220 w 922968"/>
              <a:gd name="connsiteY9" fmla="*/ 160020 h 496997"/>
              <a:gd name="connsiteX10" fmla="*/ 251460 w 922968"/>
              <a:gd name="connsiteY10" fmla="*/ 137160 h 496997"/>
              <a:gd name="connsiteX11" fmla="*/ 281940 w 922968"/>
              <a:gd name="connsiteY11" fmla="*/ 114300 h 496997"/>
              <a:gd name="connsiteX12" fmla="*/ 304800 w 922968"/>
              <a:gd name="connsiteY12" fmla="*/ 91440 h 496997"/>
              <a:gd name="connsiteX13" fmla="*/ 350520 w 922968"/>
              <a:gd name="connsiteY13" fmla="*/ 68580 h 496997"/>
              <a:gd name="connsiteX14" fmla="*/ 365760 w 922968"/>
              <a:gd name="connsiteY14" fmla="*/ 45720 h 496997"/>
              <a:gd name="connsiteX15" fmla="*/ 411480 w 922968"/>
              <a:gd name="connsiteY15" fmla="*/ 30480 h 496997"/>
              <a:gd name="connsiteX16" fmla="*/ 434340 w 922968"/>
              <a:gd name="connsiteY16" fmla="*/ 15240 h 496997"/>
              <a:gd name="connsiteX17" fmla="*/ 464820 w 922968"/>
              <a:gd name="connsiteY17" fmla="*/ 7620 h 496997"/>
              <a:gd name="connsiteX18" fmla="*/ 487680 w 922968"/>
              <a:gd name="connsiteY18" fmla="*/ 0 h 496997"/>
              <a:gd name="connsiteX19" fmla="*/ 548640 w 922968"/>
              <a:gd name="connsiteY19" fmla="*/ 22860 h 496997"/>
              <a:gd name="connsiteX20" fmla="*/ 563880 w 922968"/>
              <a:gd name="connsiteY20" fmla="*/ 45720 h 496997"/>
              <a:gd name="connsiteX21" fmla="*/ 586740 w 922968"/>
              <a:gd name="connsiteY21" fmla="*/ 53340 h 496997"/>
              <a:gd name="connsiteX22" fmla="*/ 609600 w 922968"/>
              <a:gd name="connsiteY22" fmla="*/ 68580 h 496997"/>
              <a:gd name="connsiteX23" fmla="*/ 624840 w 922968"/>
              <a:gd name="connsiteY23" fmla="*/ 91440 h 496997"/>
              <a:gd name="connsiteX24" fmla="*/ 647700 w 922968"/>
              <a:gd name="connsiteY24" fmla="*/ 106680 h 496997"/>
              <a:gd name="connsiteX25" fmla="*/ 678180 w 922968"/>
              <a:gd name="connsiteY25" fmla="*/ 137160 h 496997"/>
              <a:gd name="connsiteX26" fmla="*/ 739140 w 922968"/>
              <a:gd name="connsiteY26" fmla="*/ 190500 h 496997"/>
              <a:gd name="connsiteX27" fmla="*/ 800100 w 922968"/>
              <a:gd name="connsiteY27" fmla="*/ 259080 h 496997"/>
              <a:gd name="connsiteX28" fmla="*/ 762000 w 922968"/>
              <a:gd name="connsiteY28" fmla="*/ 342900 h 496997"/>
              <a:gd name="connsiteX29" fmla="*/ 769620 w 922968"/>
              <a:gd name="connsiteY29" fmla="*/ 381000 h 496997"/>
              <a:gd name="connsiteX30" fmla="*/ 777240 w 922968"/>
              <a:gd name="connsiteY30" fmla="*/ 403860 h 496997"/>
              <a:gd name="connsiteX31" fmla="*/ 822960 w 922968"/>
              <a:gd name="connsiteY31" fmla="*/ 419100 h 496997"/>
              <a:gd name="connsiteX32" fmla="*/ 869527 w 922968"/>
              <a:gd name="connsiteY32" fmla="*/ 485951 h 496997"/>
              <a:gd name="connsiteX0" fmla="*/ 869527 w 869527"/>
              <a:gd name="connsiteY0" fmla="*/ 485951 h 496997"/>
              <a:gd name="connsiteX1" fmla="*/ 0 w 869527"/>
              <a:gd name="connsiteY1" fmla="*/ 487680 h 496997"/>
              <a:gd name="connsiteX2" fmla="*/ 22860 w 869527"/>
              <a:gd name="connsiteY2" fmla="*/ 373380 h 496997"/>
              <a:gd name="connsiteX3" fmla="*/ 38100 w 869527"/>
              <a:gd name="connsiteY3" fmla="*/ 350520 h 496997"/>
              <a:gd name="connsiteX4" fmla="*/ 60960 w 869527"/>
              <a:gd name="connsiteY4" fmla="*/ 335280 h 496997"/>
              <a:gd name="connsiteX5" fmla="*/ 114300 w 869527"/>
              <a:gd name="connsiteY5" fmla="*/ 274320 h 496997"/>
              <a:gd name="connsiteX6" fmla="*/ 129540 w 869527"/>
              <a:gd name="connsiteY6" fmla="*/ 251460 h 496997"/>
              <a:gd name="connsiteX7" fmla="*/ 175260 w 869527"/>
              <a:gd name="connsiteY7" fmla="*/ 220980 h 496997"/>
              <a:gd name="connsiteX8" fmla="*/ 190500 w 869527"/>
              <a:gd name="connsiteY8" fmla="*/ 198120 h 496997"/>
              <a:gd name="connsiteX9" fmla="*/ 236220 w 869527"/>
              <a:gd name="connsiteY9" fmla="*/ 160020 h 496997"/>
              <a:gd name="connsiteX10" fmla="*/ 251460 w 869527"/>
              <a:gd name="connsiteY10" fmla="*/ 137160 h 496997"/>
              <a:gd name="connsiteX11" fmla="*/ 281940 w 869527"/>
              <a:gd name="connsiteY11" fmla="*/ 114300 h 496997"/>
              <a:gd name="connsiteX12" fmla="*/ 304800 w 869527"/>
              <a:gd name="connsiteY12" fmla="*/ 91440 h 496997"/>
              <a:gd name="connsiteX13" fmla="*/ 350520 w 869527"/>
              <a:gd name="connsiteY13" fmla="*/ 68580 h 496997"/>
              <a:gd name="connsiteX14" fmla="*/ 365760 w 869527"/>
              <a:gd name="connsiteY14" fmla="*/ 45720 h 496997"/>
              <a:gd name="connsiteX15" fmla="*/ 411480 w 869527"/>
              <a:gd name="connsiteY15" fmla="*/ 30480 h 496997"/>
              <a:gd name="connsiteX16" fmla="*/ 434340 w 869527"/>
              <a:gd name="connsiteY16" fmla="*/ 15240 h 496997"/>
              <a:gd name="connsiteX17" fmla="*/ 464820 w 869527"/>
              <a:gd name="connsiteY17" fmla="*/ 7620 h 496997"/>
              <a:gd name="connsiteX18" fmla="*/ 487680 w 869527"/>
              <a:gd name="connsiteY18" fmla="*/ 0 h 496997"/>
              <a:gd name="connsiteX19" fmla="*/ 548640 w 869527"/>
              <a:gd name="connsiteY19" fmla="*/ 22860 h 496997"/>
              <a:gd name="connsiteX20" fmla="*/ 563880 w 869527"/>
              <a:gd name="connsiteY20" fmla="*/ 45720 h 496997"/>
              <a:gd name="connsiteX21" fmla="*/ 586740 w 869527"/>
              <a:gd name="connsiteY21" fmla="*/ 53340 h 496997"/>
              <a:gd name="connsiteX22" fmla="*/ 609600 w 869527"/>
              <a:gd name="connsiteY22" fmla="*/ 68580 h 496997"/>
              <a:gd name="connsiteX23" fmla="*/ 624840 w 869527"/>
              <a:gd name="connsiteY23" fmla="*/ 91440 h 496997"/>
              <a:gd name="connsiteX24" fmla="*/ 647700 w 869527"/>
              <a:gd name="connsiteY24" fmla="*/ 106680 h 496997"/>
              <a:gd name="connsiteX25" fmla="*/ 678180 w 869527"/>
              <a:gd name="connsiteY25" fmla="*/ 137160 h 496997"/>
              <a:gd name="connsiteX26" fmla="*/ 739140 w 869527"/>
              <a:gd name="connsiteY26" fmla="*/ 190500 h 496997"/>
              <a:gd name="connsiteX27" fmla="*/ 800100 w 869527"/>
              <a:gd name="connsiteY27" fmla="*/ 259080 h 496997"/>
              <a:gd name="connsiteX28" fmla="*/ 762000 w 869527"/>
              <a:gd name="connsiteY28" fmla="*/ 342900 h 496997"/>
              <a:gd name="connsiteX29" fmla="*/ 769620 w 869527"/>
              <a:gd name="connsiteY29" fmla="*/ 381000 h 496997"/>
              <a:gd name="connsiteX30" fmla="*/ 777240 w 869527"/>
              <a:gd name="connsiteY30" fmla="*/ 403860 h 496997"/>
              <a:gd name="connsiteX31" fmla="*/ 822960 w 869527"/>
              <a:gd name="connsiteY31" fmla="*/ 419100 h 496997"/>
              <a:gd name="connsiteX32" fmla="*/ 869527 w 869527"/>
              <a:gd name="connsiteY32" fmla="*/ 485951 h 496997"/>
              <a:gd name="connsiteX0" fmla="*/ 869527 w 869527"/>
              <a:gd name="connsiteY0" fmla="*/ 485951 h 487680"/>
              <a:gd name="connsiteX1" fmla="*/ 0 w 869527"/>
              <a:gd name="connsiteY1" fmla="*/ 487680 h 487680"/>
              <a:gd name="connsiteX2" fmla="*/ 22860 w 869527"/>
              <a:gd name="connsiteY2" fmla="*/ 373380 h 487680"/>
              <a:gd name="connsiteX3" fmla="*/ 38100 w 869527"/>
              <a:gd name="connsiteY3" fmla="*/ 350520 h 487680"/>
              <a:gd name="connsiteX4" fmla="*/ 60960 w 869527"/>
              <a:gd name="connsiteY4" fmla="*/ 335280 h 487680"/>
              <a:gd name="connsiteX5" fmla="*/ 114300 w 869527"/>
              <a:gd name="connsiteY5" fmla="*/ 274320 h 487680"/>
              <a:gd name="connsiteX6" fmla="*/ 129540 w 869527"/>
              <a:gd name="connsiteY6" fmla="*/ 251460 h 487680"/>
              <a:gd name="connsiteX7" fmla="*/ 175260 w 869527"/>
              <a:gd name="connsiteY7" fmla="*/ 220980 h 487680"/>
              <a:gd name="connsiteX8" fmla="*/ 190500 w 869527"/>
              <a:gd name="connsiteY8" fmla="*/ 198120 h 487680"/>
              <a:gd name="connsiteX9" fmla="*/ 236220 w 869527"/>
              <a:gd name="connsiteY9" fmla="*/ 160020 h 487680"/>
              <a:gd name="connsiteX10" fmla="*/ 251460 w 869527"/>
              <a:gd name="connsiteY10" fmla="*/ 137160 h 487680"/>
              <a:gd name="connsiteX11" fmla="*/ 281940 w 869527"/>
              <a:gd name="connsiteY11" fmla="*/ 114300 h 487680"/>
              <a:gd name="connsiteX12" fmla="*/ 304800 w 869527"/>
              <a:gd name="connsiteY12" fmla="*/ 91440 h 487680"/>
              <a:gd name="connsiteX13" fmla="*/ 350520 w 869527"/>
              <a:gd name="connsiteY13" fmla="*/ 68580 h 487680"/>
              <a:gd name="connsiteX14" fmla="*/ 365760 w 869527"/>
              <a:gd name="connsiteY14" fmla="*/ 45720 h 487680"/>
              <a:gd name="connsiteX15" fmla="*/ 411480 w 869527"/>
              <a:gd name="connsiteY15" fmla="*/ 30480 h 487680"/>
              <a:gd name="connsiteX16" fmla="*/ 434340 w 869527"/>
              <a:gd name="connsiteY16" fmla="*/ 15240 h 487680"/>
              <a:gd name="connsiteX17" fmla="*/ 464820 w 869527"/>
              <a:gd name="connsiteY17" fmla="*/ 7620 h 487680"/>
              <a:gd name="connsiteX18" fmla="*/ 487680 w 869527"/>
              <a:gd name="connsiteY18" fmla="*/ 0 h 487680"/>
              <a:gd name="connsiteX19" fmla="*/ 548640 w 869527"/>
              <a:gd name="connsiteY19" fmla="*/ 22860 h 487680"/>
              <a:gd name="connsiteX20" fmla="*/ 563880 w 869527"/>
              <a:gd name="connsiteY20" fmla="*/ 45720 h 487680"/>
              <a:gd name="connsiteX21" fmla="*/ 586740 w 869527"/>
              <a:gd name="connsiteY21" fmla="*/ 53340 h 487680"/>
              <a:gd name="connsiteX22" fmla="*/ 609600 w 869527"/>
              <a:gd name="connsiteY22" fmla="*/ 68580 h 487680"/>
              <a:gd name="connsiteX23" fmla="*/ 624840 w 869527"/>
              <a:gd name="connsiteY23" fmla="*/ 91440 h 487680"/>
              <a:gd name="connsiteX24" fmla="*/ 647700 w 869527"/>
              <a:gd name="connsiteY24" fmla="*/ 106680 h 487680"/>
              <a:gd name="connsiteX25" fmla="*/ 678180 w 869527"/>
              <a:gd name="connsiteY25" fmla="*/ 137160 h 487680"/>
              <a:gd name="connsiteX26" fmla="*/ 739140 w 869527"/>
              <a:gd name="connsiteY26" fmla="*/ 190500 h 487680"/>
              <a:gd name="connsiteX27" fmla="*/ 800100 w 869527"/>
              <a:gd name="connsiteY27" fmla="*/ 259080 h 487680"/>
              <a:gd name="connsiteX28" fmla="*/ 762000 w 869527"/>
              <a:gd name="connsiteY28" fmla="*/ 342900 h 487680"/>
              <a:gd name="connsiteX29" fmla="*/ 769620 w 869527"/>
              <a:gd name="connsiteY29" fmla="*/ 381000 h 487680"/>
              <a:gd name="connsiteX30" fmla="*/ 777240 w 869527"/>
              <a:gd name="connsiteY30" fmla="*/ 403860 h 487680"/>
              <a:gd name="connsiteX31" fmla="*/ 822960 w 869527"/>
              <a:gd name="connsiteY31" fmla="*/ 419100 h 487680"/>
              <a:gd name="connsiteX32" fmla="*/ 869527 w 869527"/>
              <a:gd name="connsiteY32" fmla="*/ 485951 h 4876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Lst>
            <a:rect l="l" t="t" r="r" b="b"/>
            <a:pathLst>
              <a:path w="869527" h="487680">
                <a:moveTo>
                  <a:pt x="869527" y="485951"/>
                </a:moveTo>
                <a:lnTo>
                  <a:pt x="0" y="487680"/>
                </a:ln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07579" y="405418"/>
                  <a:pt x="822960" y="419100"/>
                </a:cubicBezTo>
                <a:lnTo>
                  <a:pt x="869527" y="485951"/>
                </a:lnTo>
                <a:close/>
              </a:path>
            </a:pathLst>
          </a:custGeom>
          <a:solidFill>
            <a:srgbClr val="FF9999">
              <a:alpha val="10196"/>
            </a:srgbClr>
          </a:solidFill>
          <a:ln>
            <a:solidFill>
              <a:srgbClr val="FF9999">
                <a:alpha val="50196"/>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4" name="iceberg: far right - tip">
            <a:extLst>
              <a:ext uri="{FF2B5EF4-FFF2-40B4-BE49-F238E27FC236}">
                <a16:creationId xmlns:a16="http://schemas.microsoft.com/office/drawing/2014/main" id="{00000000-0008-0000-0200-0000EE060000}"/>
              </a:ext>
            </a:extLst>
          </xdr:cNvPr>
          <xdr:cNvSpPr/>
        </xdr:nvSpPr>
        <xdr:spPr>
          <a:xfrm flipH="1">
            <a:off x="11320779" y="19964193"/>
            <a:ext cx="869527" cy="560381"/>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0580 w 899160"/>
              <a:gd name="connsiteY38" fmla="*/ 822960 h 1790700"/>
              <a:gd name="connsiteX39" fmla="*/ 807720 w 899160"/>
              <a:gd name="connsiteY39" fmla="*/ 876300 h 1790700"/>
              <a:gd name="connsiteX40" fmla="*/ 815340 w 899160"/>
              <a:gd name="connsiteY40" fmla="*/ 922020 h 1790700"/>
              <a:gd name="connsiteX41" fmla="*/ 830580 w 899160"/>
              <a:gd name="connsiteY41" fmla="*/ 967740 h 1790700"/>
              <a:gd name="connsiteX42" fmla="*/ 838200 w 899160"/>
              <a:gd name="connsiteY42" fmla="*/ 990600 h 1790700"/>
              <a:gd name="connsiteX43" fmla="*/ 853440 w 899160"/>
              <a:gd name="connsiteY43" fmla="*/ 1059180 h 1790700"/>
              <a:gd name="connsiteX44" fmla="*/ 838200 w 899160"/>
              <a:gd name="connsiteY44" fmla="*/ 1150620 h 1790700"/>
              <a:gd name="connsiteX45" fmla="*/ 822960 w 899160"/>
              <a:gd name="connsiteY45" fmla="*/ 1173480 h 1790700"/>
              <a:gd name="connsiteX46" fmla="*/ 807720 w 899160"/>
              <a:gd name="connsiteY46" fmla="*/ 1219200 h 1790700"/>
              <a:gd name="connsiteX47" fmla="*/ 777240 w 899160"/>
              <a:gd name="connsiteY47" fmla="*/ 1264920 h 1790700"/>
              <a:gd name="connsiteX48" fmla="*/ 769620 w 899160"/>
              <a:gd name="connsiteY48" fmla="*/ 1386840 h 1790700"/>
              <a:gd name="connsiteX49" fmla="*/ 754380 w 899160"/>
              <a:gd name="connsiteY49" fmla="*/ 1409700 h 1790700"/>
              <a:gd name="connsiteX50" fmla="*/ 746760 w 899160"/>
              <a:gd name="connsiteY50" fmla="*/ 1432560 h 1790700"/>
              <a:gd name="connsiteX51" fmla="*/ 716280 w 899160"/>
              <a:gd name="connsiteY51" fmla="*/ 1478280 h 1790700"/>
              <a:gd name="connsiteX52" fmla="*/ 685800 w 899160"/>
              <a:gd name="connsiteY52" fmla="*/ 1569720 h 1790700"/>
              <a:gd name="connsiteX53" fmla="*/ 678180 w 899160"/>
              <a:gd name="connsiteY53" fmla="*/ 1592580 h 1790700"/>
              <a:gd name="connsiteX54" fmla="*/ 670560 w 899160"/>
              <a:gd name="connsiteY54" fmla="*/ 1615440 h 1790700"/>
              <a:gd name="connsiteX55" fmla="*/ 655320 w 899160"/>
              <a:gd name="connsiteY55" fmla="*/ 1676400 h 1790700"/>
              <a:gd name="connsiteX56" fmla="*/ 632460 w 899160"/>
              <a:gd name="connsiteY56" fmla="*/ 1729740 h 1790700"/>
              <a:gd name="connsiteX57" fmla="*/ 609600 w 899160"/>
              <a:gd name="connsiteY57" fmla="*/ 1760220 h 1790700"/>
              <a:gd name="connsiteX58" fmla="*/ 563880 w 899160"/>
              <a:gd name="connsiteY58" fmla="*/ 1775460 h 1790700"/>
              <a:gd name="connsiteX59" fmla="*/ 495300 w 899160"/>
              <a:gd name="connsiteY59" fmla="*/ 1790700 h 1790700"/>
              <a:gd name="connsiteX60" fmla="*/ 388620 w 899160"/>
              <a:gd name="connsiteY60" fmla="*/ 1783080 h 1790700"/>
              <a:gd name="connsiteX61" fmla="*/ 342900 w 899160"/>
              <a:gd name="connsiteY61" fmla="*/ 1752600 h 1790700"/>
              <a:gd name="connsiteX62" fmla="*/ 320040 w 899160"/>
              <a:gd name="connsiteY62" fmla="*/ 1737360 h 1790700"/>
              <a:gd name="connsiteX63" fmla="*/ 274320 w 899160"/>
              <a:gd name="connsiteY63" fmla="*/ 1699260 h 1790700"/>
              <a:gd name="connsiteX64" fmla="*/ 251460 w 899160"/>
              <a:gd name="connsiteY64" fmla="*/ 1546860 h 1790700"/>
              <a:gd name="connsiteX65" fmla="*/ 228600 w 899160"/>
              <a:gd name="connsiteY65" fmla="*/ 1524000 h 1790700"/>
              <a:gd name="connsiteX66" fmla="*/ 213360 w 899160"/>
              <a:gd name="connsiteY66" fmla="*/ 1501140 h 1790700"/>
              <a:gd name="connsiteX67" fmla="*/ 198120 w 899160"/>
              <a:gd name="connsiteY67" fmla="*/ 1348740 h 1790700"/>
              <a:gd name="connsiteX68" fmla="*/ 190500 w 899160"/>
              <a:gd name="connsiteY68" fmla="*/ 1325880 h 1790700"/>
              <a:gd name="connsiteX69" fmla="*/ 182880 w 899160"/>
              <a:gd name="connsiteY69" fmla="*/ 1181100 h 1790700"/>
              <a:gd name="connsiteX70" fmla="*/ 175260 w 899160"/>
              <a:gd name="connsiteY70" fmla="*/ 1143000 h 1790700"/>
              <a:gd name="connsiteX71" fmla="*/ 190500 w 899160"/>
              <a:gd name="connsiteY71" fmla="*/ 1043940 h 1790700"/>
              <a:gd name="connsiteX72" fmla="*/ 182880 w 899160"/>
              <a:gd name="connsiteY72" fmla="*/ 929640 h 1790700"/>
              <a:gd name="connsiteX73" fmla="*/ 160020 w 899160"/>
              <a:gd name="connsiteY73" fmla="*/ 914400 h 1790700"/>
              <a:gd name="connsiteX74" fmla="*/ 121920 w 899160"/>
              <a:gd name="connsiteY74" fmla="*/ 906780 h 1790700"/>
              <a:gd name="connsiteX75" fmla="*/ 53340 w 899160"/>
              <a:gd name="connsiteY75" fmla="*/ 876300 h 1790700"/>
              <a:gd name="connsiteX76" fmla="*/ 60960 w 899160"/>
              <a:gd name="connsiteY76" fmla="*/ 784860 h 1790700"/>
              <a:gd name="connsiteX77" fmla="*/ 76200 w 899160"/>
              <a:gd name="connsiteY77" fmla="*/ 731520 h 1790700"/>
              <a:gd name="connsiteX78" fmla="*/ 53340 w 899160"/>
              <a:gd name="connsiteY78" fmla="*/ 662940 h 1790700"/>
              <a:gd name="connsiteX79" fmla="*/ 45720 w 899160"/>
              <a:gd name="connsiteY79" fmla="*/ 640080 h 1790700"/>
              <a:gd name="connsiteX80" fmla="*/ 22860 w 899160"/>
              <a:gd name="connsiteY8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07720 w 899160"/>
              <a:gd name="connsiteY38" fmla="*/ 876300 h 1790700"/>
              <a:gd name="connsiteX39" fmla="*/ 815340 w 899160"/>
              <a:gd name="connsiteY39" fmla="*/ 922020 h 1790700"/>
              <a:gd name="connsiteX40" fmla="*/ 830580 w 899160"/>
              <a:gd name="connsiteY40" fmla="*/ 967740 h 1790700"/>
              <a:gd name="connsiteX41" fmla="*/ 838200 w 899160"/>
              <a:gd name="connsiteY41" fmla="*/ 990600 h 1790700"/>
              <a:gd name="connsiteX42" fmla="*/ 853440 w 899160"/>
              <a:gd name="connsiteY42" fmla="*/ 1059180 h 1790700"/>
              <a:gd name="connsiteX43" fmla="*/ 838200 w 899160"/>
              <a:gd name="connsiteY43" fmla="*/ 1150620 h 1790700"/>
              <a:gd name="connsiteX44" fmla="*/ 822960 w 899160"/>
              <a:gd name="connsiteY44" fmla="*/ 1173480 h 1790700"/>
              <a:gd name="connsiteX45" fmla="*/ 807720 w 899160"/>
              <a:gd name="connsiteY45" fmla="*/ 1219200 h 1790700"/>
              <a:gd name="connsiteX46" fmla="*/ 777240 w 899160"/>
              <a:gd name="connsiteY46" fmla="*/ 1264920 h 1790700"/>
              <a:gd name="connsiteX47" fmla="*/ 769620 w 899160"/>
              <a:gd name="connsiteY47" fmla="*/ 1386840 h 1790700"/>
              <a:gd name="connsiteX48" fmla="*/ 754380 w 899160"/>
              <a:gd name="connsiteY48" fmla="*/ 1409700 h 1790700"/>
              <a:gd name="connsiteX49" fmla="*/ 746760 w 899160"/>
              <a:gd name="connsiteY49" fmla="*/ 1432560 h 1790700"/>
              <a:gd name="connsiteX50" fmla="*/ 716280 w 899160"/>
              <a:gd name="connsiteY50" fmla="*/ 1478280 h 1790700"/>
              <a:gd name="connsiteX51" fmla="*/ 685800 w 899160"/>
              <a:gd name="connsiteY51" fmla="*/ 1569720 h 1790700"/>
              <a:gd name="connsiteX52" fmla="*/ 678180 w 899160"/>
              <a:gd name="connsiteY52" fmla="*/ 1592580 h 1790700"/>
              <a:gd name="connsiteX53" fmla="*/ 670560 w 899160"/>
              <a:gd name="connsiteY53" fmla="*/ 1615440 h 1790700"/>
              <a:gd name="connsiteX54" fmla="*/ 655320 w 899160"/>
              <a:gd name="connsiteY54" fmla="*/ 1676400 h 1790700"/>
              <a:gd name="connsiteX55" fmla="*/ 632460 w 899160"/>
              <a:gd name="connsiteY55" fmla="*/ 1729740 h 1790700"/>
              <a:gd name="connsiteX56" fmla="*/ 609600 w 899160"/>
              <a:gd name="connsiteY56" fmla="*/ 1760220 h 1790700"/>
              <a:gd name="connsiteX57" fmla="*/ 563880 w 899160"/>
              <a:gd name="connsiteY57" fmla="*/ 1775460 h 1790700"/>
              <a:gd name="connsiteX58" fmla="*/ 495300 w 899160"/>
              <a:gd name="connsiteY58" fmla="*/ 1790700 h 1790700"/>
              <a:gd name="connsiteX59" fmla="*/ 388620 w 899160"/>
              <a:gd name="connsiteY59" fmla="*/ 1783080 h 1790700"/>
              <a:gd name="connsiteX60" fmla="*/ 342900 w 899160"/>
              <a:gd name="connsiteY60" fmla="*/ 1752600 h 1790700"/>
              <a:gd name="connsiteX61" fmla="*/ 320040 w 899160"/>
              <a:gd name="connsiteY61" fmla="*/ 1737360 h 1790700"/>
              <a:gd name="connsiteX62" fmla="*/ 274320 w 899160"/>
              <a:gd name="connsiteY62" fmla="*/ 1699260 h 1790700"/>
              <a:gd name="connsiteX63" fmla="*/ 251460 w 899160"/>
              <a:gd name="connsiteY63" fmla="*/ 1546860 h 1790700"/>
              <a:gd name="connsiteX64" fmla="*/ 228600 w 899160"/>
              <a:gd name="connsiteY64" fmla="*/ 1524000 h 1790700"/>
              <a:gd name="connsiteX65" fmla="*/ 213360 w 899160"/>
              <a:gd name="connsiteY65" fmla="*/ 1501140 h 1790700"/>
              <a:gd name="connsiteX66" fmla="*/ 198120 w 899160"/>
              <a:gd name="connsiteY66" fmla="*/ 1348740 h 1790700"/>
              <a:gd name="connsiteX67" fmla="*/ 190500 w 899160"/>
              <a:gd name="connsiteY67" fmla="*/ 1325880 h 1790700"/>
              <a:gd name="connsiteX68" fmla="*/ 182880 w 899160"/>
              <a:gd name="connsiteY68" fmla="*/ 1181100 h 1790700"/>
              <a:gd name="connsiteX69" fmla="*/ 175260 w 899160"/>
              <a:gd name="connsiteY69" fmla="*/ 1143000 h 1790700"/>
              <a:gd name="connsiteX70" fmla="*/ 190500 w 899160"/>
              <a:gd name="connsiteY70" fmla="*/ 1043940 h 1790700"/>
              <a:gd name="connsiteX71" fmla="*/ 182880 w 899160"/>
              <a:gd name="connsiteY71" fmla="*/ 929640 h 1790700"/>
              <a:gd name="connsiteX72" fmla="*/ 160020 w 899160"/>
              <a:gd name="connsiteY72" fmla="*/ 914400 h 1790700"/>
              <a:gd name="connsiteX73" fmla="*/ 121920 w 899160"/>
              <a:gd name="connsiteY73" fmla="*/ 906780 h 1790700"/>
              <a:gd name="connsiteX74" fmla="*/ 53340 w 899160"/>
              <a:gd name="connsiteY74" fmla="*/ 876300 h 1790700"/>
              <a:gd name="connsiteX75" fmla="*/ 60960 w 899160"/>
              <a:gd name="connsiteY75" fmla="*/ 784860 h 1790700"/>
              <a:gd name="connsiteX76" fmla="*/ 76200 w 899160"/>
              <a:gd name="connsiteY76" fmla="*/ 731520 h 1790700"/>
              <a:gd name="connsiteX77" fmla="*/ 53340 w 899160"/>
              <a:gd name="connsiteY77" fmla="*/ 662940 h 1790700"/>
              <a:gd name="connsiteX78" fmla="*/ 45720 w 899160"/>
              <a:gd name="connsiteY78" fmla="*/ 640080 h 1790700"/>
              <a:gd name="connsiteX79" fmla="*/ 22860 w 899160"/>
              <a:gd name="connsiteY7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990600 h 1790700"/>
              <a:gd name="connsiteX41" fmla="*/ 853440 w 899160"/>
              <a:gd name="connsiteY41" fmla="*/ 1059180 h 1790700"/>
              <a:gd name="connsiteX42" fmla="*/ 838200 w 899160"/>
              <a:gd name="connsiteY42" fmla="*/ 1150620 h 1790700"/>
              <a:gd name="connsiteX43" fmla="*/ 822960 w 899160"/>
              <a:gd name="connsiteY43" fmla="*/ 1173480 h 1790700"/>
              <a:gd name="connsiteX44" fmla="*/ 807720 w 899160"/>
              <a:gd name="connsiteY44" fmla="*/ 1219200 h 1790700"/>
              <a:gd name="connsiteX45" fmla="*/ 777240 w 899160"/>
              <a:gd name="connsiteY45" fmla="*/ 1264920 h 1790700"/>
              <a:gd name="connsiteX46" fmla="*/ 769620 w 899160"/>
              <a:gd name="connsiteY46" fmla="*/ 1386840 h 1790700"/>
              <a:gd name="connsiteX47" fmla="*/ 754380 w 899160"/>
              <a:gd name="connsiteY47" fmla="*/ 1409700 h 1790700"/>
              <a:gd name="connsiteX48" fmla="*/ 746760 w 899160"/>
              <a:gd name="connsiteY48" fmla="*/ 1432560 h 1790700"/>
              <a:gd name="connsiteX49" fmla="*/ 716280 w 899160"/>
              <a:gd name="connsiteY49" fmla="*/ 1478280 h 1790700"/>
              <a:gd name="connsiteX50" fmla="*/ 685800 w 899160"/>
              <a:gd name="connsiteY50" fmla="*/ 1569720 h 1790700"/>
              <a:gd name="connsiteX51" fmla="*/ 678180 w 899160"/>
              <a:gd name="connsiteY51" fmla="*/ 1592580 h 1790700"/>
              <a:gd name="connsiteX52" fmla="*/ 670560 w 899160"/>
              <a:gd name="connsiteY52" fmla="*/ 1615440 h 1790700"/>
              <a:gd name="connsiteX53" fmla="*/ 655320 w 899160"/>
              <a:gd name="connsiteY53" fmla="*/ 1676400 h 1790700"/>
              <a:gd name="connsiteX54" fmla="*/ 632460 w 899160"/>
              <a:gd name="connsiteY54" fmla="*/ 1729740 h 1790700"/>
              <a:gd name="connsiteX55" fmla="*/ 609600 w 899160"/>
              <a:gd name="connsiteY55" fmla="*/ 1760220 h 1790700"/>
              <a:gd name="connsiteX56" fmla="*/ 563880 w 899160"/>
              <a:gd name="connsiteY56" fmla="*/ 1775460 h 1790700"/>
              <a:gd name="connsiteX57" fmla="*/ 495300 w 899160"/>
              <a:gd name="connsiteY57" fmla="*/ 1790700 h 1790700"/>
              <a:gd name="connsiteX58" fmla="*/ 388620 w 899160"/>
              <a:gd name="connsiteY58" fmla="*/ 1783080 h 1790700"/>
              <a:gd name="connsiteX59" fmla="*/ 342900 w 899160"/>
              <a:gd name="connsiteY59" fmla="*/ 1752600 h 1790700"/>
              <a:gd name="connsiteX60" fmla="*/ 320040 w 899160"/>
              <a:gd name="connsiteY60" fmla="*/ 1737360 h 1790700"/>
              <a:gd name="connsiteX61" fmla="*/ 274320 w 899160"/>
              <a:gd name="connsiteY61" fmla="*/ 1699260 h 1790700"/>
              <a:gd name="connsiteX62" fmla="*/ 251460 w 899160"/>
              <a:gd name="connsiteY62" fmla="*/ 1546860 h 1790700"/>
              <a:gd name="connsiteX63" fmla="*/ 228600 w 899160"/>
              <a:gd name="connsiteY63" fmla="*/ 1524000 h 1790700"/>
              <a:gd name="connsiteX64" fmla="*/ 213360 w 899160"/>
              <a:gd name="connsiteY64" fmla="*/ 1501140 h 1790700"/>
              <a:gd name="connsiteX65" fmla="*/ 198120 w 899160"/>
              <a:gd name="connsiteY65" fmla="*/ 1348740 h 1790700"/>
              <a:gd name="connsiteX66" fmla="*/ 190500 w 899160"/>
              <a:gd name="connsiteY66" fmla="*/ 1325880 h 1790700"/>
              <a:gd name="connsiteX67" fmla="*/ 182880 w 899160"/>
              <a:gd name="connsiteY67" fmla="*/ 1181100 h 1790700"/>
              <a:gd name="connsiteX68" fmla="*/ 175260 w 899160"/>
              <a:gd name="connsiteY68" fmla="*/ 1143000 h 1790700"/>
              <a:gd name="connsiteX69" fmla="*/ 190500 w 899160"/>
              <a:gd name="connsiteY69" fmla="*/ 1043940 h 1790700"/>
              <a:gd name="connsiteX70" fmla="*/ 182880 w 899160"/>
              <a:gd name="connsiteY70" fmla="*/ 929640 h 1790700"/>
              <a:gd name="connsiteX71" fmla="*/ 160020 w 899160"/>
              <a:gd name="connsiteY71" fmla="*/ 914400 h 1790700"/>
              <a:gd name="connsiteX72" fmla="*/ 121920 w 899160"/>
              <a:gd name="connsiteY72" fmla="*/ 906780 h 1790700"/>
              <a:gd name="connsiteX73" fmla="*/ 53340 w 899160"/>
              <a:gd name="connsiteY73" fmla="*/ 876300 h 1790700"/>
              <a:gd name="connsiteX74" fmla="*/ 60960 w 899160"/>
              <a:gd name="connsiteY74" fmla="*/ 784860 h 1790700"/>
              <a:gd name="connsiteX75" fmla="*/ 76200 w 899160"/>
              <a:gd name="connsiteY75" fmla="*/ 731520 h 1790700"/>
              <a:gd name="connsiteX76" fmla="*/ 53340 w 899160"/>
              <a:gd name="connsiteY76" fmla="*/ 662940 h 1790700"/>
              <a:gd name="connsiteX77" fmla="*/ 45720 w 899160"/>
              <a:gd name="connsiteY77" fmla="*/ 640080 h 1790700"/>
              <a:gd name="connsiteX78" fmla="*/ 22860 w 899160"/>
              <a:gd name="connsiteY7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53440 w 899160"/>
              <a:gd name="connsiteY40" fmla="*/ 1059180 h 1790700"/>
              <a:gd name="connsiteX41" fmla="*/ 838200 w 899160"/>
              <a:gd name="connsiteY41" fmla="*/ 1150620 h 1790700"/>
              <a:gd name="connsiteX42" fmla="*/ 822960 w 899160"/>
              <a:gd name="connsiteY42" fmla="*/ 1173480 h 1790700"/>
              <a:gd name="connsiteX43" fmla="*/ 807720 w 899160"/>
              <a:gd name="connsiteY43" fmla="*/ 1219200 h 1790700"/>
              <a:gd name="connsiteX44" fmla="*/ 777240 w 899160"/>
              <a:gd name="connsiteY44" fmla="*/ 1264920 h 1790700"/>
              <a:gd name="connsiteX45" fmla="*/ 769620 w 899160"/>
              <a:gd name="connsiteY45" fmla="*/ 1386840 h 1790700"/>
              <a:gd name="connsiteX46" fmla="*/ 754380 w 899160"/>
              <a:gd name="connsiteY46" fmla="*/ 1409700 h 1790700"/>
              <a:gd name="connsiteX47" fmla="*/ 746760 w 899160"/>
              <a:gd name="connsiteY47" fmla="*/ 1432560 h 1790700"/>
              <a:gd name="connsiteX48" fmla="*/ 716280 w 899160"/>
              <a:gd name="connsiteY48" fmla="*/ 1478280 h 1790700"/>
              <a:gd name="connsiteX49" fmla="*/ 685800 w 899160"/>
              <a:gd name="connsiteY49" fmla="*/ 1569720 h 1790700"/>
              <a:gd name="connsiteX50" fmla="*/ 678180 w 899160"/>
              <a:gd name="connsiteY50" fmla="*/ 1592580 h 1790700"/>
              <a:gd name="connsiteX51" fmla="*/ 670560 w 899160"/>
              <a:gd name="connsiteY51" fmla="*/ 1615440 h 1790700"/>
              <a:gd name="connsiteX52" fmla="*/ 655320 w 899160"/>
              <a:gd name="connsiteY52" fmla="*/ 1676400 h 1790700"/>
              <a:gd name="connsiteX53" fmla="*/ 632460 w 899160"/>
              <a:gd name="connsiteY53" fmla="*/ 1729740 h 1790700"/>
              <a:gd name="connsiteX54" fmla="*/ 609600 w 899160"/>
              <a:gd name="connsiteY54" fmla="*/ 1760220 h 1790700"/>
              <a:gd name="connsiteX55" fmla="*/ 563880 w 899160"/>
              <a:gd name="connsiteY55" fmla="*/ 1775460 h 1790700"/>
              <a:gd name="connsiteX56" fmla="*/ 495300 w 899160"/>
              <a:gd name="connsiteY56" fmla="*/ 1790700 h 1790700"/>
              <a:gd name="connsiteX57" fmla="*/ 388620 w 899160"/>
              <a:gd name="connsiteY57" fmla="*/ 1783080 h 1790700"/>
              <a:gd name="connsiteX58" fmla="*/ 342900 w 899160"/>
              <a:gd name="connsiteY58" fmla="*/ 1752600 h 1790700"/>
              <a:gd name="connsiteX59" fmla="*/ 320040 w 899160"/>
              <a:gd name="connsiteY59" fmla="*/ 1737360 h 1790700"/>
              <a:gd name="connsiteX60" fmla="*/ 274320 w 899160"/>
              <a:gd name="connsiteY60" fmla="*/ 1699260 h 1790700"/>
              <a:gd name="connsiteX61" fmla="*/ 251460 w 899160"/>
              <a:gd name="connsiteY61" fmla="*/ 1546860 h 1790700"/>
              <a:gd name="connsiteX62" fmla="*/ 228600 w 899160"/>
              <a:gd name="connsiteY62" fmla="*/ 1524000 h 1790700"/>
              <a:gd name="connsiteX63" fmla="*/ 213360 w 899160"/>
              <a:gd name="connsiteY63" fmla="*/ 1501140 h 1790700"/>
              <a:gd name="connsiteX64" fmla="*/ 198120 w 899160"/>
              <a:gd name="connsiteY64" fmla="*/ 1348740 h 1790700"/>
              <a:gd name="connsiteX65" fmla="*/ 190500 w 899160"/>
              <a:gd name="connsiteY65" fmla="*/ 1325880 h 1790700"/>
              <a:gd name="connsiteX66" fmla="*/ 182880 w 899160"/>
              <a:gd name="connsiteY66" fmla="*/ 1181100 h 1790700"/>
              <a:gd name="connsiteX67" fmla="*/ 175260 w 899160"/>
              <a:gd name="connsiteY67" fmla="*/ 1143000 h 1790700"/>
              <a:gd name="connsiteX68" fmla="*/ 190500 w 899160"/>
              <a:gd name="connsiteY68" fmla="*/ 1043940 h 1790700"/>
              <a:gd name="connsiteX69" fmla="*/ 182880 w 899160"/>
              <a:gd name="connsiteY69" fmla="*/ 929640 h 1790700"/>
              <a:gd name="connsiteX70" fmla="*/ 160020 w 899160"/>
              <a:gd name="connsiteY70" fmla="*/ 914400 h 1790700"/>
              <a:gd name="connsiteX71" fmla="*/ 121920 w 899160"/>
              <a:gd name="connsiteY71" fmla="*/ 906780 h 1790700"/>
              <a:gd name="connsiteX72" fmla="*/ 53340 w 899160"/>
              <a:gd name="connsiteY72" fmla="*/ 876300 h 1790700"/>
              <a:gd name="connsiteX73" fmla="*/ 60960 w 899160"/>
              <a:gd name="connsiteY73" fmla="*/ 784860 h 1790700"/>
              <a:gd name="connsiteX74" fmla="*/ 76200 w 899160"/>
              <a:gd name="connsiteY74" fmla="*/ 731520 h 1790700"/>
              <a:gd name="connsiteX75" fmla="*/ 53340 w 899160"/>
              <a:gd name="connsiteY75" fmla="*/ 662940 h 1790700"/>
              <a:gd name="connsiteX76" fmla="*/ 45720 w 899160"/>
              <a:gd name="connsiteY76" fmla="*/ 640080 h 1790700"/>
              <a:gd name="connsiteX77" fmla="*/ 22860 w 899160"/>
              <a:gd name="connsiteY7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1150620 h 1790700"/>
              <a:gd name="connsiteX41" fmla="*/ 822960 w 899160"/>
              <a:gd name="connsiteY41" fmla="*/ 1173480 h 1790700"/>
              <a:gd name="connsiteX42" fmla="*/ 807720 w 899160"/>
              <a:gd name="connsiteY42" fmla="*/ 1219200 h 1790700"/>
              <a:gd name="connsiteX43" fmla="*/ 777240 w 899160"/>
              <a:gd name="connsiteY43" fmla="*/ 1264920 h 1790700"/>
              <a:gd name="connsiteX44" fmla="*/ 769620 w 899160"/>
              <a:gd name="connsiteY44" fmla="*/ 1386840 h 1790700"/>
              <a:gd name="connsiteX45" fmla="*/ 754380 w 899160"/>
              <a:gd name="connsiteY45" fmla="*/ 1409700 h 1790700"/>
              <a:gd name="connsiteX46" fmla="*/ 746760 w 899160"/>
              <a:gd name="connsiteY46" fmla="*/ 1432560 h 1790700"/>
              <a:gd name="connsiteX47" fmla="*/ 716280 w 899160"/>
              <a:gd name="connsiteY47" fmla="*/ 1478280 h 1790700"/>
              <a:gd name="connsiteX48" fmla="*/ 685800 w 899160"/>
              <a:gd name="connsiteY48" fmla="*/ 1569720 h 1790700"/>
              <a:gd name="connsiteX49" fmla="*/ 678180 w 899160"/>
              <a:gd name="connsiteY49" fmla="*/ 1592580 h 1790700"/>
              <a:gd name="connsiteX50" fmla="*/ 670560 w 899160"/>
              <a:gd name="connsiteY50" fmla="*/ 1615440 h 1790700"/>
              <a:gd name="connsiteX51" fmla="*/ 655320 w 899160"/>
              <a:gd name="connsiteY51" fmla="*/ 1676400 h 1790700"/>
              <a:gd name="connsiteX52" fmla="*/ 632460 w 899160"/>
              <a:gd name="connsiteY52" fmla="*/ 1729740 h 1790700"/>
              <a:gd name="connsiteX53" fmla="*/ 609600 w 899160"/>
              <a:gd name="connsiteY53" fmla="*/ 1760220 h 1790700"/>
              <a:gd name="connsiteX54" fmla="*/ 563880 w 899160"/>
              <a:gd name="connsiteY54" fmla="*/ 1775460 h 1790700"/>
              <a:gd name="connsiteX55" fmla="*/ 495300 w 899160"/>
              <a:gd name="connsiteY55" fmla="*/ 1790700 h 1790700"/>
              <a:gd name="connsiteX56" fmla="*/ 388620 w 899160"/>
              <a:gd name="connsiteY56" fmla="*/ 1783080 h 1790700"/>
              <a:gd name="connsiteX57" fmla="*/ 342900 w 899160"/>
              <a:gd name="connsiteY57" fmla="*/ 1752600 h 1790700"/>
              <a:gd name="connsiteX58" fmla="*/ 320040 w 899160"/>
              <a:gd name="connsiteY58" fmla="*/ 1737360 h 1790700"/>
              <a:gd name="connsiteX59" fmla="*/ 274320 w 899160"/>
              <a:gd name="connsiteY59" fmla="*/ 1699260 h 1790700"/>
              <a:gd name="connsiteX60" fmla="*/ 251460 w 899160"/>
              <a:gd name="connsiteY60" fmla="*/ 1546860 h 1790700"/>
              <a:gd name="connsiteX61" fmla="*/ 228600 w 899160"/>
              <a:gd name="connsiteY61" fmla="*/ 1524000 h 1790700"/>
              <a:gd name="connsiteX62" fmla="*/ 213360 w 899160"/>
              <a:gd name="connsiteY62" fmla="*/ 1501140 h 1790700"/>
              <a:gd name="connsiteX63" fmla="*/ 198120 w 899160"/>
              <a:gd name="connsiteY63" fmla="*/ 1348740 h 1790700"/>
              <a:gd name="connsiteX64" fmla="*/ 190500 w 899160"/>
              <a:gd name="connsiteY64" fmla="*/ 1325880 h 1790700"/>
              <a:gd name="connsiteX65" fmla="*/ 182880 w 899160"/>
              <a:gd name="connsiteY65" fmla="*/ 1181100 h 1790700"/>
              <a:gd name="connsiteX66" fmla="*/ 175260 w 899160"/>
              <a:gd name="connsiteY66" fmla="*/ 1143000 h 1790700"/>
              <a:gd name="connsiteX67" fmla="*/ 190500 w 899160"/>
              <a:gd name="connsiteY67" fmla="*/ 1043940 h 1790700"/>
              <a:gd name="connsiteX68" fmla="*/ 182880 w 899160"/>
              <a:gd name="connsiteY68" fmla="*/ 929640 h 1790700"/>
              <a:gd name="connsiteX69" fmla="*/ 160020 w 899160"/>
              <a:gd name="connsiteY69" fmla="*/ 914400 h 1790700"/>
              <a:gd name="connsiteX70" fmla="*/ 121920 w 899160"/>
              <a:gd name="connsiteY70" fmla="*/ 906780 h 1790700"/>
              <a:gd name="connsiteX71" fmla="*/ 53340 w 899160"/>
              <a:gd name="connsiteY71" fmla="*/ 876300 h 1790700"/>
              <a:gd name="connsiteX72" fmla="*/ 60960 w 899160"/>
              <a:gd name="connsiteY72" fmla="*/ 784860 h 1790700"/>
              <a:gd name="connsiteX73" fmla="*/ 76200 w 899160"/>
              <a:gd name="connsiteY73" fmla="*/ 731520 h 1790700"/>
              <a:gd name="connsiteX74" fmla="*/ 53340 w 899160"/>
              <a:gd name="connsiteY74" fmla="*/ 662940 h 1790700"/>
              <a:gd name="connsiteX75" fmla="*/ 45720 w 899160"/>
              <a:gd name="connsiteY75" fmla="*/ 640080 h 1790700"/>
              <a:gd name="connsiteX76" fmla="*/ 22860 w 899160"/>
              <a:gd name="connsiteY7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8200 w 899160"/>
              <a:gd name="connsiteY39" fmla="*/ 1150620 h 1790700"/>
              <a:gd name="connsiteX40" fmla="*/ 822960 w 899160"/>
              <a:gd name="connsiteY40" fmla="*/ 1173480 h 1790700"/>
              <a:gd name="connsiteX41" fmla="*/ 807720 w 899160"/>
              <a:gd name="connsiteY41" fmla="*/ 1219200 h 1790700"/>
              <a:gd name="connsiteX42" fmla="*/ 777240 w 899160"/>
              <a:gd name="connsiteY42" fmla="*/ 1264920 h 1790700"/>
              <a:gd name="connsiteX43" fmla="*/ 769620 w 899160"/>
              <a:gd name="connsiteY43" fmla="*/ 1386840 h 1790700"/>
              <a:gd name="connsiteX44" fmla="*/ 754380 w 899160"/>
              <a:gd name="connsiteY44" fmla="*/ 1409700 h 1790700"/>
              <a:gd name="connsiteX45" fmla="*/ 746760 w 899160"/>
              <a:gd name="connsiteY45" fmla="*/ 1432560 h 1790700"/>
              <a:gd name="connsiteX46" fmla="*/ 716280 w 899160"/>
              <a:gd name="connsiteY46" fmla="*/ 1478280 h 1790700"/>
              <a:gd name="connsiteX47" fmla="*/ 685800 w 899160"/>
              <a:gd name="connsiteY47" fmla="*/ 1569720 h 1790700"/>
              <a:gd name="connsiteX48" fmla="*/ 678180 w 899160"/>
              <a:gd name="connsiteY48" fmla="*/ 1592580 h 1790700"/>
              <a:gd name="connsiteX49" fmla="*/ 670560 w 899160"/>
              <a:gd name="connsiteY49" fmla="*/ 1615440 h 1790700"/>
              <a:gd name="connsiteX50" fmla="*/ 655320 w 899160"/>
              <a:gd name="connsiteY50" fmla="*/ 1676400 h 1790700"/>
              <a:gd name="connsiteX51" fmla="*/ 632460 w 899160"/>
              <a:gd name="connsiteY51" fmla="*/ 1729740 h 1790700"/>
              <a:gd name="connsiteX52" fmla="*/ 609600 w 899160"/>
              <a:gd name="connsiteY52" fmla="*/ 1760220 h 1790700"/>
              <a:gd name="connsiteX53" fmla="*/ 563880 w 899160"/>
              <a:gd name="connsiteY53" fmla="*/ 1775460 h 1790700"/>
              <a:gd name="connsiteX54" fmla="*/ 495300 w 899160"/>
              <a:gd name="connsiteY54" fmla="*/ 1790700 h 1790700"/>
              <a:gd name="connsiteX55" fmla="*/ 388620 w 899160"/>
              <a:gd name="connsiteY55" fmla="*/ 1783080 h 1790700"/>
              <a:gd name="connsiteX56" fmla="*/ 342900 w 899160"/>
              <a:gd name="connsiteY56" fmla="*/ 1752600 h 1790700"/>
              <a:gd name="connsiteX57" fmla="*/ 320040 w 899160"/>
              <a:gd name="connsiteY57" fmla="*/ 1737360 h 1790700"/>
              <a:gd name="connsiteX58" fmla="*/ 274320 w 899160"/>
              <a:gd name="connsiteY58" fmla="*/ 1699260 h 1790700"/>
              <a:gd name="connsiteX59" fmla="*/ 251460 w 899160"/>
              <a:gd name="connsiteY59" fmla="*/ 1546860 h 1790700"/>
              <a:gd name="connsiteX60" fmla="*/ 228600 w 899160"/>
              <a:gd name="connsiteY60" fmla="*/ 1524000 h 1790700"/>
              <a:gd name="connsiteX61" fmla="*/ 213360 w 899160"/>
              <a:gd name="connsiteY61" fmla="*/ 1501140 h 1790700"/>
              <a:gd name="connsiteX62" fmla="*/ 198120 w 899160"/>
              <a:gd name="connsiteY62" fmla="*/ 1348740 h 1790700"/>
              <a:gd name="connsiteX63" fmla="*/ 190500 w 899160"/>
              <a:gd name="connsiteY63" fmla="*/ 1325880 h 1790700"/>
              <a:gd name="connsiteX64" fmla="*/ 182880 w 899160"/>
              <a:gd name="connsiteY64" fmla="*/ 1181100 h 1790700"/>
              <a:gd name="connsiteX65" fmla="*/ 175260 w 899160"/>
              <a:gd name="connsiteY65" fmla="*/ 1143000 h 1790700"/>
              <a:gd name="connsiteX66" fmla="*/ 190500 w 899160"/>
              <a:gd name="connsiteY66" fmla="*/ 1043940 h 1790700"/>
              <a:gd name="connsiteX67" fmla="*/ 182880 w 899160"/>
              <a:gd name="connsiteY67" fmla="*/ 929640 h 1790700"/>
              <a:gd name="connsiteX68" fmla="*/ 160020 w 899160"/>
              <a:gd name="connsiteY68" fmla="*/ 914400 h 1790700"/>
              <a:gd name="connsiteX69" fmla="*/ 121920 w 899160"/>
              <a:gd name="connsiteY69" fmla="*/ 906780 h 1790700"/>
              <a:gd name="connsiteX70" fmla="*/ 53340 w 899160"/>
              <a:gd name="connsiteY70" fmla="*/ 876300 h 1790700"/>
              <a:gd name="connsiteX71" fmla="*/ 60960 w 899160"/>
              <a:gd name="connsiteY71" fmla="*/ 784860 h 1790700"/>
              <a:gd name="connsiteX72" fmla="*/ 76200 w 899160"/>
              <a:gd name="connsiteY72" fmla="*/ 731520 h 1790700"/>
              <a:gd name="connsiteX73" fmla="*/ 53340 w 899160"/>
              <a:gd name="connsiteY73" fmla="*/ 662940 h 1790700"/>
              <a:gd name="connsiteX74" fmla="*/ 45720 w 899160"/>
              <a:gd name="connsiteY74" fmla="*/ 640080 h 1790700"/>
              <a:gd name="connsiteX75" fmla="*/ 22860 w 899160"/>
              <a:gd name="connsiteY7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807720 w 899160"/>
              <a:gd name="connsiteY40" fmla="*/ 1219200 h 1790700"/>
              <a:gd name="connsiteX41" fmla="*/ 777240 w 899160"/>
              <a:gd name="connsiteY41" fmla="*/ 1264920 h 1790700"/>
              <a:gd name="connsiteX42" fmla="*/ 769620 w 899160"/>
              <a:gd name="connsiteY42" fmla="*/ 1386840 h 1790700"/>
              <a:gd name="connsiteX43" fmla="*/ 754380 w 899160"/>
              <a:gd name="connsiteY43" fmla="*/ 1409700 h 1790700"/>
              <a:gd name="connsiteX44" fmla="*/ 746760 w 899160"/>
              <a:gd name="connsiteY44" fmla="*/ 1432560 h 1790700"/>
              <a:gd name="connsiteX45" fmla="*/ 716280 w 899160"/>
              <a:gd name="connsiteY45" fmla="*/ 1478280 h 1790700"/>
              <a:gd name="connsiteX46" fmla="*/ 685800 w 899160"/>
              <a:gd name="connsiteY46" fmla="*/ 1569720 h 1790700"/>
              <a:gd name="connsiteX47" fmla="*/ 678180 w 899160"/>
              <a:gd name="connsiteY47" fmla="*/ 1592580 h 1790700"/>
              <a:gd name="connsiteX48" fmla="*/ 670560 w 899160"/>
              <a:gd name="connsiteY48" fmla="*/ 1615440 h 1790700"/>
              <a:gd name="connsiteX49" fmla="*/ 655320 w 899160"/>
              <a:gd name="connsiteY49" fmla="*/ 1676400 h 1790700"/>
              <a:gd name="connsiteX50" fmla="*/ 632460 w 899160"/>
              <a:gd name="connsiteY50" fmla="*/ 1729740 h 1790700"/>
              <a:gd name="connsiteX51" fmla="*/ 609600 w 899160"/>
              <a:gd name="connsiteY51" fmla="*/ 1760220 h 1790700"/>
              <a:gd name="connsiteX52" fmla="*/ 563880 w 899160"/>
              <a:gd name="connsiteY52" fmla="*/ 1775460 h 1790700"/>
              <a:gd name="connsiteX53" fmla="*/ 495300 w 899160"/>
              <a:gd name="connsiteY53" fmla="*/ 1790700 h 1790700"/>
              <a:gd name="connsiteX54" fmla="*/ 388620 w 899160"/>
              <a:gd name="connsiteY54" fmla="*/ 1783080 h 1790700"/>
              <a:gd name="connsiteX55" fmla="*/ 342900 w 899160"/>
              <a:gd name="connsiteY55" fmla="*/ 1752600 h 1790700"/>
              <a:gd name="connsiteX56" fmla="*/ 320040 w 899160"/>
              <a:gd name="connsiteY56" fmla="*/ 1737360 h 1790700"/>
              <a:gd name="connsiteX57" fmla="*/ 274320 w 899160"/>
              <a:gd name="connsiteY57" fmla="*/ 1699260 h 1790700"/>
              <a:gd name="connsiteX58" fmla="*/ 251460 w 899160"/>
              <a:gd name="connsiteY58" fmla="*/ 1546860 h 1790700"/>
              <a:gd name="connsiteX59" fmla="*/ 228600 w 899160"/>
              <a:gd name="connsiteY59" fmla="*/ 1524000 h 1790700"/>
              <a:gd name="connsiteX60" fmla="*/ 213360 w 899160"/>
              <a:gd name="connsiteY60" fmla="*/ 1501140 h 1790700"/>
              <a:gd name="connsiteX61" fmla="*/ 198120 w 899160"/>
              <a:gd name="connsiteY61" fmla="*/ 1348740 h 1790700"/>
              <a:gd name="connsiteX62" fmla="*/ 190500 w 899160"/>
              <a:gd name="connsiteY62" fmla="*/ 1325880 h 1790700"/>
              <a:gd name="connsiteX63" fmla="*/ 182880 w 899160"/>
              <a:gd name="connsiteY63" fmla="*/ 1181100 h 1790700"/>
              <a:gd name="connsiteX64" fmla="*/ 175260 w 899160"/>
              <a:gd name="connsiteY64" fmla="*/ 1143000 h 1790700"/>
              <a:gd name="connsiteX65" fmla="*/ 190500 w 899160"/>
              <a:gd name="connsiteY65" fmla="*/ 1043940 h 1790700"/>
              <a:gd name="connsiteX66" fmla="*/ 182880 w 899160"/>
              <a:gd name="connsiteY66" fmla="*/ 929640 h 1790700"/>
              <a:gd name="connsiteX67" fmla="*/ 160020 w 899160"/>
              <a:gd name="connsiteY67" fmla="*/ 914400 h 1790700"/>
              <a:gd name="connsiteX68" fmla="*/ 121920 w 899160"/>
              <a:gd name="connsiteY68" fmla="*/ 906780 h 1790700"/>
              <a:gd name="connsiteX69" fmla="*/ 53340 w 899160"/>
              <a:gd name="connsiteY69" fmla="*/ 876300 h 1790700"/>
              <a:gd name="connsiteX70" fmla="*/ 60960 w 899160"/>
              <a:gd name="connsiteY70" fmla="*/ 784860 h 1790700"/>
              <a:gd name="connsiteX71" fmla="*/ 76200 w 899160"/>
              <a:gd name="connsiteY71" fmla="*/ 731520 h 1790700"/>
              <a:gd name="connsiteX72" fmla="*/ 53340 w 899160"/>
              <a:gd name="connsiteY72" fmla="*/ 662940 h 1790700"/>
              <a:gd name="connsiteX73" fmla="*/ 45720 w 899160"/>
              <a:gd name="connsiteY73" fmla="*/ 640080 h 1790700"/>
              <a:gd name="connsiteX74" fmla="*/ 22860 w 899160"/>
              <a:gd name="connsiteY7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777240 w 899160"/>
              <a:gd name="connsiteY40" fmla="*/ 1264920 h 1790700"/>
              <a:gd name="connsiteX41" fmla="*/ 769620 w 899160"/>
              <a:gd name="connsiteY41" fmla="*/ 1386840 h 1790700"/>
              <a:gd name="connsiteX42" fmla="*/ 754380 w 899160"/>
              <a:gd name="connsiteY42" fmla="*/ 1409700 h 1790700"/>
              <a:gd name="connsiteX43" fmla="*/ 746760 w 899160"/>
              <a:gd name="connsiteY43" fmla="*/ 1432560 h 1790700"/>
              <a:gd name="connsiteX44" fmla="*/ 716280 w 899160"/>
              <a:gd name="connsiteY44" fmla="*/ 1478280 h 1790700"/>
              <a:gd name="connsiteX45" fmla="*/ 685800 w 899160"/>
              <a:gd name="connsiteY45" fmla="*/ 1569720 h 1790700"/>
              <a:gd name="connsiteX46" fmla="*/ 678180 w 899160"/>
              <a:gd name="connsiteY46" fmla="*/ 1592580 h 1790700"/>
              <a:gd name="connsiteX47" fmla="*/ 670560 w 899160"/>
              <a:gd name="connsiteY47" fmla="*/ 1615440 h 1790700"/>
              <a:gd name="connsiteX48" fmla="*/ 655320 w 899160"/>
              <a:gd name="connsiteY48" fmla="*/ 1676400 h 1790700"/>
              <a:gd name="connsiteX49" fmla="*/ 632460 w 899160"/>
              <a:gd name="connsiteY49" fmla="*/ 1729740 h 1790700"/>
              <a:gd name="connsiteX50" fmla="*/ 609600 w 899160"/>
              <a:gd name="connsiteY50" fmla="*/ 1760220 h 1790700"/>
              <a:gd name="connsiteX51" fmla="*/ 563880 w 899160"/>
              <a:gd name="connsiteY51" fmla="*/ 1775460 h 1790700"/>
              <a:gd name="connsiteX52" fmla="*/ 495300 w 899160"/>
              <a:gd name="connsiteY52" fmla="*/ 1790700 h 1790700"/>
              <a:gd name="connsiteX53" fmla="*/ 388620 w 899160"/>
              <a:gd name="connsiteY53" fmla="*/ 1783080 h 1790700"/>
              <a:gd name="connsiteX54" fmla="*/ 342900 w 899160"/>
              <a:gd name="connsiteY54" fmla="*/ 1752600 h 1790700"/>
              <a:gd name="connsiteX55" fmla="*/ 320040 w 899160"/>
              <a:gd name="connsiteY55" fmla="*/ 1737360 h 1790700"/>
              <a:gd name="connsiteX56" fmla="*/ 274320 w 899160"/>
              <a:gd name="connsiteY56" fmla="*/ 1699260 h 1790700"/>
              <a:gd name="connsiteX57" fmla="*/ 251460 w 899160"/>
              <a:gd name="connsiteY57" fmla="*/ 1546860 h 1790700"/>
              <a:gd name="connsiteX58" fmla="*/ 228600 w 899160"/>
              <a:gd name="connsiteY58" fmla="*/ 1524000 h 1790700"/>
              <a:gd name="connsiteX59" fmla="*/ 213360 w 899160"/>
              <a:gd name="connsiteY59" fmla="*/ 1501140 h 1790700"/>
              <a:gd name="connsiteX60" fmla="*/ 198120 w 899160"/>
              <a:gd name="connsiteY60" fmla="*/ 1348740 h 1790700"/>
              <a:gd name="connsiteX61" fmla="*/ 190500 w 899160"/>
              <a:gd name="connsiteY61" fmla="*/ 1325880 h 1790700"/>
              <a:gd name="connsiteX62" fmla="*/ 182880 w 899160"/>
              <a:gd name="connsiteY62" fmla="*/ 1181100 h 1790700"/>
              <a:gd name="connsiteX63" fmla="*/ 175260 w 899160"/>
              <a:gd name="connsiteY63" fmla="*/ 1143000 h 1790700"/>
              <a:gd name="connsiteX64" fmla="*/ 190500 w 899160"/>
              <a:gd name="connsiteY64" fmla="*/ 1043940 h 1790700"/>
              <a:gd name="connsiteX65" fmla="*/ 182880 w 899160"/>
              <a:gd name="connsiteY65" fmla="*/ 929640 h 1790700"/>
              <a:gd name="connsiteX66" fmla="*/ 160020 w 899160"/>
              <a:gd name="connsiteY66" fmla="*/ 914400 h 1790700"/>
              <a:gd name="connsiteX67" fmla="*/ 121920 w 899160"/>
              <a:gd name="connsiteY67" fmla="*/ 906780 h 1790700"/>
              <a:gd name="connsiteX68" fmla="*/ 53340 w 899160"/>
              <a:gd name="connsiteY68" fmla="*/ 876300 h 1790700"/>
              <a:gd name="connsiteX69" fmla="*/ 60960 w 899160"/>
              <a:gd name="connsiteY69" fmla="*/ 784860 h 1790700"/>
              <a:gd name="connsiteX70" fmla="*/ 76200 w 899160"/>
              <a:gd name="connsiteY70" fmla="*/ 731520 h 1790700"/>
              <a:gd name="connsiteX71" fmla="*/ 53340 w 899160"/>
              <a:gd name="connsiteY71" fmla="*/ 662940 h 1790700"/>
              <a:gd name="connsiteX72" fmla="*/ 45720 w 899160"/>
              <a:gd name="connsiteY72" fmla="*/ 640080 h 1790700"/>
              <a:gd name="connsiteX73" fmla="*/ 22860 w 899160"/>
              <a:gd name="connsiteY7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77240 w 899160"/>
              <a:gd name="connsiteY39" fmla="*/ 1264920 h 1790700"/>
              <a:gd name="connsiteX40" fmla="*/ 769620 w 899160"/>
              <a:gd name="connsiteY40" fmla="*/ 1386840 h 1790700"/>
              <a:gd name="connsiteX41" fmla="*/ 754380 w 899160"/>
              <a:gd name="connsiteY41" fmla="*/ 1409700 h 1790700"/>
              <a:gd name="connsiteX42" fmla="*/ 746760 w 899160"/>
              <a:gd name="connsiteY42" fmla="*/ 1432560 h 1790700"/>
              <a:gd name="connsiteX43" fmla="*/ 716280 w 899160"/>
              <a:gd name="connsiteY43" fmla="*/ 1478280 h 1790700"/>
              <a:gd name="connsiteX44" fmla="*/ 685800 w 899160"/>
              <a:gd name="connsiteY44" fmla="*/ 1569720 h 1790700"/>
              <a:gd name="connsiteX45" fmla="*/ 678180 w 899160"/>
              <a:gd name="connsiteY45" fmla="*/ 1592580 h 1790700"/>
              <a:gd name="connsiteX46" fmla="*/ 670560 w 899160"/>
              <a:gd name="connsiteY46" fmla="*/ 1615440 h 1790700"/>
              <a:gd name="connsiteX47" fmla="*/ 655320 w 899160"/>
              <a:gd name="connsiteY47" fmla="*/ 1676400 h 1790700"/>
              <a:gd name="connsiteX48" fmla="*/ 632460 w 899160"/>
              <a:gd name="connsiteY48" fmla="*/ 1729740 h 1790700"/>
              <a:gd name="connsiteX49" fmla="*/ 609600 w 899160"/>
              <a:gd name="connsiteY49" fmla="*/ 1760220 h 1790700"/>
              <a:gd name="connsiteX50" fmla="*/ 563880 w 899160"/>
              <a:gd name="connsiteY50" fmla="*/ 1775460 h 1790700"/>
              <a:gd name="connsiteX51" fmla="*/ 495300 w 899160"/>
              <a:gd name="connsiteY51" fmla="*/ 1790700 h 1790700"/>
              <a:gd name="connsiteX52" fmla="*/ 388620 w 899160"/>
              <a:gd name="connsiteY52" fmla="*/ 1783080 h 1790700"/>
              <a:gd name="connsiteX53" fmla="*/ 342900 w 899160"/>
              <a:gd name="connsiteY53" fmla="*/ 1752600 h 1790700"/>
              <a:gd name="connsiteX54" fmla="*/ 320040 w 899160"/>
              <a:gd name="connsiteY54" fmla="*/ 1737360 h 1790700"/>
              <a:gd name="connsiteX55" fmla="*/ 274320 w 899160"/>
              <a:gd name="connsiteY55" fmla="*/ 1699260 h 1790700"/>
              <a:gd name="connsiteX56" fmla="*/ 251460 w 899160"/>
              <a:gd name="connsiteY56" fmla="*/ 1546860 h 1790700"/>
              <a:gd name="connsiteX57" fmla="*/ 228600 w 899160"/>
              <a:gd name="connsiteY57" fmla="*/ 1524000 h 1790700"/>
              <a:gd name="connsiteX58" fmla="*/ 213360 w 899160"/>
              <a:gd name="connsiteY58" fmla="*/ 1501140 h 1790700"/>
              <a:gd name="connsiteX59" fmla="*/ 198120 w 899160"/>
              <a:gd name="connsiteY59" fmla="*/ 1348740 h 1790700"/>
              <a:gd name="connsiteX60" fmla="*/ 190500 w 899160"/>
              <a:gd name="connsiteY60" fmla="*/ 1325880 h 1790700"/>
              <a:gd name="connsiteX61" fmla="*/ 182880 w 899160"/>
              <a:gd name="connsiteY61" fmla="*/ 1181100 h 1790700"/>
              <a:gd name="connsiteX62" fmla="*/ 175260 w 899160"/>
              <a:gd name="connsiteY62" fmla="*/ 1143000 h 1790700"/>
              <a:gd name="connsiteX63" fmla="*/ 190500 w 899160"/>
              <a:gd name="connsiteY63" fmla="*/ 1043940 h 1790700"/>
              <a:gd name="connsiteX64" fmla="*/ 182880 w 899160"/>
              <a:gd name="connsiteY64" fmla="*/ 929640 h 1790700"/>
              <a:gd name="connsiteX65" fmla="*/ 160020 w 899160"/>
              <a:gd name="connsiteY65" fmla="*/ 914400 h 1790700"/>
              <a:gd name="connsiteX66" fmla="*/ 121920 w 899160"/>
              <a:gd name="connsiteY66" fmla="*/ 906780 h 1790700"/>
              <a:gd name="connsiteX67" fmla="*/ 53340 w 899160"/>
              <a:gd name="connsiteY67" fmla="*/ 876300 h 1790700"/>
              <a:gd name="connsiteX68" fmla="*/ 60960 w 899160"/>
              <a:gd name="connsiteY68" fmla="*/ 784860 h 1790700"/>
              <a:gd name="connsiteX69" fmla="*/ 76200 w 899160"/>
              <a:gd name="connsiteY69" fmla="*/ 731520 h 1790700"/>
              <a:gd name="connsiteX70" fmla="*/ 53340 w 899160"/>
              <a:gd name="connsiteY70" fmla="*/ 662940 h 1790700"/>
              <a:gd name="connsiteX71" fmla="*/ 45720 w 899160"/>
              <a:gd name="connsiteY71" fmla="*/ 640080 h 1790700"/>
              <a:gd name="connsiteX72" fmla="*/ 22860 w 899160"/>
              <a:gd name="connsiteY7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716280 w 899160"/>
              <a:gd name="connsiteY42" fmla="*/ 1478280 h 1790700"/>
              <a:gd name="connsiteX43" fmla="*/ 685800 w 899160"/>
              <a:gd name="connsiteY43" fmla="*/ 1569720 h 1790700"/>
              <a:gd name="connsiteX44" fmla="*/ 678180 w 899160"/>
              <a:gd name="connsiteY44" fmla="*/ 1592580 h 1790700"/>
              <a:gd name="connsiteX45" fmla="*/ 670560 w 899160"/>
              <a:gd name="connsiteY45" fmla="*/ 1615440 h 1790700"/>
              <a:gd name="connsiteX46" fmla="*/ 655320 w 899160"/>
              <a:gd name="connsiteY46" fmla="*/ 1676400 h 1790700"/>
              <a:gd name="connsiteX47" fmla="*/ 632460 w 899160"/>
              <a:gd name="connsiteY47" fmla="*/ 1729740 h 1790700"/>
              <a:gd name="connsiteX48" fmla="*/ 609600 w 899160"/>
              <a:gd name="connsiteY48" fmla="*/ 1760220 h 1790700"/>
              <a:gd name="connsiteX49" fmla="*/ 563880 w 899160"/>
              <a:gd name="connsiteY49" fmla="*/ 1775460 h 1790700"/>
              <a:gd name="connsiteX50" fmla="*/ 495300 w 899160"/>
              <a:gd name="connsiteY50" fmla="*/ 1790700 h 1790700"/>
              <a:gd name="connsiteX51" fmla="*/ 388620 w 899160"/>
              <a:gd name="connsiteY51" fmla="*/ 1783080 h 1790700"/>
              <a:gd name="connsiteX52" fmla="*/ 342900 w 899160"/>
              <a:gd name="connsiteY52" fmla="*/ 1752600 h 1790700"/>
              <a:gd name="connsiteX53" fmla="*/ 320040 w 899160"/>
              <a:gd name="connsiteY53" fmla="*/ 1737360 h 1790700"/>
              <a:gd name="connsiteX54" fmla="*/ 274320 w 899160"/>
              <a:gd name="connsiteY54" fmla="*/ 1699260 h 1790700"/>
              <a:gd name="connsiteX55" fmla="*/ 251460 w 899160"/>
              <a:gd name="connsiteY55" fmla="*/ 1546860 h 1790700"/>
              <a:gd name="connsiteX56" fmla="*/ 228600 w 899160"/>
              <a:gd name="connsiteY56" fmla="*/ 1524000 h 1790700"/>
              <a:gd name="connsiteX57" fmla="*/ 213360 w 899160"/>
              <a:gd name="connsiteY57" fmla="*/ 1501140 h 1790700"/>
              <a:gd name="connsiteX58" fmla="*/ 198120 w 899160"/>
              <a:gd name="connsiteY58" fmla="*/ 1348740 h 1790700"/>
              <a:gd name="connsiteX59" fmla="*/ 190500 w 899160"/>
              <a:gd name="connsiteY59" fmla="*/ 1325880 h 1790700"/>
              <a:gd name="connsiteX60" fmla="*/ 182880 w 899160"/>
              <a:gd name="connsiteY60" fmla="*/ 1181100 h 1790700"/>
              <a:gd name="connsiteX61" fmla="*/ 175260 w 899160"/>
              <a:gd name="connsiteY61" fmla="*/ 1143000 h 1790700"/>
              <a:gd name="connsiteX62" fmla="*/ 190500 w 899160"/>
              <a:gd name="connsiteY62" fmla="*/ 1043940 h 1790700"/>
              <a:gd name="connsiteX63" fmla="*/ 182880 w 899160"/>
              <a:gd name="connsiteY63" fmla="*/ 929640 h 1790700"/>
              <a:gd name="connsiteX64" fmla="*/ 160020 w 899160"/>
              <a:gd name="connsiteY64" fmla="*/ 914400 h 1790700"/>
              <a:gd name="connsiteX65" fmla="*/ 121920 w 899160"/>
              <a:gd name="connsiteY65" fmla="*/ 906780 h 1790700"/>
              <a:gd name="connsiteX66" fmla="*/ 53340 w 899160"/>
              <a:gd name="connsiteY66" fmla="*/ 876300 h 1790700"/>
              <a:gd name="connsiteX67" fmla="*/ 60960 w 899160"/>
              <a:gd name="connsiteY67" fmla="*/ 784860 h 1790700"/>
              <a:gd name="connsiteX68" fmla="*/ 76200 w 899160"/>
              <a:gd name="connsiteY68" fmla="*/ 731520 h 1790700"/>
              <a:gd name="connsiteX69" fmla="*/ 53340 w 899160"/>
              <a:gd name="connsiteY69" fmla="*/ 662940 h 1790700"/>
              <a:gd name="connsiteX70" fmla="*/ 45720 w 899160"/>
              <a:gd name="connsiteY70" fmla="*/ 640080 h 1790700"/>
              <a:gd name="connsiteX71" fmla="*/ 22860 w 899160"/>
              <a:gd name="connsiteY7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70560 w 899160"/>
              <a:gd name="connsiteY44" fmla="*/ 1615440 h 1790700"/>
              <a:gd name="connsiteX45" fmla="*/ 655320 w 899160"/>
              <a:gd name="connsiteY45" fmla="*/ 1676400 h 1790700"/>
              <a:gd name="connsiteX46" fmla="*/ 632460 w 899160"/>
              <a:gd name="connsiteY46" fmla="*/ 1729740 h 1790700"/>
              <a:gd name="connsiteX47" fmla="*/ 609600 w 899160"/>
              <a:gd name="connsiteY47" fmla="*/ 1760220 h 1790700"/>
              <a:gd name="connsiteX48" fmla="*/ 563880 w 899160"/>
              <a:gd name="connsiteY48" fmla="*/ 1775460 h 1790700"/>
              <a:gd name="connsiteX49" fmla="*/ 495300 w 899160"/>
              <a:gd name="connsiteY49" fmla="*/ 1790700 h 1790700"/>
              <a:gd name="connsiteX50" fmla="*/ 388620 w 899160"/>
              <a:gd name="connsiteY50" fmla="*/ 1783080 h 1790700"/>
              <a:gd name="connsiteX51" fmla="*/ 342900 w 899160"/>
              <a:gd name="connsiteY51" fmla="*/ 1752600 h 1790700"/>
              <a:gd name="connsiteX52" fmla="*/ 320040 w 899160"/>
              <a:gd name="connsiteY52" fmla="*/ 1737360 h 1790700"/>
              <a:gd name="connsiteX53" fmla="*/ 274320 w 899160"/>
              <a:gd name="connsiteY53" fmla="*/ 1699260 h 1790700"/>
              <a:gd name="connsiteX54" fmla="*/ 251460 w 899160"/>
              <a:gd name="connsiteY54" fmla="*/ 1546860 h 1790700"/>
              <a:gd name="connsiteX55" fmla="*/ 228600 w 899160"/>
              <a:gd name="connsiteY55" fmla="*/ 1524000 h 1790700"/>
              <a:gd name="connsiteX56" fmla="*/ 213360 w 899160"/>
              <a:gd name="connsiteY56" fmla="*/ 1501140 h 1790700"/>
              <a:gd name="connsiteX57" fmla="*/ 198120 w 899160"/>
              <a:gd name="connsiteY57" fmla="*/ 1348740 h 1790700"/>
              <a:gd name="connsiteX58" fmla="*/ 190500 w 899160"/>
              <a:gd name="connsiteY58" fmla="*/ 1325880 h 1790700"/>
              <a:gd name="connsiteX59" fmla="*/ 182880 w 899160"/>
              <a:gd name="connsiteY59" fmla="*/ 1181100 h 1790700"/>
              <a:gd name="connsiteX60" fmla="*/ 175260 w 899160"/>
              <a:gd name="connsiteY60" fmla="*/ 1143000 h 1790700"/>
              <a:gd name="connsiteX61" fmla="*/ 190500 w 899160"/>
              <a:gd name="connsiteY61" fmla="*/ 1043940 h 1790700"/>
              <a:gd name="connsiteX62" fmla="*/ 182880 w 899160"/>
              <a:gd name="connsiteY62" fmla="*/ 929640 h 1790700"/>
              <a:gd name="connsiteX63" fmla="*/ 160020 w 899160"/>
              <a:gd name="connsiteY63" fmla="*/ 914400 h 1790700"/>
              <a:gd name="connsiteX64" fmla="*/ 121920 w 899160"/>
              <a:gd name="connsiteY64" fmla="*/ 906780 h 1790700"/>
              <a:gd name="connsiteX65" fmla="*/ 53340 w 899160"/>
              <a:gd name="connsiteY65" fmla="*/ 876300 h 1790700"/>
              <a:gd name="connsiteX66" fmla="*/ 60960 w 899160"/>
              <a:gd name="connsiteY66" fmla="*/ 784860 h 1790700"/>
              <a:gd name="connsiteX67" fmla="*/ 76200 w 899160"/>
              <a:gd name="connsiteY67" fmla="*/ 731520 h 1790700"/>
              <a:gd name="connsiteX68" fmla="*/ 53340 w 899160"/>
              <a:gd name="connsiteY68" fmla="*/ 662940 h 1790700"/>
              <a:gd name="connsiteX69" fmla="*/ 45720 w 899160"/>
              <a:gd name="connsiteY69" fmla="*/ 640080 h 1790700"/>
              <a:gd name="connsiteX70" fmla="*/ 22860 w 899160"/>
              <a:gd name="connsiteY7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55320 w 899160"/>
              <a:gd name="connsiteY44" fmla="*/ 1676400 h 1790700"/>
              <a:gd name="connsiteX45" fmla="*/ 632460 w 899160"/>
              <a:gd name="connsiteY45" fmla="*/ 1729740 h 1790700"/>
              <a:gd name="connsiteX46" fmla="*/ 609600 w 899160"/>
              <a:gd name="connsiteY46" fmla="*/ 1760220 h 1790700"/>
              <a:gd name="connsiteX47" fmla="*/ 563880 w 899160"/>
              <a:gd name="connsiteY47" fmla="*/ 1775460 h 1790700"/>
              <a:gd name="connsiteX48" fmla="*/ 495300 w 899160"/>
              <a:gd name="connsiteY48" fmla="*/ 1790700 h 1790700"/>
              <a:gd name="connsiteX49" fmla="*/ 388620 w 899160"/>
              <a:gd name="connsiteY49" fmla="*/ 1783080 h 1790700"/>
              <a:gd name="connsiteX50" fmla="*/ 342900 w 899160"/>
              <a:gd name="connsiteY50" fmla="*/ 1752600 h 1790700"/>
              <a:gd name="connsiteX51" fmla="*/ 320040 w 899160"/>
              <a:gd name="connsiteY51" fmla="*/ 1737360 h 1790700"/>
              <a:gd name="connsiteX52" fmla="*/ 274320 w 899160"/>
              <a:gd name="connsiteY52" fmla="*/ 1699260 h 1790700"/>
              <a:gd name="connsiteX53" fmla="*/ 251460 w 899160"/>
              <a:gd name="connsiteY53" fmla="*/ 1546860 h 1790700"/>
              <a:gd name="connsiteX54" fmla="*/ 228600 w 899160"/>
              <a:gd name="connsiteY54" fmla="*/ 1524000 h 1790700"/>
              <a:gd name="connsiteX55" fmla="*/ 213360 w 899160"/>
              <a:gd name="connsiteY55" fmla="*/ 1501140 h 1790700"/>
              <a:gd name="connsiteX56" fmla="*/ 198120 w 899160"/>
              <a:gd name="connsiteY56" fmla="*/ 1348740 h 1790700"/>
              <a:gd name="connsiteX57" fmla="*/ 190500 w 899160"/>
              <a:gd name="connsiteY57" fmla="*/ 1325880 h 1790700"/>
              <a:gd name="connsiteX58" fmla="*/ 182880 w 899160"/>
              <a:gd name="connsiteY58" fmla="*/ 1181100 h 1790700"/>
              <a:gd name="connsiteX59" fmla="*/ 175260 w 899160"/>
              <a:gd name="connsiteY59" fmla="*/ 1143000 h 1790700"/>
              <a:gd name="connsiteX60" fmla="*/ 190500 w 899160"/>
              <a:gd name="connsiteY60" fmla="*/ 1043940 h 1790700"/>
              <a:gd name="connsiteX61" fmla="*/ 182880 w 899160"/>
              <a:gd name="connsiteY61" fmla="*/ 929640 h 1790700"/>
              <a:gd name="connsiteX62" fmla="*/ 160020 w 899160"/>
              <a:gd name="connsiteY62" fmla="*/ 914400 h 1790700"/>
              <a:gd name="connsiteX63" fmla="*/ 121920 w 899160"/>
              <a:gd name="connsiteY63" fmla="*/ 906780 h 1790700"/>
              <a:gd name="connsiteX64" fmla="*/ 53340 w 899160"/>
              <a:gd name="connsiteY64" fmla="*/ 876300 h 1790700"/>
              <a:gd name="connsiteX65" fmla="*/ 60960 w 899160"/>
              <a:gd name="connsiteY65" fmla="*/ 784860 h 1790700"/>
              <a:gd name="connsiteX66" fmla="*/ 76200 w 899160"/>
              <a:gd name="connsiteY66" fmla="*/ 731520 h 1790700"/>
              <a:gd name="connsiteX67" fmla="*/ 53340 w 899160"/>
              <a:gd name="connsiteY67" fmla="*/ 662940 h 1790700"/>
              <a:gd name="connsiteX68" fmla="*/ 45720 w 899160"/>
              <a:gd name="connsiteY68" fmla="*/ 640080 h 1790700"/>
              <a:gd name="connsiteX69" fmla="*/ 22860 w 899160"/>
              <a:gd name="connsiteY6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32460 w 899160"/>
              <a:gd name="connsiteY44" fmla="*/ 1729740 h 1790700"/>
              <a:gd name="connsiteX45" fmla="*/ 609600 w 899160"/>
              <a:gd name="connsiteY45" fmla="*/ 1760220 h 1790700"/>
              <a:gd name="connsiteX46" fmla="*/ 563880 w 899160"/>
              <a:gd name="connsiteY46" fmla="*/ 1775460 h 1790700"/>
              <a:gd name="connsiteX47" fmla="*/ 495300 w 899160"/>
              <a:gd name="connsiteY47" fmla="*/ 1790700 h 1790700"/>
              <a:gd name="connsiteX48" fmla="*/ 388620 w 899160"/>
              <a:gd name="connsiteY48" fmla="*/ 1783080 h 1790700"/>
              <a:gd name="connsiteX49" fmla="*/ 342900 w 899160"/>
              <a:gd name="connsiteY49" fmla="*/ 1752600 h 1790700"/>
              <a:gd name="connsiteX50" fmla="*/ 320040 w 899160"/>
              <a:gd name="connsiteY50" fmla="*/ 1737360 h 1790700"/>
              <a:gd name="connsiteX51" fmla="*/ 274320 w 899160"/>
              <a:gd name="connsiteY51" fmla="*/ 1699260 h 1790700"/>
              <a:gd name="connsiteX52" fmla="*/ 251460 w 899160"/>
              <a:gd name="connsiteY52" fmla="*/ 1546860 h 1790700"/>
              <a:gd name="connsiteX53" fmla="*/ 228600 w 899160"/>
              <a:gd name="connsiteY53" fmla="*/ 1524000 h 1790700"/>
              <a:gd name="connsiteX54" fmla="*/ 213360 w 899160"/>
              <a:gd name="connsiteY54" fmla="*/ 1501140 h 1790700"/>
              <a:gd name="connsiteX55" fmla="*/ 198120 w 899160"/>
              <a:gd name="connsiteY55" fmla="*/ 1348740 h 1790700"/>
              <a:gd name="connsiteX56" fmla="*/ 190500 w 899160"/>
              <a:gd name="connsiteY56" fmla="*/ 1325880 h 1790700"/>
              <a:gd name="connsiteX57" fmla="*/ 182880 w 899160"/>
              <a:gd name="connsiteY57" fmla="*/ 1181100 h 1790700"/>
              <a:gd name="connsiteX58" fmla="*/ 175260 w 899160"/>
              <a:gd name="connsiteY58" fmla="*/ 1143000 h 1790700"/>
              <a:gd name="connsiteX59" fmla="*/ 190500 w 899160"/>
              <a:gd name="connsiteY59" fmla="*/ 1043940 h 1790700"/>
              <a:gd name="connsiteX60" fmla="*/ 182880 w 899160"/>
              <a:gd name="connsiteY60" fmla="*/ 929640 h 1790700"/>
              <a:gd name="connsiteX61" fmla="*/ 160020 w 899160"/>
              <a:gd name="connsiteY61" fmla="*/ 914400 h 1790700"/>
              <a:gd name="connsiteX62" fmla="*/ 121920 w 899160"/>
              <a:gd name="connsiteY62" fmla="*/ 906780 h 1790700"/>
              <a:gd name="connsiteX63" fmla="*/ 53340 w 899160"/>
              <a:gd name="connsiteY63" fmla="*/ 876300 h 1790700"/>
              <a:gd name="connsiteX64" fmla="*/ 60960 w 899160"/>
              <a:gd name="connsiteY64" fmla="*/ 784860 h 1790700"/>
              <a:gd name="connsiteX65" fmla="*/ 76200 w 899160"/>
              <a:gd name="connsiteY65" fmla="*/ 731520 h 1790700"/>
              <a:gd name="connsiteX66" fmla="*/ 53340 w 899160"/>
              <a:gd name="connsiteY66" fmla="*/ 662940 h 1790700"/>
              <a:gd name="connsiteX67" fmla="*/ 45720 w 899160"/>
              <a:gd name="connsiteY67" fmla="*/ 640080 h 1790700"/>
              <a:gd name="connsiteX68" fmla="*/ 22860 w 899160"/>
              <a:gd name="connsiteY6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685800 w 899160"/>
              <a:gd name="connsiteY41" fmla="*/ 1569720 h 1790700"/>
              <a:gd name="connsiteX42" fmla="*/ 678180 w 899160"/>
              <a:gd name="connsiteY42" fmla="*/ 1592580 h 1790700"/>
              <a:gd name="connsiteX43" fmla="*/ 632460 w 899160"/>
              <a:gd name="connsiteY43" fmla="*/ 1729740 h 1790700"/>
              <a:gd name="connsiteX44" fmla="*/ 609600 w 899160"/>
              <a:gd name="connsiteY44" fmla="*/ 1760220 h 1790700"/>
              <a:gd name="connsiteX45" fmla="*/ 563880 w 899160"/>
              <a:gd name="connsiteY45" fmla="*/ 1775460 h 1790700"/>
              <a:gd name="connsiteX46" fmla="*/ 495300 w 899160"/>
              <a:gd name="connsiteY46" fmla="*/ 1790700 h 1790700"/>
              <a:gd name="connsiteX47" fmla="*/ 388620 w 899160"/>
              <a:gd name="connsiteY47" fmla="*/ 1783080 h 1790700"/>
              <a:gd name="connsiteX48" fmla="*/ 342900 w 899160"/>
              <a:gd name="connsiteY48" fmla="*/ 1752600 h 1790700"/>
              <a:gd name="connsiteX49" fmla="*/ 320040 w 899160"/>
              <a:gd name="connsiteY49" fmla="*/ 1737360 h 1790700"/>
              <a:gd name="connsiteX50" fmla="*/ 274320 w 899160"/>
              <a:gd name="connsiteY50" fmla="*/ 1699260 h 1790700"/>
              <a:gd name="connsiteX51" fmla="*/ 251460 w 899160"/>
              <a:gd name="connsiteY51" fmla="*/ 1546860 h 1790700"/>
              <a:gd name="connsiteX52" fmla="*/ 228600 w 899160"/>
              <a:gd name="connsiteY52" fmla="*/ 1524000 h 1790700"/>
              <a:gd name="connsiteX53" fmla="*/ 213360 w 899160"/>
              <a:gd name="connsiteY53" fmla="*/ 1501140 h 1790700"/>
              <a:gd name="connsiteX54" fmla="*/ 198120 w 899160"/>
              <a:gd name="connsiteY54" fmla="*/ 1348740 h 1790700"/>
              <a:gd name="connsiteX55" fmla="*/ 190500 w 899160"/>
              <a:gd name="connsiteY55" fmla="*/ 1325880 h 1790700"/>
              <a:gd name="connsiteX56" fmla="*/ 182880 w 899160"/>
              <a:gd name="connsiteY56" fmla="*/ 1181100 h 1790700"/>
              <a:gd name="connsiteX57" fmla="*/ 175260 w 899160"/>
              <a:gd name="connsiteY57" fmla="*/ 1143000 h 1790700"/>
              <a:gd name="connsiteX58" fmla="*/ 190500 w 899160"/>
              <a:gd name="connsiteY58" fmla="*/ 1043940 h 1790700"/>
              <a:gd name="connsiteX59" fmla="*/ 182880 w 899160"/>
              <a:gd name="connsiteY59" fmla="*/ 929640 h 1790700"/>
              <a:gd name="connsiteX60" fmla="*/ 160020 w 899160"/>
              <a:gd name="connsiteY60" fmla="*/ 914400 h 1790700"/>
              <a:gd name="connsiteX61" fmla="*/ 121920 w 899160"/>
              <a:gd name="connsiteY61" fmla="*/ 906780 h 1790700"/>
              <a:gd name="connsiteX62" fmla="*/ 53340 w 899160"/>
              <a:gd name="connsiteY62" fmla="*/ 876300 h 1790700"/>
              <a:gd name="connsiteX63" fmla="*/ 60960 w 899160"/>
              <a:gd name="connsiteY63" fmla="*/ 784860 h 1790700"/>
              <a:gd name="connsiteX64" fmla="*/ 76200 w 899160"/>
              <a:gd name="connsiteY64" fmla="*/ 731520 h 1790700"/>
              <a:gd name="connsiteX65" fmla="*/ 53340 w 899160"/>
              <a:gd name="connsiteY65" fmla="*/ 662940 h 1790700"/>
              <a:gd name="connsiteX66" fmla="*/ 45720 w 899160"/>
              <a:gd name="connsiteY66" fmla="*/ 640080 h 1790700"/>
              <a:gd name="connsiteX67" fmla="*/ 22860 w 899160"/>
              <a:gd name="connsiteY6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769620 w 899160"/>
              <a:gd name="connsiteY38" fmla="*/ 1386840 h 1790700"/>
              <a:gd name="connsiteX39" fmla="*/ 754380 w 899160"/>
              <a:gd name="connsiteY39" fmla="*/ 1409700 h 1790700"/>
              <a:gd name="connsiteX40" fmla="*/ 685800 w 899160"/>
              <a:gd name="connsiteY40" fmla="*/ 1569720 h 1790700"/>
              <a:gd name="connsiteX41" fmla="*/ 678180 w 899160"/>
              <a:gd name="connsiteY41" fmla="*/ 1592580 h 1790700"/>
              <a:gd name="connsiteX42" fmla="*/ 632460 w 899160"/>
              <a:gd name="connsiteY42" fmla="*/ 1729740 h 1790700"/>
              <a:gd name="connsiteX43" fmla="*/ 609600 w 899160"/>
              <a:gd name="connsiteY43" fmla="*/ 1760220 h 1790700"/>
              <a:gd name="connsiteX44" fmla="*/ 563880 w 899160"/>
              <a:gd name="connsiteY44" fmla="*/ 1775460 h 1790700"/>
              <a:gd name="connsiteX45" fmla="*/ 495300 w 899160"/>
              <a:gd name="connsiteY45" fmla="*/ 1790700 h 1790700"/>
              <a:gd name="connsiteX46" fmla="*/ 388620 w 899160"/>
              <a:gd name="connsiteY46" fmla="*/ 1783080 h 1790700"/>
              <a:gd name="connsiteX47" fmla="*/ 342900 w 899160"/>
              <a:gd name="connsiteY47" fmla="*/ 1752600 h 1790700"/>
              <a:gd name="connsiteX48" fmla="*/ 320040 w 899160"/>
              <a:gd name="connsiteY48" fmla="*/ 1737360 h 1790700"/>
              <a:gd name="connsiteX49" fmla="*/ 274320 w 899160"/>
              <a:gd name="connsiteY49" fmla="*/ 1699260 h 1790700"/>
              <a:gd name="connsiteX50" fmla="*/ 251460 w 899160"/>
              <a:gd name="connsiteY50" fmla="*/ 1546860 h 1790700"/>
              <a:gd name="connsiteX51" fmla="*/ 228600 w 899160"/>
              <a:gd name="connsiteY51" fmla="*/ 1524000 h 1790700"/>
              <a:gd name="connsiteX52" fmla="*/ 213360 w 899160"/>
              <a:gd name="connsiteY52" fmla="*/ 1501140 h 1790700"/>
              <a:gd name="connsiteX53" fmla="*/ 198120 w 899160"/>
              <a:gd name="connsiteY53" fmla="*/ 1348740 h 1790700"/>
              <a:gd name="connsiteX54" fmla="*/ 190500 w 899160"/>
              <a:gd name="connsiteY54" fmla="*/ 1325880 h 1790700"/>
              <a:gd name="connsiteX55" fmla="*/ 182880 w 899160"/>
              <a:gd name="connsiteY55" fmla="*/ 1181100 h 1790700"/>
              <a:gd name="connsiteX56" fmla="*/ 175260 w 899160"/>
              <a:gd name="connsiteY56" fmla="*/ 1143000 h 1790700"/>
              <a:gd name="connsiteX57" fmla="*/ 190500 w 899160"/>
              <a:gd name="connsiteY57" fmla="*/ 1043940 h 1790700"/>
              <a:gd name="connsiteX58" fmla="*/ 182880 w 899160"/>
              <a:gd name="connsiteY58" fmla="*/ 929640 h 1790700"/>
              <a:gd name="connsiteX59" fmla="*/ 160020 w 899160"/>
              <a:gd name="connsiteY59" fmla="*/ 914400 h 1790700"/>
              <a:gd name="connsiteX60" fmla="*/ 121920 w 899160"/>
              <a:gd name="connsiteY60" fmla="*/ 906780 h 1790700"/>
              <a:gd name="connsiteX61" fmla="*/ 53340 w 899160"/>
              <a:gd name="connsiteY61" fmla="*/ 876300 h 1790700"/>
              <a:gd name="connsiteX62" fmla="*/ 60960 w 899160"/>
              <a:gd name="connsiteY62" fmla="*/ 784860 h 1790700"/>
              <a:gd name="connsiteX63" fmla="*/ 76200 w 899160"/>
              <a:gd name="connsiteY63" fmla="*/ 731520 h 1790700"/>
              <a:gd name="connsiteX64" fmla="*/ 53340 w 899160"/>
              <a:gd name="connsiteY64" fmla="*/ 662940 h 1790700"/>
              <a:gd name="connsiteX65" fmla="*/ 45720 w 899160"/>
              <a:gd name="connsiteY65" fmla="*/ 640080 h 1790700"/>
              <a:gd name="connsiteX66" fmla="*/ 22860 w 899160"/>
              <a:gd name="connsiteY6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769620 w 899160"/>
              <a:gd name="connsiteY37" fmla="*/ 1386840 h 1790700"/>
              <a:gd name="connsiteX38" fmla="*/ 754380 w 899160"/>
              <a:gd name="connsiteY38" fmla="*/ 1409700 h 1790700"/>
              <a:gd name="connsiteX39" fmla="*/ 685800 w 899160"/>
              <a:gd name="connsiteY39" fmla="*/ 1569720 h 1790700"/>
              <a:gd name="connsiteX40" fmla="*/ 678180 w 899160"/>
              <a:gd name="connsiteY40" fmla="*/ 1592580 h 1790700"/>
              <a:gd name="connsiteX41" fmla="*/ 632460 w 899160"/>
              <a:gd name="connsiteY41" fmla="*/ 1729740 h 1790700"/>
              <a:gd name="connsiteX42" fmla="*/ 609600 w 899160"/>
              <a:gd name="connsiteY42" fmla="*/ 1760220 h 1790700"/>
              <a:gd name="connsiteX43" fmla="*/ 563880 w 899160"/>
              <a:gd name="connsiteY43" fmla="*/ 1775460 h 1790700"/>
              <a:gd name="connsiteX44" fmla="*/ 495300 w 899160"/>
              <a:gd name="connsiteY44" fmla="*/ 1790700 h 1790700"/>
              <a:gd name="connsiteX45" fmla="*/ 388620 w 899160"/>
              <a:gd name="connsiteY45" fmla="*/ 1783080 h 1790700"/>
              <a:gd name="connsiteX46" fmla="*/ 342900 w 899160"/>
              <a:gd name="connsiteY46" fmla="*/ 1752600 h 1790700"/>
              <a:gd name="connsiteX47" fmla="*/ 320040 w 899160"/>
              <a:gd name="connsiteY47" fmla="*/ 1737360 h 1790700"/>
              <a:gd name="connsiteX48" fmla="*/ 274320 w 899160"/>
              <a:gd name="connsiteY48" fmla="*/ 1699260 h 1790700"/>
              <a:gd name="connsiteX49" fmla="*/ 251460 w 899160"/>
              <a:gd name="connsiteY49" fmla="*/ 1546860 h 1790700"/>
              <a:gd name="connsiteX50" fmla="*/ 228600 w 899160"/>
              <a:gd name="connsiteY50" fmla="*/ 1524000 h 1790700"/>
              <a:gd name="connsiteX51" fmla="*/ 213360 w 899160"/>
              <a:gd name="connsiteY51" fmla="*/ 1501140 h 1790700"/>
              <a:gd name="connsiteX52" fmla="*/ 198120 w 899160"/>
              <a:gd name="connsiteY52" fmla="*/ 1348740 h 1790700"/>
              <a:gd name="connsiteX53" fmla="*/ 190500 w 899160"/>
              <a:gd name="connsiteY53" fmla="*/ 1325880 h 1790700"/>
              <a:gd name="connsiteX54" fmla="*/ 182880 w 899160"/>
              <a:gd name="connsiteY54" fmla="*/ 1181100 h 1790700"/>
              <a:gd name="connsiteX55" fmla="*/ 175260 w 899160"/>
              <a:gd name="connsiteY55" fmla="*/ 1143000 h 1790700"/>
              <a:gd name="connsiteX56" fmla="*/ 190500 w 899160"/>
              <a:gd name="connsiteY56" fmla="*/ 1043940 h 1790700"/>
              <a:gd name="connsiteX57" fmla="*/ 182880 w 899160"/>
              <a:gd name="connsiteY57" fmla="*/ 929640 h 1790700"/>
              <a:gd name="connsiteX58" fmla="*/ 160020 w 899160"/>
              <a:gd name="connsiteY58" fmla="*/ 914400 h 1790700"/>
              <a:gd name="connsiteX59" fmla="*/ 121920 w 899160"/>
              <a:gd name="connsiteY59" fmla="*/ 906780 h 1790700"/>
              <a:gd name="connsiteX60" fmla="*/ 53340 w 899160"/>
              <a:gd name="connsiteY60" fmla="*/ 876300 h 1790700"/>
              <a:gd name="connsiteX61" fmla="*/ 60960 w 899160"/>
              <a:gd name="connsiteY61" fmla="*/ 784860 h 1790700"/>
              <a:gd name="connsiteX62" fmla="*/ 76200 w 899160"/>
              <a:gd name="connsiteY62" fmla="*/ 731520 h 1790700"/>
              <a:gd name="connsiteX63" fmla="*/ 53340 w 899160"/>
              <a:gd name="connsiteY63" fmla="*/ 662940 h 1790700"/>
              <a:gd name="connsiteX64" fmla="*/ 45720 w 899160"/>
              <a:gd name="connsiteY64" fmla="*/ 640080 h 1790700"/>
              <a:gd name="connsiteX65" fmla="*/ 22860 w 899160"/>
              <a:gd name="connsiteY6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754380 w 899160"/>
              <a:gd name="connsiteY37" fmla="*/ 1409700 h 1790700"/>
              <a:gd name="connsiteX38" fmla="*/ 685800 w 899160"/>
              <a:gd name="connsiteY38" fmla="*/ 1569720 h 1790700"/>
              <a:gd name="connsiteX39" fmla="*/ 678180 w 899160"/>
              <a:gd name="connsiteY39" fmla="*/ 1592580 h 1790700"/>
              <a:gd name="connsiteX40" fmla="*/ 632460 w 899160"/>
              <a:gd name="connsiteY40" fmla="*/ 1729740 h 1790700"/>
              <a:gd name="connsiteX41" fmla="*/ 609600 w 899160"/>
              <a:gd name="connsiteY41" fmla="*/ 1760220 h 1790700"/>
              <a:gd name="connsiteX42" fmla="*/ 563880 w 899160"/>
              <a:gd name="connsiteY42" fmla="*/ 1775460 h 1790700"/>
              <a:gd name="connsiteX43" fmla="*/ 495300 w 899160"/>
              <a:gd name="connsiteY43" fmla="*/ 1790700 h 1790700"/>
              <a:gd name="connsiteX44" fmla="*/ 388620 w 899160"/>
              <a:gd name="connsiteY44" fmla="*/ 1783080 h 1790700"/>
              <a:gd name="connsiteX45" fmla="*/ 342900 w 899160"/>
              <a:gd name="connsiteY45" fmla="*/ 1752600 h 1790700"/>
              <a:gd name="connsiteX46" fmla="*/ 320040 w 899160"/>
              <a:gd name="connsiteY46" fmla="*/ 1737360 h 1790700"/>
              <a:gd name="connsiteX47" fmla="*/ 274320 w 899160"/>
              <a:gd name="connsiteY47" fmla="*/ 1699260 h 1790700"/>
              <a:gd name="connsiteX48" fmla="*/ 251460 w 899160"/>
              <a:gd name="connsiteY48" fmla="*/ 1546860 h 1790700"/>
              <a:gd name="connsiteX49" fmla="*/ 228600 w 899160"/>
              <a:gd name="connsiteY49" fmla="*/ 1524000 h 1790700"/>
              <a:gd name="connsiteX50" fmla="*/ 213360 w 899160"/>
              <a:gd name="connsiteY50" fmla="*/ 1501140 h 1790700"/>
              <a:gd name="connsiteX51" fmla="*/ 198120 w 899160"/>
              <a:gd name="connsiteY51" fmla="*/ 1348740 h 1790700"/>
              <a:gd name="connsiteX52" fmla="*/ 190500 w 899160"/>
              <a:gd name="connsiteY52" fmla="*/ 1325880 h 1790700"/>
              <a:gd name="connsiteX53" fmla="*/ 182880 w 899160"/>
              <a:gd name="connsiteY53" fmla="*/ 1181100 h 1790700"/>
              <a:gd name="connsiteX54" fmla="*/ 175260 w 899160"/>
              <a:gd name="connsiteY54" fmla="*/ 1143000 h 1790700"/>
              <a:gd name="connsiteX55" fmla="*/ 190500 w 899160"/>
              <a:gd name="connsiteY55" fmla="*/ 1043940 h 1790700"/>
              <a:gd name="connsiteX56" fmla="*/ 182880 w 899160"/>
              <a:gd name="connsiteY56" fmla="*/ 929640 h 1790700"/>
              <a:gd name="connsiteX57" fmla="*/ 160020 w 899160"/>
              <a:gd name="connsiteY57" fmla="*/ 914400 h 1790700"/>
              <a:gd name="connsiteX58" fmla="*/ 121920 w 899160"/>
              <a:gd name="connsiteY58" fmla="*/ 906780 h 1790700"/>
              <a:gd name="connsiteX59" fmla="*/ 53340 w 899160"/>
              <a:gd name="connsiteY59" fmla="*/ 876300 h 1790700"/>
              <a:gd name="connsiteX60" fmla="*/ 60960 w 899160"/>
              <a:gd name="connsiteY60" fmla="*/ 784860 h 1790700"/>
              <a:gd name="connsiteX61" fmla="*/ 76200 w 899160"/>
              <a:gd name="connsiteY61" fmla="*/ 731520 h 1790700"/>
              <a:gd name="connsiteX62" fmla="*/ 53340 w 899160"/>
              <a:gd name="connsiteY62" fmla="*/ 662940 h 1790700"/>
              <a:gd name="connsiteX63" fmla="*/ 45720 w 899160"/>
              <a:gd name="connsiteY63" fmla="*/ 640080 h 1790700"/>
              <a:gd name="connsiteX64" fmla="*/ 22860 w 899160"/>
              <a:gd name="connsiteY6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685800 w 899160"/>
              <a:gd name="connsiteY37" fmla="*/ 1569720 h 1790700"/>
              <a:gd name="connsiteX38" fmla="*/ 678180 w 899160"/>
              <a:gd name="connsiteY38" fmla="*/ 1592580 h 1790700"/>
              <a:gd name="connsiteX39" fmla="*/ 632460 w 899160"/>
              <a:gd name="connsiteY39" fmla="*/ 1729740 h 1790700"/>
              <a:gd name="connsiteX40" fmla="*/ 609600 w 899160"/>
              <a:gd name="connsiteY40" fmla="*/ 1760220 h 1790700"/>
              <a:gd name="connsiteX41" fmla="*/ 563880 w 899160"/>
              <a:gd name="connsiteY41" fmla="*/ 1775460 h 1790700"/>
              <a:gd name="connsiteX42" fmla="*/ 495300 w 899160"/>
              <a:gd name="connsiteY42" fmla="*/ 1790700 h 1790700"/>
              <a:gd name="connsiteX43" fmla="*/ 388620 w 899160"/>
              <a:gd name="connsiteY43" fmla="*/ 1783080 h 1790700"/>
              <a:gd name="connsiteX44" fmla="*/ 342900 w 899160"/>
              <a:gd name="connsiteY44" fmla="*/ 1752600 h 1790700"/>
              <a:gd name="connsiteX45" fmla="*/ 320040 w 899160"/>
              <a:gd name="connsiteY45" fmla="*/ 1737360 h 1790700"/>
              <a:gd name="connsiteX46" fmla="*/ 274320 w 899160"/>
              <a:gd name="connsiteY46" fmla="*/ 1699260 h 1790700"/>
              <a:gd name="connsiteX47" fmla="*/ 251460 w 899160"/>
              <a:gd name="connsiteY47" fmla="*/ 1546860 h 1790700"/>
              <a:gd name="connsiteX48" fmla="*/ 228600 w 899160"/>
              <a:gd name="connsiteY48" fmla="*/ 1524000 h 1790700"/>
              <a:gd name="connsiteX49" fmla="*/ 213360 w 899160"/>
              <a:gd name="connsiteY49" fmla="*/ 1501140 h 1790700"/>
              <a:gd name="connsiteX50" fmla="*/ 198120 w 899160"/>
              <a:gd name="connsiteY50" fmla="*/ 1348740 h 1790700"/>
              <a:gd name="connsiteX51" fmla="*/ 190500 w 899160"/>
              <a:gd name="connsiteY51" fmla="*/ 1325880 h 1790700"/>
              <a:gd name="connsiteX52" fmla="*/ 182880 w 899160"/>
              <a:gd name="connsiteY52" fmla="*/ 1181100 h 1790700"/>
              <a:gd name="connsiteX53" fmla="*/ 175260 w 899160"/>
              <a:gd name="connsiteY53" fmla="*/ 1143000 h 1790700"/>
              <a:gd name="connsiteX54" fmla="*/ 190500 w 899160"/>
              <a:gd name="connsiteY54" fmla="*/ 1043940 h 1790700"/>
              <a:gd name="connsiteX55" fmla="*/ 182880 w 899160"/>
              <a:gd name="connsiteY55" fmla="*/ 929640 h 1790700"/>
              <a:gd name="connsiteX56" fmla="*/ 160020 w 899160"/>
              <a:gd name="connsiteY56" fmla="*/ 914400 h 1790700"/>
              <a:gd name="connsiteX57" fmla="*/ 121920 w 899160"/>
              <a:gd name="connsiteY57" fmla="*/ 906780 h 1790700"/>
              <a:gd name="connsiteX58" fmla="*/ 53340 w 899160"/>
              <a:gd name="connsiteY58" fmla="*/ 876300 h 1790700"/>
              <a:gd name="connsiteX59" fmla="*/ 60960 w 899160"/>
              <a:gd name="connsiteY59" fmla="*/ 784860 h 1790700"/>
              <a:gd name="connsiteX60" fmla="*/ 76200 w 899160"/>
              <a:gd name="connsiteY60" fmla="*/ 731520 h 1790700"/>
              <a:gd name="connsiteX61" fmla="*/ 53340 w 899160"/>
              <a:gd name="connsiteY61" fmla="*/ 662940 h 1790700"/>
              <a:gd name="connsiteX62" fmla="*/ 45720 w 899160"/>
              <a:gd name="connsiteY62" fmla="*/ 640080 h 1790700"/>
              <a:gd name="connsiteX63" fmla="*/ 22860 w 899160"/>
              <a:gd name="connsiteY6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78180 w 899160"/>
              <a:gd name="connsiteY37" fmla="*/ 1592580 h 1790700"/>
              <a:gd name="connsiteX38" fmla="*/ 632460 w 899160"/>
              <a:gd name="connsiteY38" fmla="*/ 1729740 h 1790700"/>
              <a:gd name="connsiteX39" fmla="*/ 609600 w 899160"/>
              <a:gd name="connsiteY39" fmla="*/ 1760220 h 1790700"/>
              <a:gd name="connsiteX40" fmla="*/ 563880 w 899160"/>
              <a:gd name="connsiteY40" fmla="*/ 1775460 h 1790700"/>
              <a:gd name="connsiteX41" fmla="*/ 495300 w 899160"/>
              <a:gd name="connsiteY41" fmla="*/ 1790700 h 1790700"/>
              <a:gd name="connsiteX42" fmla="*/ 388620 w 899160"/>
              <a:gd name="connsiteY42" fmla="*/ 1783080 h 1790700"/>
              <a:gd name="connsiteX43" fmla="*/ 342900 w 899160"/>
              <a:gd name="connsiteY43" fmla="*/ 1752600 h 1790700"/>
              <a:gd name="connsiteX44" fmla="*/ 320040 w 899160"/>
              <a:gd name="connsiteY44" fmla="*/ 1737360 h 1790700"/>
              <a:gd name="connsiteX45" fmla="*/ 274320 w 899160"/>
              <a:gd name="connsiteY45" fmla="*/ 1699260 h 1790700"/>
              <a:gd name="connsiteX46" fmla="*/ 251460 w 899160"/>
              <a:gd name="connsiteY46" fmla="*/ 1546860 h 1790700"/>
              <a:gd name="connsiteX47" fmla="*/ 228600 w 899160"/>
              <a:gd name="connsiteY47" fmla="*/ 1524000 h 1790700"/>
              <a:gd name="connsiteX48" fmla="*/ 213360 w 899160"/>
              <a:gd name="connsiteY48" fmla="*/ 1501140 h 1790700"/>
              <a:gd name="connsiteX49" fmla="*/ 198120 w 899160"/>
              <a:gd name="connsiteY49" fmla="*/ 1348740 h 1790700"/>
              <a:gd name="connsiteX50" fmla="*/ 190500 w 899160"/>
              <a:gd name="connsiteY50" fmla="*/ 1325880 h 1790700"/>
              <a:gd name="connsiteX51" fmla="*/ 182880 w 899160"/>
              <a:gd name="connsiteY51" fmla="*/ 1181100 h 1790700"/>
              <a:gd name="connsiteX52" fmla="*/ 175260 w 899160"/>
              <a:gd name="connsiteY52" fmla="*/ 1143000 h 1790700"/>
              <a:gd name="connsiteX53" fmla="*/ 190500 w 899160"/>
              <a:gd name="connsiteY53" fmla="*/ 1043940 h 1790700"/>
              <a:gd name="connsiteX54" fmla="*/ 182880 w 899160"/>
              <a:gd name="connsiteY54" fmla="*/ 929640 h 1790700"/>
              <a:gd name="connsiteX55" fmla="*/ 160020 w 899160"/>
              <a:gd name="connsiteY55" fmla="*/ 914400 h 1790700"/>
              <a:gd name="connsiteX56" fmla="*/ 121920 w 899160"/>
              <a:gd name="connsiteY56" fmla="*/ 906780 h 1790700"/>
              <a:gd name="connsiteX57" fmla="*/ 53340 w 899160"/>
              <a:gd name="connsiteY57" fmla="*/ 876300 h 1790700"/>
              <a:gd name="connsiteX58" fmla="*/ 60960 w 899160"/>
              <a:gd name="connsiteY58" fmla="*/ 784860 h 1790700"/>
              <a:gd name="connsiteX59" fmla="*/ 76200 w 899160"/>
              <a:gd name="connsiteY59" fmla="*/ 731520 h 1790700"/>
              <a:gd name="connsiteX60" fmla="*/ 53340 w 899160"/>
              <a:gd name="connsiteY60" fmla="*/ 662940 h 1790700"/>
              <a:gd name="connsiteX61" fmla="*/ 45720 w 899160"/>
              <a:gd name="connsiteY61" fmla="*/ 640080 h 1790700"/>
              <a:gd name="connsiteX62" fmla="*/ 22860 w 899160"/>
              <a:gd name="connsiteY6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563880 w 899160"/>
              <a:gd name="connsiteY39" fmla="*/ 1775460 h 1790700"/>
              <a:gd name="connsiteX40" fmla="*/ 495300 w 899160"/>
              <a:gd name="connsiteY40" fmla="*/ 1790700 h 1790700"/>
              <a:gd name="connsiteX41" fmla="*/ 388620 w 899160"/>
              <a:gd name="connsiteY41" fmla="*/ 1783080 h 1790700"/>
              <a:gd name="connsiteX42" fmla="*/ 342900 w 899160"/>
              <a:gd name="connsiteY42" fmla="*/ 1752600 h 1790700"/>
              <a:gd name="connsiteX43" fmla="*/ 320040 w 899160"/>
              <a:gd name="connsiteY43" fmla="*/ 1737360 h 1790700"/>
              <a:gd name="connsiteX44" fmla="*/ 274320 w 899160"/>
              <a:gd name="connsiteY44" fmla="*/ 1699260 h 1790700"/>
              <a:gd name="connsiteX45" fmla="*/ 251460 w 899160"/>
              <a:gd name="connsiteY45" fmla="*/ 1546860 h 1790700"/>
              <a:gd name="connsiteX46" fmla="*/ 228600 w 899160"/>
              <a:gd name="connsiteY46" fmla="*/ 1524000 h 1790700"/>
              <a:gd name="connsiteX47" fmla="*/ 213360 w 899160"/>
              <a:gd name="connsiteY47" fmla="*/ 1501140 h 1790700"/>
              <a:gd name="connsiteX48" fmla="*/ 198120 w 899160"/>
              <a:gd name="connsiteY48" fmla="*/ 1348740 h 1790700"/>
              <a:gd name="connsiteX49" fmla="*/ 190500 w 899160"/>
              <a:gd name="connsiteY49" fmla="*/ 1325880 h 1790700"/>
              <a:gd name="connsiteX50" fmla="*/ 182880 w 899160"/>
              <a:gd name="connsiteY50" fmla="*/ 1181100 h 1790700"/>
              <a:gd name="connsiteX51" fmla="*/ 175260 w 899160"/>
              <a:gd name="connsiteY51" fmla="*/ 1143000 h 1790700"/>
              <a:gd name="connsiteX52" fmla="*/ 190500 w 899160"/>
              <a:gd name="connsiteY52" fmla="*/ 1043940 h 1790700"/>
              <a:gd name="connsiteX53" fmla="*/ 182880 w 899160"/>
              <a:gd name="connsiteY53" fmla="*/ 929640 h 1790700"/>
              <a:gd name="connsiteX54" fmla="*/ 160020 w 899160"/>
              <a:gd name="connsiteY54" fmla="*/ 914400 h 1790700"/>
              <a:gd name="connsiteX55" fmla="*/ 121920 w 899160"/>
              <a:gd name="connsiteY55" fmla="*/ 906780 h 1790700"/>
              <a:gd name="connsiteX56" fmla="*/ 53340 w 899160"/>
              <a:gd name="connsiteY56" fmla="*/ 876300 h 1790700"/>
              <a:gd name="connsiteX57" fmla="*/ 60960 w 899160"/>
              <a:gd name="connsiteY57" fmla="*/ 784860 h 1790700"/>
              <a:gd name="connsiteX58" fmla="*/ 76200 w 899160"/>
              <a:gd name="connsiteY58" fmla="*/ 731520 h 1790700"/>
              <a:gd name="connsiteX59" fmla="*/ 53340 w 899160"/>
              <a:gd name="connsiteY59" fmla="*/ 662940 h 1790700"/>
              <a:gd name="connsiteX60" fmla="*/ 45720 w 899160"/>
              <a:gd name="connsiteY60" fmla="*/ 640080 h 1790700"/>
              <a:gd name="connsiteX61" fmla="*/ 22860 w 899160"/>
              <a:gd name="connsiteY6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88620 w 899160"/>
              <a:gd name="connsiteY40" fmla="*/ 1783080 h 1790700"/>
              <a:gd name="connsiteX41" fmla="*/ 342900 w 899160"/>
              <a:gd name="connsiteY41" fmla="*/ 1752600 h 1790700"/>
              <a:gd name="connsiteX42" fmla="*/ 320040 w 899160"/>
              <a:gd name="connsiteY42" fmla="*/ 1737360 h 1790700"/>
              <a:gd name="connsiteX43" fmla="*/ 274320 w 899160"/>
              <a:gd name="connsiteY43" fmla="*/ 1699260 h 1790700"/>
              <a:gd name="connsiteX44" fmla="*/ 251460 w 899160"/>
              <a:gd name="connsiteY44" fmla="*/ 1546860 h 1790700"/>
              <a:gd name="connsiteX45" fmla="*/ 228600 w 899160"/>
              <a:gd name="connsiteY45" fmla="*/ 1524000 h 1790700"/>
              <a:gd name="connsiteX46" fmla="*/ 213360 w 899160"/>
              <a:gd name="connsiteY46" fmla="*/ 1501140 h 1790700"/>
              <a:gd name="connsiteX47" fmla="*/ 198120 w 899160"/>
              <a:gd name="connsiteY47" fmla="*/ 1348740 h 1790700"/>
              <a:gd name="connsiteX48" fmla="*/ 190500 w 899160"/>
              <a:gd name="connsiteY48" fmla="*/ 1325880 h 1790700"/>
              <a:gd name="connsiteX49" fmla="*/ 182880 w 899160"/>
              <a:gd name="connsiteY49" fmla="*/ 1181100 h 1790700"/>
              <a:gd name="connsiteX50" fmla="*/ 175260 w 899160"/>
              <a:gd name="connsiteY50" fmla="*/ 1143000 h 1790700"/>
              <a:gd name="connsiteX51" fmla="*/ 190500 w 899160"/>
              <a:gd name="connsiteY51" fmla="*/ 1043940 h 1790700"/>
              <a:gd name="connsiteX52" fmla="*/ 182880 w 899160"/>
              <a:gd name="connsiteY52" fmla="*/ 929640 h 1790700"/>
              <a:gd name="connsiteX53" fmla="*/ 160020 w 899160"/>
              <a:gd name="connsiteY53" fmla="*/ 914400 h 1790700"/>
              <a:gd name="connsiteX54" fmla="*/ 121920 w 899160"/>
              <a:gd name="connsiteY54" fmla="*/ 906780 h 1790700"/>
              <a:gd name="connsiteX55" fmla="*/ 53340 w 899160"/>
              <a:gd name="connsiteY55" fmla="*/ 876300 h 1790700"/>
              <a:gd name="connsiteX56" fmla="*/ 60960 w 899160"/>
              <a:gd name="connsiteY56" fmla="*/ 784860 h 1790700"/>
              <a:gd name="connsiteX57" fmla="*/ 76200 w 899160"/>
              <a:gd name="connsiteY57" fmla="*/ 731520 h 1790700"/>
              <a:gd name="connsiteX58" fmla="*/ 53340 w 899160"/>
              <a:gd name="connsiteY58" fmla="*/ 662940 h 1790700"/>
              <a:gd name="connsiteX59" fmla="*/ 45720 w 899160"/>
              <a:gd name="connsiteY59" fmla="*/ 640080 h 1790700"/>
              <a:gd name="connsiteX60" fmla="*/ 22860 w 899160"/>
              <a:gd name="connsiteY6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74320 w 899160"/>
              <a:gd name="connsiteY42" fmla="*/ 1699260 h 1790700"/>
              <a:gd name="connsiteX43" fmla="*/ 251460 w 899160"/>
              <a:gd name="connsiteY43" fmla="*/ 1546860 h 1790700"/>
              <a:gd name="connsiteX44" fmla="*/ 228600 w 899160"/>
              <a:gd name="connsiteY44" fmla="*/ 1524000 h 1790700"/>
              <a:gd name="connsiteX45" fmla="*/ 213360 w 899160"/>
              <a:gd name="connsiteY45" fmla="*/ 1501140 h 1790700"/>
              <a:gd name="connsiteX46" fmla="*/ 198120 w 899160"/>
              <a:gd name="connsiteY46" fmla="*/ 1348740 h 1790700"/>
              <a:gd name="connsiteX47" fmla="*/ 190500 w 899160"/>
              <a:gd name="connsiteY47" fmla="*/ 1325880 h 1790700"/>
              <a:gd name="connsiteX48" fmla="*/ 182880 w 899160"/>
              <a:gd name="connsiteY48" fmla="*/ 1181100 h 1790700"/>
              <a:gd name="connsiteX49" fmla="*/ 175260 w 899160"/>
              <a:gd name="connsiteY49" fmla="*/ 1143000 h 1790700"/>
              <a:gd name="connsiteX50" fmla="*/ 190500 w 899160"/>
              <a:gd name="connsiteY50" fmla="*/ 1043940 h 1790700"/>
              <a:gd name="connsiteX51" fmla="*/ 182880 w 899160"/>
              <a:gd name="connsiteY51" fmla="*/ 929640 h 1790700"/>
              <a:gd name="connsiteX52" fmla="*/ 160020 w 899160"/>
              <a:gd name="connsiteY52" fmla="*/ 914400 h 1790700"/>
              <a:gd name="connsiteX53" fmla="*/ 121920 w 899160"/>
              <a:gd name="connsiteY53" fmla="*/ 906780 h 1790700"/>
              <a:gd name="connsiteX54" fmla="*/ 53340 w 899160"/>
              <a:gd name="connsiteY54" fmla="*/ 876300 h 1790700"/>
              <a:gd name="connsiteX55" fmla="*/ 60960 w 899160"/>
              <a:gd name="connsiteY55" fmla="*/ 784860 h 1790700"/>
              <a:gd name="connsiteX56" fmla="*/ 76200 w 899160"/>
              <a:gd name="connsiteY56" fmla="*/ 731520 h 1790700"/>
              <a:gd name="connsiteX57" fmla="*/ 53340 w 899160"/>
              <a:gd name="connsiteY57" fmla="*/ 662940 h 1790700"/>
              <a:gd name="connsiteX58" fmla="*/ 45720 w 899160"/>
              <a:gd name="connsiteY58" fmla="*/ 640080 h 1790700"/>
              <a:gd name="connsiteX59" fmla="*/ 22860 w 899160"/>
              <a:gd name="connsiteY5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213360 w 899160"/>
              <a:gd name="connsiteY44" fmla="*/ 1501140 h 1790700"/>
              <a:gd name="connsiteX45" fmla="*/ 198120 w 899160"/>
              <a:gd name="connsiteY45" fmla="*/ 1348740 h 1790700"/>
              <a:gd name="connsiteX46" fmla="*/ 190500 w 899160"/>
              <a:gd name="connsiteY46" fmla="*/ 1325880 h 1790700"/>
              <a:gd name="connsiteX47" fmla="*/ 182880 w 899160"/>
              <a:gd name="connsiteY47" fmla="*/ 1181100 h 1790700"/>
              <a:gd name="connsiteX48" fmla="*/ 175260 w 899160"/>
              <a:gd name="connsiteY48" fmla="*/ 1143000 h 1790700"/>
              <a:gd name="connsiteX49" fmla="*/ 190500 w 899160"/>
              <a:gd name="connsiteY49" fmla="*/ 1043940 h 1790700"/>
              <a:gd name="connsiteX50" fmla="*/ 182880 w 899160"/>
              <a:gd name="connsiteY50" fmla="*/ 929640 h 1790700"/>
              <a:gd name="connsiteX51" fmla="*/ 160020 w 899160"/>
              <a:gd name="connsiteY51" fmla="*/ 914400 h 1790700"/>
              <a:gd name="connsiteX52" fmla="*/ 121920 w 899160"/>
              <a:gd name="connsiteY52" fmla="*/ 906780 h 1790700"/>
              <a:gd name="connsiteX53" fmla="*/ 53340 w 899160"/>
              <a:gd name="connsiteY53" fmla="*/ 876300 h 1790700"/>
              <a:gd name="connsiteX54" fmla="*/ 60960 w 899160"/>
              <a:gd name="connsiteY54" fmla="*/ 784860 h 1790700"/>
              <a:gd name="connsiteX55" fmla="*/ 76200 w 899160"/>
              <a:gd name="connsiteY55" fmla="*/ 731520 h 1790700"/>
              <a:gd name="connsiteX56" fmla="*/ 53340 w 899160"/>
              <a:gd name="connsiteY56" fmla="*/ 662940 h 1790700"/>
              <a:gd name="connsiteX57" fmla="*/ 45720 w 899160"/>
              <a:gd name="connsiteY57" fmla="*/ 640080 h 1790700"/>
              <a:gd name="connsiteX58" fmla="*/ 22860 w 899160"/>
              <a:gd name="connsiteY5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198120 w 899160"/>
              <a:gd name="connsiteY44" fmla="*/ 1348740 h 1790700"/>
              <a:gd name="connsiteX45" fmla="*/ 190500 w 899160"/>
              <a:gd name="connsiteY45" fmla="*/ 1325880 h 1790700"/>
              <a:gd name="connsiteX46" fmla="*/ 182880 w 899160"/>
              <a:gd name="connsiteY46" fmla="*/ 1181100 h 1790700"/>
              <a:gd name="connsiteX47" fmla="*/ 175260 w 899160"/>
              <a:gd name="connsiteY47" fmla="*/ 1143000 h 1790700"/>
              <a:gd name="connsiteX48" fmla="*/ 190500 w 899160"/>
              <a:gd name="connsiteY48" fmla="*/ 1043940 h 1790700"/>
              <a:gd name="connsiteX49" fmla="*/ 182880 w 899160"/>
              <a:gd name="connsiteY49" fmla="*/ 929640 h 1790700"/>
              <a:gd name="connsiteX50" fmla="*/ 160020 w 899160"/>
              <a:gd name="connsiteY50" fmla="*/ 914400 h 1790700"/>
              <a:gd name="connsiteX51" fmla="*/ 121920 w 899160"/>
              <a:gd name="connsiteY51" fmla="*/ 906780 h 1790700"/>
              <a:gd name="connsiteX52" fmla="*/ 53340 w 899160"/>
              <a:gd name="connsiteY52" fmla="*/ 876300 h 1790700"/>
              <a:gd name="connsiteX53" fmla="*/ 60960 w 899160"/>
              <a:gd name="connsiteY53" fmla="*/ 784860 h 1790700"/>
              <a:gd name="connsiteX54" fmla="*/ 76200 w 899160"/>
              <a:gd name="connsiteY54" fmla="*/ 731520 h 1790700"/>
              <a:gd name="connsiteX55" fmla="*/ 53340 w 899160"/>
              <a:gd name="connsiteY55" fmla="*/ 662940 h 1790700"/>
              <a:gd name="connsiteX56" fmla="*/ 45720 w 899160"/>
              <a:gd name="connsiteY56" fmla="*/ 640080 h 1790700"/>
              <a:gd name="connsiteX57" fmla="*/ 22860 w 899160"/>
              <a:gd name="connsiteY5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198120 w 899160"/>
              <a:gd name="connsiteY43" fmla="*/ 1348740 h 1790700"/>
              <a:gd name="connsiteX44" fmla="*/ 190500 w 899160"/>
              <a:gd name="connsiteY44" fmla="*/ 1325880 h 1790700"/>
              <a:gd name="connsiteX45" fmla="*/ 182880 w 899160"/>
              <a:gd name="connsiteY45" fmla="*/ 1181100 h 1790700"/>
              <a:gd name="connsiteX46" fmla="*/ 175260 w 899160"/>
              <a:gd name="connsiteY46" fmla="*/ 1143000 h 1790700"/>
              <a:gd name="connsiteX47" fmla="*/ 190500 w 899160"/>
              <a:gd name="connsiteY47" fmla="*/ 1043940 h 1790700"/>
              <a:gd name="connsiteX48" fmla="*/ 182880 w 899160"/>
              <a:gd name="connsiteY48" fmla="*/ 929640 h 1790700"/>
              <a:gd name="connsiteX49" fmla="*/ 160020 w 899160"/>
              <a:gd name="connsiteY49" fmla="*/ 914400 h 1790700"/>
              <a:gd name="connsiteX50" fmla="*/ 121920 w 899160"/>
              <a:gd name="connsiteY50" fmla="*/ 906780 h 1790700"/>
              <a:gd name="connsiteX51" fmla="*/ 53340 w 899160"/>
              <a:gd name="connsiteY51" fmla="*/ 876300 h 1790700"/>
              <a:gd name="connsiteX52" fmla="*/ 60960 w 899160"/>
              <a:gd name="connsiteY52" fmla="*/ 784860 h 1790700"/>
              <a:gd name="connsiteX53" fmla="*/ 76200 w 899160"/>
              <a:gd name="connsiteY53" fmla="*/ 731520 h 1790700"/>
              <a:gd name="connsiteX54" fmla="*/ 53340 w 899160"/>
              <a:gd name="connsiteY54" fmla="*/ 662940 h 1790700"/>
              <a:gd name="connsiteX55" fmla="*/ 45720 w 899160"/>
              <a:gd name="connsiteY55" fmla="*/ 640080 h 1790700"/>
              <a:gd name="connsiteX56" fmla="*/ 22860 w 899160"/>
              <a:gd name="connsiteY5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198120 w 899160"/>
              <a:gd name="connsiteY42" fmla="*/ 1348740 h 1790700"/>
              <a:gd name="connsiteX43" fmla="*/ 190500 w 899160"/>
              <a:gd name="connsiteY43" fmla="*/ 1325880 h 1790700"/>
              <a:gd name="connsiteX44" fmla="*/ 182880 w 899160"/>
              <a:gd name="connsiteY44" fmla="*/ 1181100 h 1790700"/>
              <a:gd name="connsiteX45" fmla="*/ 175260 w 899160"/>
              <a:gd name="connsiteY45" fmla="*/ 1143000 h 1790700"/>
              <a:gd name="connsiteX46" fmla="*/ 190500 w 899160"/>
              <a:gd name="connsiteY46" fmla="*/ 1043940 h 1790700"/>
              <a:gd name="connsiteX47" fmla="*/ 182880 w 899160"/>
              <a:gd name="connsiteY47" fmla="*/ 929640 h 1790700"/>
              <a:gd name="connsiteX48" fmla="*/ 160020 w 899160"/>
              <a:gd name="connsiteY48" fmla="*/ 914400 h 1790700"/>
              <a:gd name="connsiteX49" fmla="*/ 121920 w 899160"/>
              <a:gd name="connsiteY49" fmla="*/ 906780 h 1790700"/>
              <a:gd name="connsiteX50" fmla="*/ 53340 w 899160"/>
              <a:gd name="connsiteY50" fmla="*/ 876300 h 1790700"/>
              <a:gd name="connsiteX51" fmla="*/ 60960 w 899160"/>
              <a:gd name="connsiteY51" fmla="*/ 784860 h 1790700"/>
              <a:gd name="connsiteX52" fmla="*/ 76200 w 899160"/>
              <a:gd name="connsiteY52" fmla="*/ 731520 h 1790700"/>
              <a:gd name="connsiteX53" fmla="*/ 53340 w 899160"/>
              <a:gd name="connsiteY53" fmla="*/ 662940 h 1790700"/>
              <a:gd name="connsiteX54" fmla="*/ 45720 w 899160"/>
              <a:gd name="connsiteY54" fmla="*/ 640080 h 1790700"/>
              <a:gd name="connsiteX55" fmla="*/ 22860 w 899160"/>
              <a:gd name="connsiteY55" fmla="*/ 640080 h 1790700"/>
              <a:gd name="connsiteX0" fmla="*/ 22860 w 899160"/>
              <a:gd name="connsiteY0" fmla="*/ 640080 h 1798798"/>
              <a:gd name="connsiteX1" fmla="*/ 22860 w 899160"/>
              <a:gd name="connsiteY1" fmla="*/ 640080 h 1798798"/>
              <a:gd name="connsiteX2" fmla="*/ 7620 w 899160"/>
              <a:gd name="connsiteY2" fmla="*/ 510540 h 1798798"/>
              <a:gd name="connsiteX3" fmla="*/ 0 w 899160"/>
              <a:gd name="connsiteY3" fmla="*/ 487680 h 1798798"/>
              <a:gd name="connsiteX4" fmla="*/ 22860 w 899160"/>
              <a:gd name="connsiteY4" fmla="*/ 373380 h 1798798"/>
              <a:gd name="connsiteX5" fmla="*/ 38100 w 899160"/>
              <a:gd name="connsiteY5" fmla="*/ 350520 h 1798798"/>
              <a:gd name="connsiteX6" fmla="*/ 60960 w 899160"/>
              <a:gd name="connsiteY6" fmla="*/ 335280 h 1798798"/>
              <a:gd name="connsiteX7" fmla="*/ 114300 w 899160"/>
              <a:gd name="connsiteY7" fmla="*/ 274320 h 1798798"/>
              <a:gd name="connsiteX8" fmla="*/ 129540 w 899160"/>
              <a:gd name="connsiteY8" fmla="*/ 251460 h 1798798"/>
              <a:gd name="connsiteX9" fmla="*/ 175260 w 899160"/>
              <a:gd name="connsiteY9" fmla="*/ 220980 h 1798798"/>
              <a:gd name="connsiteX10" fmla="*/ 190500 w 899160"/>
              <a:gd name="connsiteY10" fmla="*/ 198120 h 1798798"/>
              <a:gd name="connsiteX11" fmla="*/ 236220 w 899160"/>
              <a:gd name="connsiteY11" fmla="*/ 160020 h 1798798"/>
              <a:gd name="connsiteX12" fmla="*/ 251460 w 899160"/>
              <a:gd name="connsiteY12" fmla="*/ 137160 h 1798798"/>
              <a:gd name="connsiteX13" fmla="*/ 281940 w 899160"/>
              <a:gd name="connsiteY13" fmla="*/ 114300 h 1798798"/>
              <a:gd name="connsiteX14" fmla="*/ 304800 w 899160"/>
              <a:gd name="connsiteY14" fmla="*/ 91440 h 1798798"/>
              <a:gd name="connsiteX15" fmla="*/ 350520 w 899160"/>
              <a:gd name="connsiteY15" fmla="*/ 68580 h 1798798"/>
              <a:gd name="connsiteX16" fmla="*/ 365760 w 899160"/>
              <a:gd name="connsiteY16" fmla="*/ 45720 h 1798798"/>
              <a:gd name="connsiteX17" fmla="*/ 411480 w 899160"/>
              <a:gd name="connsiteY17" fmla="*/ 30480 h 1798798"/>
              <a:gd name="connsiteX18" fmla="*/ 434340 w 899160"/>
              <a:gd name="connsiteY18" fmla="*/ 15240 h 1798798"/>
              <a:gd name="connsiteX19" fmla="*/ 464820 w 899160"/>
              <a:gd name="connsiteY19" fmla="*/ 7620 h 1798798"/>
              <a:gd name="connsiteX20" fmla="*/ 487680 w 899160"/>
              <a:gd name="connsiteY20" fmla="*/ 0 h 1798798"/>
              <a:gd name="connsiteX21" fmla="*/ 548640 w 899160"/>
              <a:gd name="connsiteY21" fmla="*/ 22860 h 1798798"/>
              <a:gd name="connsiteX22" fmla="*/ 563880 w 899160"/>
              <a:gd name="connsiteY22" fmla="*/ 45720 h 1798798"/>
              <a:gd name="connsiteX23" fmla="*/ 586740 w 899160"/>
              <a:gd name="connsiteY23" fmla="*/ 53340 h 1798798"/>
              <a:gd name="connsiteX24" fmla="*/ 609600 w 899160"/>
              <a:gd name="connsiteY24" fmla="*/ 68580 h 1798798"/>
              <a:gd name="connsiteX25" fmla="*/ 624840 w 899160"/>
              <a:gd name="connsiteY25" fmla="*/ 91440 h 1798798"/>
              <a:gd name="connsiteX26" fmla="*/ 647700 w 899160"/>
              <a:gd name="connsiteY26" fmla="*/ 106680 h 1798798"/>
              <a:gd name="connsiteX27" fmla="*/ 678180 w 899160"/>
              <a:gd name="connsiteY27" fmla="*/ 137160 h 1798798"/>
              <a:gd name="connsiteX28" fmla="*/ 739140 w 899160"/>
              <a:gd name="connsiteY28" fmla="*/ 190500 h 1798798"/>
              <a:gd name="connsiteX29" fmla="*/ 800100 w 899160"/>
              <a:gd name="connsiteY29" fmla="*/ 259080 h 1798798"/>
              <a:gd name="connsiteX30" fmla="*/ 762000 w 899160"/>
              <a:gd name="connsiteY30" fmla="*/ 342900 h 1798798"/>
              <a:gd name="connsiteX31" fmla="*/ 769620 w 899160"/>
              <a:gd name="connsiteY31" fmla="*/ 381000 h 1798798"/>
              <a:gd name="connsiteX32" fmla="*/ 777240 w 899160"/>
              <a:gd name="connsiteY32" fmla="*/ 403860 h 1798798"/>
              <a:gd name="connsiteX33" fmla="*/ 822960 w 899160"/>
              <a:gd name="connsiteY33" fmla="*/ 419100 h 1798798"/>
              <a:gd name="connsiteX34" fmla="*/ 861060 w 899160"/>
              <a:gd name="connsiteY34" fmla="*/ 464820 h 1798798"/>
              <a:gd name="connsiteX35" fmla="*/ 899160 w 899160"/>
              <a:gd name="connsiteY35" fmla="*/ 510540 h 1798798"/>
              <a:gd name="connsiteX36" fmla="*/ 685800 w 899160"/>
              <a:gd name="connsiteY36" fmla="*/ 1569720 h 1798798"/>
              <a:gd name="connsiteX37" fmla="*/ 632460 w 899160"/>
              <a:gd name="connsiteY37" fmla="*/ 1729740 h 1798798"/>
              <a:gd name="connsiteX38" fmla="*/ 609600 w 899160"/>
              <a:gd name="connsiteY38" fmla="*/ 1760220 h 1798798"/>
              <a:gd name="connsiteX39" fmla="*/ 495300 w 899160"/>
              <a:gd name="connsiteY39" fmla="*/ 1790700 h 1798798"/>
              <a:gd name="connsiteX40" fmla="*/ 342900 w 899160"/>
              <a:gd name="connsiteY40" fmla="*/ 1752600 h 1798798"/>
              <a:gd name="connsiteX41" fmla="*/ 198120 w 899160"/>
              <a:gd name="connsiteY41" fmla="*/ 1348740 h 1798798"/>
              <a:gd name="connsiteX42" fmla="*/ 190500 w 899160"/>
              <a:gd name="connsiteY42" fmla="*/ 1325880 h 1798798"/>
              <a:gd name="connsiteX43" fmla="*/ 182880 w 899160"/>
              <a:gd name="connsiteY43" fmla="*/ 1181100 h 1798798"/>
              <a:gd name="connsiteX44" fmla="*/ 175260 w 899160"/>
              <a:gd name="connsiteY44" fmla="*/ 1143000 h 1798798"/>
              <a:gd name="connsiteX45" fmla="*/ 190500 w 899160"/>
              <a:gd name="connsiteY45" fmla="*/ 1043940 h 1798798"/>
              <a:gd name="connsiteX46" fmla="*/ 182880 w 899160"/>
              <a:gd name="connsiteY46" fmla="*/ 929640 h 1798798"/>
              <a:gd name="connsiteX47" fmla="*/ 160020 w 899160"/>
              <a:gd name="connsiteY47" fmla="*/ 914400 h 1798798"/>
              <a:gd name="connsiteX48" fmla="*/ 121920 w 899160"/>
              <a:gd name="connsiteY48" fmla="*/ 906780 h 1798798"/>
              <a:gd name="connsiteX49" fmla="*/ 53340 w 899160"/>
              <a:gd name="connsiteY49" fmla="*/ 876300 h 1798798"/>
              <a:gd name="connsiteX50" fmla="*/ 60960 w 899160"/>
              <a:gd name="connsiteY50" fmla="*/ 784860 h 1798798"/>
              <a:gd name="connsiteX51" fmla="*/ 76200 w 899160"/>
              <a:gd name="connsiteY51" fmla="*/ 731520 h 1798798"/>
              <a:gd name="connsiteX52" fmla="*/ 53340 w 899160"/>
              <a:gd name="connsiteY52" fmla="*/ 662940 h 1798798"/>
              <a:gd name="connsiteX53" fmla="*/ 45720 w 899160"/>
              <a:gd name="connsiteY53" fmla="*/ 640080 h 1798798"/>
              <a:gd name="connsiteX54" fmla="*/ 22860 w 899160"/>
              <a:gd name="connsiteY54" fmla="*/ 640080 h 1798798"/>
              <a:gd name="connsiteX0" fmla="*/ 22860 w 899160"/>
              <a:gd name="connsiteY0" fmla="*/ 640080 h 1786156"/>
              <a:gd name="connsiteX1" fmla="*/ 22860 w 899160"/>
              <a:gd name="connsiteY1" fmla="*/ 640080 h 1786156"/>
              <a:gd name="connsiteX2" fmla="*/ 7620 w 899160"/>
              <a:gd name="connsiteY2" fmla="*/ 510540 h 1786156"/>
              <a:gd name="connsiteX3" fmla="*/ 0 w 899160"/>
              <a:gd name="connsiteY3" fmla="*/ 487680 h 1786156"/>
              <a:gd name="connsiteX4" fmla="*/ 22860 w 899160"/>
              <a:gd name="connsiteY4" fmla="*/ 373380 h 1786156"/>
              <a:gd name="connsiteX5" fmla="*/ 38100 w 899160"/>
              <a:gd name="connsiteY5" fmla="*/ 350520 h 1786156"/>
              <a:gd name="connsiteX6" fmla="*/ 60960 w 899160"/>
              <a:gd name="connsiteY6" fmla="*/ 335280 h 1786156"/>
              <a:gd name="connsiteX7" fmla="*/ 114300 w 899160"/>
              <a:gd name="connsiteY7" fmla="*/ 274320 h 1786156"/>
              <a:gd name="connsiteX8" fmla="*/ 129540 w 899160"/>
              <a:gd name="connsiteY8" fmla="*/ 251460 h 1786156"/>
              <a:gd name="connsiteX9" fmla="*/ 175260 w 899160"/>
              <a:gd name="connsiteY9" fmla="*/ 220980 h 1786156"/>
              <a:gd name="connsiteX10" fmla="*/ 190500 w 899160"/>
              <a:gd name="connsiteY10" fmla="*/ 198120 h 1786156"/>
              <a:gd name="connsiteX11" fmla="*/ 236220 w 899160"/>
              <a:gd name="connsiteY11" fmla="*/ 160020 h 1786156"/>
              <a:gd name="connsiteX12" fmla="*/ 251460 w 899160"/>
              <a:gd name="connsiteY12" fmla="*/ 137160 h 1786156"/>
              <a:gd name="connsiteX13" fmla="*/ 281940 w 899160"/>
              <a:gd name="connsiteY13" fmla="*/ 114300 h 1786156"/>
              <a:gd name="connsiteX14" fmla="*/ 304800 w 899160"/>
              <a:gd name="connsiteY14" fmla="*/ 91440 h 1786156"/>
              <a:gd name="connsiteX15" fmla="*/ 350520 w 899160"/>
              <a:gd name="connsiteY15" fmla="*/ 68580 h 1786156"/>
              <a:gd name="connsiteX16" fmla="*/ 365760 w 899160"/>
              <a:gd name="connsiteY16" fmla="*/ 45720 h 1786156"/>
              <a:gd name="connsiteX17" fmla="*/ 411480 w 899160"/>
              <a:gd name="connsiteY17" fmla="*/ 30480 h 1786156"/>
              <a:gd name="connsiteX18" fmla="*/ 434340 w 899160"/>
              <a:gd name="connsiteY18" fmla="*/ 15240 h 1786156"/>
              <a:gd name="connsiteX19" fmla="*/ 464820 w 899160"/>
              <a:gd name="connsiteY19" fmla="*/ 7620 h 1786156"/>
              <a:gd name="connsiteX20" fmla="*/ 487680 w 899160"/>
              <a:gd name="connsiteY20" fmla="*/ 0 h 1786156"/>
              <a:gd name="connsiteX21" fmla="*/ 548640 w 899160"/>
              <a:gd name="connsiteY21" fmla="*/ 22860 h 1786156"/>
              <a:gd name="connsiteX22" fmla="*/ 563880 w 899160"/>
              <a:gd name="connsiteY22" fmla="*/ 45720 h 1786156"/>
              <a:gd name="connsiteX23" fmla="*/ 586740 w 899160"/>
              <a:gd name="connsiteY23" fmla="*/ 53340 h 1786156"/>
              <a:gd name="connsiteX24" fmla="*/ 609600 w 899160"/>
              <a:gd name="connsiteY24" fmla="*/ 68580 h 1786156"/>
              <a:gd name="connsiteX25" fmla="*/ 624840 w 899160"/>
              <a:gd name="connsiteY25" fmla="*/ 91440 h 1786156"/>
              <a:gd name="connsiteX26" fmla="*/ 647700 w 899160"/>
              <a:gd name="connsiteY26" fmla="*/ 106680 h 1786156"/>
              <a:gd name="connsiteX27" fmla="*/ 678180 w 899160"/>
              <a:gd name="connsiteY27" fmla="*/ 137160 h 1786156"/>
              <a:gd name="connsiteX28" fmla="*/ 739140 w 899160"/>
              <a:gd name="connsiteY28" fmla="*/ 190500 h 1786156"/>
              <a:gd name="connsiteX29" fmla="*/ 800100 w 899160"/>
              <a:gd name="connsiteY29" fmla="*/ 259080 h 1786156"/>
              <a:gd name="connsiteX30" fmla="*/ 762000 w 899160"/>
              <a:gd name="connsiteY30" fmla="*/ 342900 h 1786156"/>
              <a:gd name="connsiteX31" fmla="*/ 769620 w 899160"/>
              <a:gd name="connsiteY31" fmla="*/ 381000 h 1786156"/>
              <a:gd name="connsiteX32" fmla="*/ 777240 w 899160"/>
              <a:gd name="connsiteY32" fmla="*/ 403860 h 1786156"/>
              <a:gd name="connsiteX33" fmla="*/ 822960 w 899160"/>
              <a:gd name="connsiteY33" fmla="*/ 419100 h 1786156"/>
              <a:gd name="connsiteX34" fmla="*/ 861060 w 899160"/>
              <a:gd name="connsiteY34" fmla="*/ 464820 h 1786156"/>
              <a:gd name="connsiteX35" fmla="*/ 899160 w 899160"/>
              <a:gd name="connsiteY35" fmla="*/ 510540 h 1786156"/>
              <a:gd name="connsiteX36" fmla="*/ 685800 w 899160"/>
              <a:gd name="connsiteY36" fmla="*/ 1569720 h 1786156"/>
              <a:gd name="connsiteX37" fmla="*/ 632460 w 899160"/>
              <a:gd name="connsiteY37" fmla="*/ 1729740 h 1786156"/>
              <a:gd name="connsiteX38" fmla="*/ 609600 w 899160"/>
              <a:gd name="connsiteY38" fmla="*/ 1760220 h 1786156"/>
              <a:gd name="connsiteX39" fmla="*/ 342900 w 899160"/>
              <a:gd name="connsiteY39" fmla="*/ 1752600 h 1786156"/>
              <a:gd name="connsiteX40" fmla="*/ 198120 w 899160"/>
              <a:gd name="connsiteY40" fmla="*/ 1348740 h 1786156"/>
              <a:gd name="connsiteX41" fmla="*/ 190500 w 899160"/>
              <a:gd name="connsiteY41" fmla="*/ 1325880 h 1786156"/>
              <a:gd name="connsiteX42" fmla="*/ 182880 w 899160"/>
              <a:gd name="connsiteY42" fmla="*/ 1181100 h 1786156"/>
              <a:gd name="connsiteX43" fmla="*/ 175260 w 899160"/>
              <a:gd name="connsiteY43" fmla="*/ 1143000 h 1786156"/>
              <a:gd name="connsiteX44" fmla="*/ 190500 w 899160"/>
              <a:gd name="connsiteY44" fmla="*/ 1043940 h 1786156"/>
              <a:gd name="connsiteX45" fmla="*/ 182880 w 899160"/>
              <a:gd name="connsiteY45" fmla="*/ 929640 h 1786156"/>
              <a:gd name="connsiteX46" fmla="*/ 160020 w 899160"/>
              <a:gd name="connsiteY46" fmla="*/ 914400 h 1786156"/>
              <a:gd name="connsiteX47" fmla="*/ 121920 w 899160"/>
              <a:gd name="connsiteY47" fmla="*/ 906780 h 1786156"/>
              <a:gd name="connsiteX48" fmla="*/ 53340 w 899160"/>
              <a:gd name="connsiteY48" fmla="*/ 876300 h 1786156"/>
              <a:gd name="connsiteX49" fmla="*/ 60960 w 899160"/>
              <a:gd name="connsiteY49" fmla="*/ 784860 h 1786156"/>
              <a:gd name="connsiteX50" fmla="*/ 76200 w 899160"/>
              <a:gd name="connsiteY50" fmla="*/ 731520 h 1786156"/>
              <a:gd name="connsiteX51" fmla="*/ 53340 w 899160"/>
              <a:gd name="connsiteY51" fmla="*/ 662940 h 1786156"/>
              <a:gd name="connsiteX52" fmla="*/ 45720 w 899160"/>
              <a:gd name="connsiteY52" fmla="*/ 640080 h 1786156"/>
              <a:gd name="connsiteX53" fmla="*/ 22860 w 899160"/>
              <a:gd name="connsiteY53" fmla="*/ 640080 h 1786156"/>
              <a:gd name="connsiteX0" fmla="*/ 22860 w 899160"/>
              <a:gd name="connsiteY0" fmla="*/ 640080 h 1781668"/>
              <a:gd name="connsiteX1" fmla="*/ 22860 w 899160"/>
              <a:gd name="connsiteY1" fmla="*/ 640080 h 1781668"/>
              <a:gd name="connsiteX2" fmla="*/ 7620 w 899160"/>
              <a:gd name="connsiteY2" fmla="*/ 510540 h 1781668"/>
              <a:gd name="connsiteX3" fmla="*/ 0 w 899160"/>
              <a:gd name="connsiteY3" fmla="*/ 487680 h 1781668"/>
              <a:gd name="connsiteX4" fmla="*/ 22860 w 899160"/>
              <a:gd name="connsiteY4" fmla="*/ 373380 h 1781668"/>
              <a:gd name="connsiteX5" fmla="*/ 38100 w 899160"/>
              <a:gd name="connsiteY5" fmla="*/ 350520 h 1781668"/>
              <a:gd name="connsiteX6" fmla="*/ 60960 w 899160"/>
              <a:gd name="connsiteY6" fmla="*/ 335280 h 1781668"/>
              <a:gd name="connsiteX7" fmla="*/ 114300 w 899160"/>
              <a:gd name="connsiteY7" fmla="*/ 274320 h 1781668"/>
              <a:gd name="connsiteX8" fmla="*/ 129540 w 899160"/>
              <a:gd name="connsiteY8" fmla="*/ 251460 h 1781668"/>
              <a:gd name="connsiteX9" fmla="*/ 175260 w 899160"/>
              <a:gd name="connsiteY9" fmla="*/ 220980 h 1781668"/>
              <a:gd name="connsiteX10" fmla="*/ 190500 w 899160"/>
              <a:gd name="connsiteY10" fmla="*/ 198120 h 1781668"/>
              <a:gd name="connsiteX11" fmla="*/ 236220 w 899160"/>
              <a:gd name="connsiteY11" fmla="*/ 160020 h 1781668"/>
              <a:gd name="connsiteX12" fmla="*/ 251460 w 899160"/>
              <a:gd name="connsiteY12" fmla="*/ 137160 h 1781668"/>
              <a:gd name="connsiteX13" fmla="*/ 281940 w 899160"/>
              <a:gd name="connsiteY13" fmla="*/ 114300 h 1781668"/>
              <a:gd name="connsiteX14" fmla="*/ 304800 w 899160"/>
              <a:gd name="connsiteY14" fmla="*/ 91440 h 1781668"/>
              <a:gd name="connsiteX15" fmla="*/ 350520 w 899160"/>
              <a:gd name="connsiteY15" fmla="*/ 68580 h 1781668"/>
              <a:gd name="connsiteX16" fmla="*/ 365760 w 899160"/>
              <a:gd name="connsiteY16" fmla="*/ 45720 h 1781668"/>
              <a:gd name="connsiteX17" fmla="*/ 411480 w 899160"/>
              <a:gd name="connsiteY17" fmla="*/ 30480 h 1781668"/>
              <a:gd name="connsiteX18" fmla="*/ 434340 w 899160"/>
              <a:gd name="connsiteY18" fmla="*/ 15240 h 1781668"/>
              <a:gd name="connsiteX19" fmla="*/ 464820 w 899160"/>
              <a:gd name="connsiteY19" fmla="*/ 7620 h 1781668"/>
              <a:gd name="connsiteX20" fmla="*/ 487680 w 899160"/>
              <a:gd name="connsiteY20" fmla="*/ 0 h 1781668"/>
              <a:gd name="connsiteX21" fmla="*/ 548640 w 899160"/>
              <a:gd name="connsiteY21" fmla="*/ 22860 h 1781668"/>
              <a:gd name="connsiteX22" fmla="*/ 563880 w 899160"/>
              <a:gd name="connsiteY22" fmla="*/ 45720 h 1781668"/>
              <a:gd name="connsiteX23" fmla="*/ 586740 w 899160"/>
              <a:gd name="connsiteY23" fmla="*/ 53340 h 1781668"/>
              <a:gd name="connsiteX24" fmla="*/ 609600 w 899160"/>
              <a:gd name="connsiteY24" fmla="*/ 68580 h 1781668"/>
              <a:gd name="connsiteX25" fmla="*/ 624840 w 899160"/>
              <a:gd name="connsiteY25" fmla="*/ 91440 h 1781668"/>
              <a:gd name="connsiteX26" fmla="*/ 647700 w 899160"/>
              <a:gd name="connsiteY26" fmla="*/ 106680 h 1781668"/>
              <a:gd name="connsiteX27" fmla="*/ 678180 w 899160"/>
              <a:gd name="connsiteY27" fmla="*/ 137160 h 1781668"/>
              <a:gd name="connsiteX28" fmla="*/ 739140 w 899160"/>
              <a:gd name="connsiteY28" fmla="*/ 190500 h 1781668"/>
              <a:gd name="connsiteX29" fmla="*/ 800100 w 899160"/>
              <a:gd name="connsiteY29" fmla="*/ 259080 h 1781668"/>
              <a:gd name="connsiteX30" fmla="*/ 762000 w 899160"/>
              <a:gd name="connsiteY30" fmla="*/ 342900 h 1781668"/>
              <a:gd name="connsiteX31" fmla="*/ 769620 w 899160"/>
              <a:gd name="connsiteY31" fmla="*/ 381000 h 1781668"/>
              <a:gd name="connsiteX32" fmla="*/ 777240 w 899160"/>
              <a:gd name="connsiteY32" fmla="*/ 403860 h 1781668"/>
              <a:gd name="connsiteX33" fmla="*/ 822960 w 899160"/>
              <a:gd name="connsiteY33" fmla="*/ 419100 h 1781668"/>
              <a:gd name="connsiteX34" fmla="*/ 861060 w 899160"/>
              <a:gd name="connsiteY34" fmla="*/ 464820 h 1781668"/>
              <a:gd name="connsiteX35" fmla="*/ 899160 w 899160"/>
              <a:gd name="connsiteY35" fmla="*/ 510540 h 1781668"/>
              <a:gd name="connsiteX36" fmla="*/ 685800 w 899160"/>
              <a:gd name="connsiteY36" fmla="*/ 1569720 h 1781668"/>
              <a:gd name="connsiteX37" fmla="*/ 632460 w 899160"/>
              <a:gd name="connsiteY37" fmla="*/ 1729740 h 1781668"/>
              <a:gd name="connsiteX38" fmla="*/ 342900 w 899160"/>
              <a:gd name="connsiteY38" fmla="*/ 1752600 h 1781668"/>
              <a:gd name="connsiteX39" fmla="*/ 198120 w 899160"/>
              <a:gd name="connsiteY39" fmla="*/ 1348740 h 1781668"/>
              <a:gd name="connsiteX40" fmla="*/ 190500 w 899160"/>
              <a:gd name="connsiteY40" fmla="*/ 1325880 h 1781668"/>
              <a:gd name="connsiteX41" fmla="*/ 182880 w 899160"/>
              <a:gd name="connsiteY41" fmla="*/ 1181100 h 1781668"/>
              <a:gd name="connsiteX42" fmla="*/ 175260 w 899160"/>
              <a:gd name="connsiteY42" fmla="*/ 1143000 h 1781668"/>
              <a:gd name="connsiteX43" fmla="*/ 190500 w 899160"/>
              <a:gd name="connsiteY43" fmla="*/ 1043940 h 1781668"/>
              <a:gd name="connsiteX44" fmla="*/ 182880 w 899160"/>
              <a:gd name="connsiteY44" fmla="*/ 929640 h 1781668"/>
              <a:gd name="connsiteX45" fmla="*/ 160020 w 899160"/>
              <a:gd name="connsiteY45" fmla="*/ 914400 h 1781668"/>
              <a:gd name="connsiteX46" fmla="*/ 121920 w 899160"/>
              <a:gd name="connsiteY46" fmla="*/ 906780 h 1781668"/>
              <a:gd name="connsiteX47" fmla="*/ 53340 w 899160"/>
              <a:gd name="connsiteY47" fmla="*/ 876300 h 1781668"/>
              <a:gd name="connsiteX48" fmla="*/ 60960 w 899160"/>
              <a:gd name="connsiteY48" fmla="*/ 784860 h 1781668"/>
              <a:gd name="connsiteX49" fmla="*/ 76200 w 899160"/>
              <a:gd name="connsiteY49" fmla="*/ 731520 h 1781668"/>
              <a:gd name="connsiteX50" fmla="*/ 53340 w 899160"/>
              <a:gd name="connsiteY50" fmla="*/ 662940 h 1781668"/>
              <a:gd name="connsiteX51" fmla="*/ 45720 w 899160"/>
              <a:gd name="connsiteY51" fmla="*/ 640080 h 1781668"/>
              <a:gd name="connsiteX52" fmla="*/ 22860 w 899160"/>
              <a:gd name="connsiteY52" fmla="*/ 640080 h 1781668"/>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90500 w 899160"/>
              <a:gd name="connsiteY39" fmla="*/ 1325880 h 1845685"/>
              <a:gd name="connsiteX40" fmla="*/ 182880 w 899160"/>
              <a:gd name="connsiteY40" fmla="*/ 1181100 h 1845685"/>
              <a:gd name="connsiteX41" fmla="*/ 175260 w 899160"/>
              <a:gd name="connsiteY41" fmla="*/ 1143000 h 1845685"/>
              <a:gd name="connsiteX42" fmla="*/ 190500 w 899160"/>
              <a:gd name="connsiteY42" fmla="*/ 1043940 h 1845685"/>
              <a:gd name="connsiteX43" fmla="*/ 182880 w 899160"/>
              <a:gd name="connsiteY43" fmla="*/ 929640 h 1845685"/>
              <a:gd name="connsiteX44" fmla="*/ 160020 w 899160"/>
              <a:gd name="connsiteY44" fmla="*/ 914400 h 1845685"/>
              <a:gd name="connsiteX45" fmla="*/ 121920 w 899160"/>
              <a:gd name="connsiteY45" fmla="*/ 906780 h 1845685"/>
              <a:gd name="connsiteX46" fmla="*/ 53340 w 899160"/>
              <a:gd name="connsiteY46" fmla="*/ 876300 h 1845685"/>
              <a:gd name="connsiteX47" fmla="*/ 60960 w 899160"/>
              <a:gd name="connsiteY47" fmla="*/ 784860 h 1845685"/>
              <a:gd name="connsiteX48" fmla="*/ 76200 w 899160"/>
              <a:gd name="connsiteY48" fmla="*/ 731520 h 1845685"/>
              <a:gd name="connsiteX49" fmla="*/ 53340 w 899160"/>
              <a:gd name="connsiteY49" fmla="*/ 662940 h 1845685"/>
              <a:gd name="connsiteX50" fmla="*/ 45720 w 899160"/>
              <a:gd name="connsiteY50" fmla="*/ 640080 h 1845685"/>
              <a:gd name="connsiteX51" fmla="*/ 22860 w 899160"/>
              <a:gd name="connsiteY51" fmla="*/ 640080 h 1845685"/>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82880 w 899160"/>
              <a:gd name="connsiteY39" fmla="*/ 1181100 h 1845685"/>
              <a:gd name="connsiteX40" fmla="*/ 175260 w 899160"/>
              <a:gd name="connsiteY40" fmla="*/ 1143000 h 1845685"/>
              <a:gd name="connsiteX41" fmla="*/ 190500 w 899160"/>
              <a:gd name="connsiteY41" fmla="*/ 1043940 h 1845685"/>
              <a:gd name="connsiteX42" fmla="*/ 182880 w 899160"/>
              <a:gd name="connsiteY42" fmla="*/ 929640 h 1845685"/>
              <a:gd name="connsiteX43" fmla="*/ 160020 w 899160"/>
              <a:gd name="connsiteY43" fmla="*/ 914400 h 1845685"/>
              <a:gd name="connsiteX44" fmla="*/ 121920 w 899160"/>
              <a:gd name="connsiteY44" fmla="*/ 906780 h 1845685"/>
              <a:gd name="connsiteX45" fmla="*/ 53340 w 899160"/>
              <a:gd name="connsiteY45" fmla="*/ 876300 h 1845685"/>
              <a:gd name="connsiteX46" fmla="*/ 60960 w 899160"/>
              <a:gd name="connsiteY46" fmla="*/ 784860 h 1845685"/>
              <a:gd name="connsiteX47" fmla="*/ 76200 w 899160"/>
              <a:gd name="connsiteY47" fmla="*/ 731520 h 1845685"/>
              <a:gd name="connsiteX48" fmla="*/ 53340 w 899160"/>
              <a:gd name="connsiteY48" fmla="*/ 662940 h 1845685"/>
              <a:gd name="connsiteX49" fmla="*/ 45720 w 899160"/>
              <a:gd name="connsiteY49" fmla="*/ 640080 h 1845685"/>
              <a:gd name="connsiteX50" fmla="*/ 22860 w 899160"/>
              <a:gd name="connsiteY50" fmla="*/ 640080 h 1845685"/>
              <a:gd name="connsiteX0" fmla="*/ 2286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49" fmla="*/ 22860 w 899160"/>
              <a:gd name="connsiteY49" fmla="*/ 640080 h 1854565"/>
              <a:gd name="connsiteX0" fmla="*/ 4572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0" fmla="*/ 53340 w 899160"/>
              <a:gd name="connsiteY0" fmla="*/ 66294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0" fmla="*/ 76200 w 899160"/>
              <a:gd name="connsiteY0" fmla="*/ 73152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0" fmla="*/ 76200 w 899160"/>
              <a:gd name="connsiteY0" fmla="*/ 73152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45" fmla="*/ 76200 w 899160"/>
              <a:gd name="connsiteY45" fmla="*/ 731520 h 1854565"/>
              <a:gd name="connsiteX0" fmla="*/ 60960 w 899160"/>
              <a:gd name="connsiteY0" fmla="*/ 78486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0" fmla="*/ 53340 w 899160"/>
              <a:gd name="connsiteY0" fmla="*/ 87630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78377 w 902277"/>
              <a:gd name="connsiteY38" fmla="*/ 1143000 h 1854565"/>
              <a:gd name="connsiteX39" fmla="*/ 193617 w 902277"/>
              <a:gd name="connsiteY39" fmla="*/ 1043940 h 1854565"/>
              <a:gd name="connsiteX40" fmla="*/ 185997 w 902277"/>
              <a:gd name="connsiteY40" fmla="*/ 929640 h 1854565"/>
              <a:gd name="connsiteX41" fmla="*/ 163137 w 902277"/>
              <a:gd name="connsiteY41" fmla="*/ 914400 h 1854565"/>
              <a:gd name="connsiteX42" fmla="*/ 125037 w 902277"/>
              <a:gd name="connsiteY42" fmla="*/ 90678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93617 w 902277"/>
              <a:gd name="connsiteY38" fmla="*/ 1043940 h 1854565"/>
              <a:gd name="connsiteX39" fmla="*/ 185997 w 902277"/>
              <a:gd name="connsiteY39" fmla="*/ 929640 h 1854565"/>
              <a:gd name="connsiteX40" fmla="*/ 163137 w 902277"/>
              <a:gd name="connsiteY40" fmla="*/ 914400 h 1854565"/>
              <a:gd name="connsiteX41" fmla="*/ 125037 w 902277"/>
              <a:gd name="connsiteY41" fmla="*/ 906780 h 1854565"/>
              <a:gd name="connsiteX0" fmla="*/ 125037 w 902277"/>
              <a:gd name="connsiteY0" fmla="*/ 906780 h 1862294"/>
              <a:gd name="connsiteX1" fmla="*/ 10737 w 902277"/>
              <a:gd name="connsiteY1" fmla="*/ 510540 h 1862294"/>
              <a:gd name="connsiteX2" fmla="*/ 3117 w 902277"/>
              <a:gd name="connsiteY2" fmla="*/ 487680 h 1862294"/>
              <a:gd name="connsiteX3" fmla="*/ 25977 w 902277"/>
              <a:gd name="connsiteY3" fmla="*/ 373380 h 1862294"/>
              <a:gd name="connsiteX4" fmla="*/ 41217 w 902277"/>
              <a:gd name="connsiteY4" fmla="*/ 350520 h 1862294"/>
              <a:gd name="connsiteX5" fmla="*/ 64077 w 902277"/>
              <a:gd name="connsiteY5" fmla="*/ 335280 h 1862294"/>
              <a:gd name="connsiteX6" fmla="*/ 117417 w 902277"/>
              <a:gd name="connsiteY6" fmla="*/ 274320 h 1862294"/>
              <a:gd name="connsiteX7" fmla="*/ 132657 w 902277"/>
              <a:gd name="connsiteY7" fmla="*/ 251460 h 1862294"/>
              <a:gd name="connsiteX8" fmla="*/ 178377 w 902277"/>
              <a:gd name="connsiteY8" fmla="*/ 220980 h 1862294"/>
              <a:gd name="connsiteX9" fmla="*/ 193617 w 902277"/>
              <a:gd name="connsiteY9" fmla="*/ 198120 h 1862294"/>
              <a:gd name="connsiteX10" fmla="*/ 239337 w 902277"/>
              <a:gd name="connsiteY10" fmla="*/ 160020 h 1862294"/>
              <a:gd name="connsiteX11" fmla="*/ 254577 w 902277"/>
              <a:gd name="connsiteY11" fmla="*/ 137160 h 1862294"/>
              <a:gd name="connsiteX12" fmla="*/ 285057 w 902277"/>
              <a:gd name="connsiteY12" fmla="*/ 114300 h 1862294"/>
              <a:gd name="connsiteX13" fmla="*/ 307917 w 902277"/>
              <a:gd name="connsiteY13" fmla="*/ 91440 h 1862294"/>
              <a:gd name="connsiteX14" fmla="*/ 353637 w 902277"/>
              <a:gd name="connsiteY14" fmla="*/ 68580 h 1862294"/>
              <a:gd name="connsiteX15" fmla="*/ 368877 w 902277"/>
              <a:gd name="connsiteY15" fmla="*/ 45720 h 1862294"/>
              <a:gd name="connsiteX16" fmla="*/ 414597 w 902277"/>
              <a:gd name="connsiteY16" fmla="*/ 30480 h 1862294"/>
              <a:gd name="connsiteX17" fmla="*/ 437457 w 902277"/>
              <a:gd name="connsiteY17" fmla="*/ 15240 h 1862294"/>
              <a:gd name="connsiteX18" fmla="*/ 467937 w 902277"/>
              <a:gd name="connsiteY18" fmla="*/ 7620 h 1862294"/>
              <a:gd name="connsiteX19" fmla="*/ 490797 w 902277"/>
              <a:gd name="connsiteY19" fmla="*/ 0 h 1862294"/>
              <a:gd name="connsiteX20" fmla="*/ 551757 w 902277"/>
              <a:gd name="connsiteY20" fmla="*/ 22860 h 1862294"/>
              <a:gd name="connsiteX21" fmla="*/ 566997 w 902277"/>
              <a:gd name="connsiteY21" fmla="*/ 45720 h 1862294"/>
              <a:gd name="connsiteX22" fmla="*/ 589857 w 902277"/>
              <a:gd name="connsiteY22" fmla="*/ 53340 h 1862294"/>
              <a:gd name="connsiteX23" fmla="*/ 612717 w 902277"/>
              <a:gd name="connsiteY23" fmla="*/ 68580 h 1862294"/>
              <a:gd name="connsiteX24" fmla="*/ 627957 w 902277"/>
              <a:gd name="connsiteY24" fmla="*/ 91440 h 1862294"/>
              <a:gd name="connsiteX25" fmla="*/ 650817 w 902277"/>
              <a:gd name="connsiteY25" fmla="*/ 106680 h 1862294"/>
              <a:gd name="connsiteX26" fmla="*/ 681297 w 902277"/>
              <a:gd name="connsiteY26" fmla="*/ 137160 h 1862294"/>
              <a:gd name="connsiteX27" fmla="*/ 742257 w 902277"/>
              <a:gd name="connsiteY27" fmla="*/ 190500 h 1862294"/>
              <a:gd name="connsiteX28" fmla="*/ 803217 w 902277"/>
              <a:gd name="connsiteY28" fmla="*/ 259080 h 1862294"/>
              <a:gd name="connsiteX29" fmla="*/ 765117 w 902277"/>
              <a:gd name="connsiteY29" fmla="*/ 342900 h 1862294"/>
              <a:gd name="connsiteX30" fmla="*/ 772737 w 902277"/>
              <a:gd name="connsiteY30" fmla="*/ 381000 h 1862294"/>
              <a:gd name="connsiteX31" fmla="*/ 780357 w 902277"/>
              <a:gd name="connsiteY31" fmla="*/ 403860 h 1862294"/>
              <a:gd name="connsiteX32" fmla="*/ 826077 w 902277"/>
              <a:gd name="connsiteY32" fmla="*/ 419100 h 1862294"/>
              <a:gd name="connsiteX33" fmla="*/ 864177 w 902277"/>
              <a:gd name="connsiteY33" fmla="*/ 464820 h 1862294"/>
              <a:gd name="connsiteX34" fmla="*/ 902277 w 902277"/>
              <a:gd name="connsiteY34" fmla="*/ 510540 h 1862294"/>
              <a:gd name="connsiteX35" fmla="*/ 635577 w 902277"/>
              <a:gd name="connsiteY35" fmla="*/ 1729740 h 1862294"/>
              <a:gd name="connsiteX36" fmla="*/ 346017 w 902277"/>
              <a:gd name="connsiteY36" fmla="*/ 1752600 h 1862294"/>
              <a:gd name="connsiteX37" fmla="*/ 193617 w 902277"/>
              <a:gd name="connsiteY37" fmla="*/ 1043940 h 1862294"/>
              <a:gd name="connsiteX38" fmla="*/ 185997 w 902277"/>
              <a:gd name="connsiteY38" fmla="*/ 929640 h 1862294"/>
              <a:gd name="connsiteX39" fmla="*/ 163137 w 902277"/>
              <a:gd name="connsiteY39" fmla="*/ 914400 h 1862294"/>
              <a:gd name="connsiteX40" fmla="*/ 125037 w 902277"/>
              <a:gd name="connsiteY40" fmla="*/ 906780 h 1862294"/>
              <a:gd name="connsiteX0" fmla="*/ 125037 w 902277"/>
              <a:gd name="connsiteY0" fmla="*/ 906780 h 1869018"/>
              <a:gd name="connsiteX1" fmla="*/ 10737 w 902277"/>
              <a:gd name="connsiteY1" fmla="*/ 510540 h 1869018"/>
              <a:gd name="connsiteX2" fmla="*/ 3117 w 902277"/>
              <a:gd name="connsiteY2" fmla="*/ 487680 h 1869018"/>
              <a:gd name="connsiteX3" fmla="*/ 25977 w 902277"/>
              <a:gd name="connsiteY3" fmla="*/ 373380 h 1869018"/>
              <a:gd name="connsiteX4" fmla="*/ 41217 w 902277"/>
              <a:gd name="connsiteY4" fmla="*/ 350520 h 1869018"/>
              <a:gd name="connsiteX5" fmla="*/ 64077 w 902277"/>
              <a:gd name="connsiteY5" fmla="*/ 335280 h 1869018"/>
              <a:gd name="connsiteX6" fmla="*/ 117417 w 902277"/>
              <a:gd name="connsiteY6" fmla="*/ 274320 h 1869018"/>
              <a:gd name="connsiteX7" fmla="*/ 132657 w 902277"/>
              <a:gd name="connsiteY7" fmla="*/ 251460 h 1869018"/>
              <a:gd name="connsiteX8" fmla="*/ 178377 w 902277"/>
              <a:gd name="connsiteY8" fmla="*/ 220980 h 1869018"/>
              <a:gd name="connsiteX9" fmla="*/ 193617 w 902277"/>
              <a:gd name="connsiteY9" fmla="*/ 198120 h 1869018"/>
              <a:gd name="connsiteX10" fmla="*/ 239337 w 902277"/>
              <a:gd name="connsiteY10" fmla="*/ 160020 h 1869018"/>
              <a:gd name="connsiteX11" fmla="*/ 254577 w 902277"/>
              <a:gd name="connsiteY11" fmla="*/ 137160 h 1869018"/>
              <a:gd name="connsiteX12" fmla="*/ 285057 w 902277"/>
              <a:gd name="connsiteY12" fmla="*/ 114300 h 1869018"/>
              <a:gd name="connsiteX13" fmla="*/ 307917 w 902277"/>
              <a:gd name="connsiteY13" fmla="*/ 91440 h 1869018"/>
              <a:gd name="connsiteX14" fmla="*/ 353637 w 902277"/>
              <a:gd name="connsiteY14" fmla="*/ 68580 h 1869018"/>
              <a:gd name="connsiteX15" fmla="*/ 368877 w 902277"/>
              <a:gd name="connsiteY15" fmla="*/ 45720 h 1869018"/>
              <a:gd name="connsiteX16" fmla="*/ 414597 w 902277"/>
              <a:gd name="connsiteY16" fmla="*/ 30480 h 1869018"/>
              <a:gd name="connsiteX17" fmla="*/ 437457 w 902277"/>
              <a:gd name="connsiteY17" fmla="*/ 15240 h 1869018"/>
              <a:gd name="connsiteX18" fmla="*/ 467937 w 902277"/>
              <a:gd name="connsiteY18" fmla="*/ 7620 h 1869018"/>
              <a:gd name="connsiteX19" fmla="*/ 490797 w 902277"/>
              <a:gd name="connsiteY19" fmla="*/ 0 h 1869018"/>
              <a:gd name="connsiteX20" fmla="*/ 551757 w 902277"/>
              <a:gd name="connsiteY20" fmla="*/ 22860 h 1869018"/>
              <a:gd name="connsiteX21" fmla="*/ 566997 w 902277"/>
              <a:gd name="connsiteY21" fmla="*/ 45720 h 1869018"/>
              <a:gd name="connsiteX22" fmla="*/ 589857 w 902277"/>
              <a:gd name="connsiteY22" fmla="*/ 53340 h 1869018"/>
              <a:gd name="connsiteX23" fmla="*/ 612717 w 902277"/>
              <a:gd name="connsiteY23" fmla="*/ 68580 h 1869018"/>
              <a:gd name="connsiteX24" fmla="*/ 627957 w 902277"/>
              <a:gd name="connsiteY24" fmla="*/ 91440 h 1869018"/>
              <a:gd name="connsiteX25" fmla="*/ 650817 w 902277"/>
              <a:gd name="connsiteY25" fmla="*/ 106680 h 1869018"/>
              <a:gd name="connsiteX26" fmla="*/ 681297 w 902277"/>
              <a:gd name="connsiteY26" fmla="*/ 137160 h 1869018"/>
              <a:gd name="connsiteX27" fmla="*/ 742257 w 902277"/>
              <a:gd name="connsiteY27" fmla="*/ 190500 h 1869018"/>
              <a:gd name="connsiteX28" fmla="*/ 803217 w 902277"/>
              <a:gd name="connsiteY28" fmla="*/ 259080 h 1869018"/>
              <a:gd name="connsiteX29" fmla="*/ 765117 w 902277"/>
              <a:gd name="connsiteY29" fmla="*/ 342900 h 1869018"/>
              <a:gd name="connsiteX30" fmla="*/ 772737 w 902277"/>
              <a:gd name="connsiteY30" fmla="*/ 381000 h 1869018"/>
              <a:gd name="connsiteX31" fmla="*/ 780357 w 902277"/>
              <a:gd name="connsiteY31" fmla="*/ 403860 h 1869018"/>
              <a:gd name="connsiteX32" fmla="*/ 826077 w 902277"/>
              <a:gd name="connsiteY32" fmla="*/ 419100 h 1869018"/>
              <a:gd name="connsiteX33" fmla="*/ 864177 w 902277"/>
              <a:gd name="connsiteY33" fmla="*/ 464820 h 1869018"/>
              <a:gd name="connsiteX34" fmla="*/ 902277 w 902277"/>
              <a:gd name="connsiteY34" fmla="*/ 510540 h 1869018"/>
              <a:gd name="connsiteX35" fmla="*/ 635577 w 902277"/>
              <a:gd name="connsiteY35" fmla="*/ 1729740 h 1869018"/>
              <a:gd name="connsiteX36" fmla="*/ 346017 w 902277"/>
              <a:gd name="connsiteY36" fmla="*/ 1752600 h 1869018"/>
              <a:gd name="connsiteX37" fmla="*/ 185997 w 902277"/>
              <a:gd name="connsiteY37" fmla="*/ 929640 h 1869018"/>
              <a:gd name="connsiteX38" fmla="*/ 163137 w 902277"/>
              <a:gd name="connsiteY38" fmla="*/ 914400 h 1869018"/>
              <a:gd name="connsiteX39" fmla="*/ 125037 w 902277"/>
              <a:gd name="connsiteY39" fmla="*/ 906780 h 1869018"/>
              <a:gd name="connsiteX0" fmla="*/ 165877 w 905017"/>
              <a:gd name="connsiteY0" fmla="*/ 914400 h 1869018"/>
              <a:gd name="connsiteX1" fmla="*/ 13477 w 905017"/>
              <a:gd name="connsiteY1" fmla="*/ 510540 h 1869018"/>
              <a:gd name="connsiteX2" fmla="*/ 5857 w 905017"/>
              <a:gd name="connsiteY2" fmla="*/ 487680 h 1869018"/>
              <a:gd name="connsiteX3" fmla="*/ 28717 w 905017"/>
              <a:gd name="connsiteY3" fmla="*/ 373380 h 1869018"/>
              <a:gd name="connsiteX4" fmla="*/ 43957 w 905017"/>
              <a:gd name="connsiteY4" fmla="*/ 350520 h 1869018"/>
              <a:gd name="connsiteX5" fmla="*/ 66817 w 905017"/>
              <a:gd name="connsiteY5" fmla="*/ 335280 h 1869018"/>
              <a:gd name="connsiteX6" fmla="*/ 120157 w 905017"/>
              <a:gd name="connsiteY6" fmla="*/ 274320 h 1869018"/>
              <a:gd name="connsiteX7" fmla="*/ 135397 w 905017"/>
              <a:gd name="connsiteY7" fmla="*/ 251460 h 1869018"/>
              <a:gd name="connsiteX8" fmla="*/ 181117 w 905017"/>
              <a:gd name="connsiteY8" fmla="*/ 220980 h 1869018"/>
              <a:gd name="connsiteX9" fmla="*/ 196357 w 905017"/>
              <a:gd name="connsiteY9" fmla="*/ 198120 h 1869018"/>
              <a:gd name="connsiteX10" fmla="*/ 242077 w 905017"/>
              <a:gd name="connsiteY10" fmla="*/ 160020 h 1869018"/>
              <a:gd name="connsiteX11" fmla="*/ 257317 w 905017"/>
              <a:gd name="connsiteY11" fmla="*/ 137160 h 1869018"/>
              <a:gd name="connsiteX12" fmla="*/ 287797 w 905017"/>
              <a:gd name="connsiteY12" fmla="*/ 114300 h 1869018"/>
              <a:gd name="connsiteX13" fmla="*/ 310657 w 905017"/>
              <a:gd name="connsiteY13" fmla="*/ 91440 h 1869018"/>
              <a:gd name="connsiteX14" fmla="*/ 356377 w 905017"/>
              <a:gd name="connsiteY14" fmla="*/ 68580 h 1869018"/>
              <a:gd name="connsiteX15" fmla="*/ 371617 w 905017"/>
              <a:gd name="connsiteY15" fmla="*/ 45720 h 1869018"/>
              <a:gd name="connsiteX16" fmla="*/ 417337 w 905017"/>
              <a:gd name="connsiteY16" fmla="*/ 30480 h 1869018"/>
              <a:gd name="connsiteX17" fmla="*/ 440197 w 905017"/>
              <a:gd name="connsiteY17" fmla="*/ 15240 h 1869018"/>
              <a:gd name="connsiteX18" fmla="*/ 470677 w 905017"/>
              <a:gd name="connsiteY18" fmla="*/ 7620 h 1869018"/>
              <a:gd name="connsiteX19" fmla="*/ 493537 w 905017"/>
              <a:gd name="connsiteY19" fmla="*/ 0 h 1869018"/>
              <a:gd name="connsiteX20" fmla="*/ 554497 w 905017"/>
              <a:gd name="connsiteY20" fmla="*/ 22860 h 1869018"/>
              <a:gd name="connsiteX21" fmla="*/ 569737 w 905017"/>
              <a:gd name="connsiteY21" fmla="*/ 45720 h 1869018"/>
              <a:gd name="connsiteX22" fmla="*/ 592597 w 905017"/>
              <a:gd name="connsiteY22" fmla="*/ 53340 h 1869018"/>
              <a:gd name="connsiteX23" fmla="*/ 615457 w 905017"/>
              <a:gd name="connsiteY23" fmla="*/ 68580 h 1869018"/>
              <a:gd name="connsiteX24" fmla="*/ 630697 w 905017"/>
              <a:gd name="connsiteY24" fmla="*/ 91440 h 1869018"/>
              <a:gd name="connsiteX25" fmla="*/ 653557 w 905017"/>
              <a:gd name="connsiteY25" fmla="*/ 106680 h 1869018"/>
              <a:gd name="connsiteX26" fmla="*/ 684037 w 905017"/>
              <a:gd name="connsiteY26" fmla="*/ 137160 h 1869018"/>
              <a:gd name="connsiteX27" fmla="*/ 744997 w 905017"/>
              <a:gd name="connsiteY27" fmla="*/ 190500 h 1869018"/>
              <a:gd name="connsiteX28" fmla="*/ 805957 w 905017"/>
              <a:gd name="connsiteY28" fmla="*/ 259080 h 1869018"/>
              <a:gd name="connsiteX29" fmla="*/ 767857 w 905017"/>
              <a:gd name="connsiteY29" fmla="*/ 342900 h 1869018"/>
              <a:gd name="connsiteX30" fmla="*/ 775477 w 905017"/>
              <a:gd name="connsiteY30" fmla="*/ 381000 h 1869018"/>
              <a:gd name="connsiteX31" fmla="*/ 783097 w 905017"/>
              <a:gd name="connsiteY31" fmla="*/ 403860 h 1869018"/>
              <a:gd name="connsiteX32" fmla="*/ 828817 w 905017"/>
              <a:gd name="connsiteY32" fmla="*/ 419100 h 1869018"/>
              <a:gd name="connsiteX33" fmla="*/ 866917 w 905017"/>
              <a:gd name="connsiteY33" fmla="*/ 464820 h 1869018"/>
              <a:gd name="connsiteX34" fmla="*/ 905017 w 905017"/>
              <a:gd name="connsiteY34" fmla="*/ 510540 h 1869018"/>
              <a:gd name="connsiteX35" fmla="*/ 638317 w 905017"/>
              <a:gd name="connsiteY35" fmla="*/ 1729740 h 1869018"/>
              <a:gd name="connsiteX36" fmla="*/ 348757 w 905017"/>
              <a:gd name="connsiteY36" fmla="*/ 1752600 h 1869018"/>
              <a:gd name="connsiteX37" fmla="*/ 188737 w 905017"/>
              <a:gd name="connsiteY37" fmla="*/ 929640 h 1869018"/>
              <a:gd name="connsiteX38" fmla="*/ 165877 w 905017"/>
              <a:gd name="connsiteY38" fmla="*/ 914400 h 1869018"/>
              <a:gd name="connsiteX0" fmla="*/ 190399 w 906679"/>
              <a:gd name="connsiteY0" fmla="*/ 929640 h 1869018"/>
              <a:gd name="connsiteX1" fmla="*/ 15139 w 906679"/>
              <a:gd name="connsiteY1" fmla="*/ 510540 h 1869018"/>
              <a:gd name="connsiteX2" fmla="*/ 7519 w 906679"/>
              <a:gd name="connsiteY2" fmla="*/ 487680 h 1869018"/>
              <a:gd name="connsiteX3" fmla="*/ 30379 w 906679"/>
              <a:gd name="connsiteY3" fmla="*/ 373380 h 1869018"/>
              <a:gd name="connsiteX4" fmla="*/ 45619 w 906679"/>
              <a:gd name="connsiteY4" fmla="*/ 350520 h 1869018"/>
              <a:gd name="connsiteX5" fmla="*/ 68479 w 906679"/>
              <a:gd name="connsiteY5" fmla="*/ 335280 h 1869018"/>
              <a:gd name="connsiteX6" fmla="*/ 121819 w 906679"/>
              <a:gd name="connsiteY6" fmla="*/ 274320 h 1869018"/>
              <a:gd name="connsiteX7" fmla="*/ 137059 w 906679"/>
              <a:gd name="connsiteY7" fmla="*/ 251460 h 1869018"/>
              <a:gd name="connsiteX8" fmla="*/ 182779 w 906679"/>
              <a:gd name="connsiteY8" fmla="*/ 220980 h 1869018"/>
              <a:gd name="connsiteX9" fmla="*/ 198019 w 906679"/>
              <a:gd name="connsiteY9" fmla="*/ 198120 h 1869018"/>
              <a:gd name="connsiteX10" fmla="*/ 243739 w 906679"/>
              <a:gd name="connsiteY10" fmla="*/ 160020 h 1869018"/>
              <a:gd name="connsiteX11" fmla="*/ 258979 w 906679"/>
              <a:gd name="connsiteY11" fmla="*/ 137160 h 1869018"/>
              <a:gd name="connsiteX12" fmla="*/ 289459 w 906679"/>
              <a:gd name="connsiteY12" fmla="*/ 114300 h 1869018"/>
              <a:gd name="connsiteX13" fmla="*/ 312319 w 906679"/>
              <a:gd name="connsiteY13" fmla="*/ 91440 h 1869018"/>
              <a:gd name="connsiteX14" fmla="*/ 358039 w 906679"/>
              <a:gd name="connsiteY14" fmla="*/ 68580 h 1869018"/>
              <a:gd name="connsiteX15" fmla="*/ 373279 w 906679"/>
              <a:gd name="connsiteY15" fmla="*/ 45720 h 1869018"/>
              <a:gd name="connsiteX16" fmla="*/ 418999 w 906679"/>
              <a:gd name="connsiteY16" fmla="*/ 30480 h 1869018"/>
              <a:gd name="connsiteX17" fmla="*/ 441859 w 906679"/>
              <a:gd name="connsiteY17" fmla="*/ 15240 h 1869018"/>
              <a:gd name="connsiteX18" fmla="*/ 472339 w 906679"/>
              <a:gd name="connsiteY18" fmla="*/ 7620 h 1869018"/>
              <a:gd name="connsiteX19" fmla="*/ 495199 w 906679"/>
              <a:gd name="connsiteY19" fmla="*/ 0 h 1869018"/>
              <a:gd name="connsiteX20" fmla="*/ 556159 w 906679"/>
              <a:gd name="connsiteY20" fmla="*/ 22860 h 1869018"/>
              <a:gd name="connsiteX21" fmla="*/ 571399 w 906679"/>
              <a:gd name="connsiteY21" fmla="*/ 45720 h 1869018"/>
              <a:gd name="connsiteX22" fmla="*/ 594259 w 906679"/>
              <a:gd name="connsiteY22" fmla="*/ 53340 h 1869018"/>
              <a:gd name="connsiteX23" fmla="*/ 617119 w 906679"/>
              <a:gd name="connsiteY23" fmla="*/ 68580 h 1869018"/>
              <a:gd name="connsiteX24" fmla="*/ 632359 w 906679"/>
              <a:gd name="connsiteY24" fmla="*/ 91440 h 1869018"/>
              <a:gd name="connsiteX25" fmla="*/ 655219 w 906679"/>
              <a:gd name="connsiteY25" fmla="*/ 106680 h 1869018"/>
              <a:gd name="connsiteX26" fmla="*/ 685699 w 906679"/>
              <a:gd name="connsiteY26" fmla="*/ 137160 h 1869018"/>
              <a:gd name="connsiteX27" fmla="*/ 746659 w 906679"/>
              <a:gd name="connsiteY27" fmla="*/ 190500 h 1869018"/>
              <a:gd name="connsiteX28" fmla="*/ 807619 w 906679"/>
              <a:gd name="connsiteY28" fmla="*/ 259080 h 1869018"/>
              <a:gd name="connsiteX29" fmla="*/ 769519 w 906679"/>
              <a:gd name="connsiteY29" fmla="*/ 342900 h 1869018"/>
              <a:gd name="connsiteX30" fmla="*/ 777139 w 906679"/>
              <a:gd name="connsiteY30" fmla="*/ 381000 h 1869018"/>
              <a:gd name="connsiteX31" fmla="*/ 784759 w 906679"/>
              <a:gd name="connsiteY31" fmla="*/ 403860 h 1869018"/>
              <a:gd name="connsiteX32" fmla="*/ 830479 w 906679"/>
              <a:gd name="connsiteY32" fmla="*/ 419100 h 1869018"/>
              <a:gd name="connsiteX33" fmla="*/ 868579 w 906679"/>
              <a:gd name="connsiteY33" fmla="*/ 464820 h 1869018"/>
              <a:gd name="connsiteX34" fmla="*/ 906679 w 906679"/>
              <a:gd name="connsiteY34" fmla="*/ 510540 h 1869018"/>
              <a:gd name="connsiteX35" fmla="*/ 639979 w 906679"/>
              <a:gd name="connsiteY35" fmla="*/ 1729740 h 1869018"/>
              <a:gd name="connsiteX36" fmla="*/ 350419 w 906679"/>
              <a:gd name="connsiteY36" fmla="*/ 1752600 h 1869018"/>
              <a:gd name="connsiteX37" fmla="*/ 190399 w 906679"/>
              <a:gd name="connsiteY37" fmla="*/ 929640 h 1869018"/>
              <a:gd name="connsiteX0" fmla="*/ 362181 w 918441"/>
              <a:gd name="connsiteY0" fmla="*/ 1752600 h 1895399"/>
              <a:gd name="connsiteX1" fmla="*/ 26901 w 918441"/>
              <a:gd name="connsiteY1" fmla="*/ 510540 h 1895399"/>
              <a:gd name="connsiteX2" fmla="*/ 19281 w 918441"/>
              <a:gd name="connsiteY2" fmla="*/ 487680 h 1895399"/>
              <a:gd name="connsiteX3" fmla="*/ 42141 w 918441"/>
              <a:gd name="connsiteY3" fmla="*/ 373380 h 1895399"/>
              <a:gd name="connsiteX4" fmla="*/ 57381 w 918441"/>
              <a:gd name="connsiteY4" fmla="*/ 350520 h 1895399"/>
              <a:gd name="connsiteX5" fmla="*/ 80241 w 918441"/>
              <a:gd name="connsiteY5" fmla="*/ 335280 h 1895399"/>
              <a:gd name="connsiteX6" fmla="*/ 133581 w 918441"/>
              <a:gd name="connsiteY6" fmla="*/ 274320 h 1895399"/>
              <a:gd name="connsiteX7" fmla="*/ 148821 w 918441"/>
              <a:gd name="connsiteY7" fmla="*/ 251460 h 1895399"/>
              <a:gd name="connsiteX8" fmla="*/ 194541 w 918441"/>
              <a:gd name="connsiteY8" fmla="*/ 220980 h 1895399"/>
              <a:gd name="connsiteX9" fmla="*/ 209781 w 918441"/>
              <a:gd name="connsiteY9" fmla="*/ 198120 h 1895399"/>
              <a:gd name="connsiteX10" fmla="*/ 255501 w 918441"/>
              <a:gd name="connsiteY10" fmla="*/ 160020 h 1895399"/>
              <a:gd name="connsiteX11" fmla="*/ 270741 w 918441"/>
              <a:gd name="connsiteY11" fmla="*/ 137160 h 1895399"/>
              <a:gd name="connsiteX12" fmla="*/ 301221 w 918441"/>
              <a:gd name="connsiteY12" fmla="*/ 114300 h 1895399"/>
              <a:gd name="connsiteX13" fmla="*/ 324081 w 918441"/>
              <a:gd name="connsiteY13" fmla="*/ 91440 h 1895399"/>
              <a:gd name="connsiteX14" fmla="*/ 369801 w 918441"/>
              <a:gd name="connsiteY14" fmla="*/ 68580 h 1895399"/>
              <a:gd name="connsiteX15" fmla="*/ 385041 w 918441"/>
              <a:gd name="connsiteY15" fmla="*/ 45720 h 1895399"/>
              <a:gd name="connsiteX16" fmla="*/ 430761 w 918441"/>
              <a:gd name="connsiteY16" fmla="*/ 30480 h 1895399"/>
              <a:gd name="connsiteX17" fmla="*/ 453621 w 918441"/>
              <a:gd name="connsiteY17" fmla="*/ 15240 h 1895399"/>
              <a:gd name="connsiteX18" fmla="*/ 484101 w 918441"/>
              <a:gd name="connsiteY18" fmla="*/ 7620 h 1895399"/>
              <a:gd name="connsiteX19" fmla="*/ 506961 w 918441"/>
              <a:gd name="connsiteY19" fmla="*/ 0 h 1895399"/>
              <a:gd name="connsiteX20" fmla="*/ 567921 w 918441"/>
              <a:gd name="connsiteY20" fmla="*/ 22860 h 1895399"/>
              <a:gd name="connsiteX21" fmla="*/ 583161 w 918441"/>
              <a:gd name="connsiteY21" fmla="*/ 45720 h 1895399"/>
              <a:gd name="connsiteX22" fmla="*/ 606021 w 918441"/>
              <a:gd name="connsiteY22" fmla="*/ 53340 h 1895399"/>
              <a:gd name="connsiteX23" fmla="*/ 628881 w 918441"/>
              <a:gd name="connsiteY23" fmla="*/ 68580 h 1895399"/>
              <a:gd name="connsiteX24" fmla="*/ 644121 w 918441"/>
              <a:gd name="connsiteY24" fmla="*/ 91440 h 1895399"/>
              <a:gd name="connsiteX25" fmla="*/ 666981 w 918441"/>
              <a:gd name="connsiteY25" fmla="*/ 106680 h 1895399"/>
              <a:gd name="connsiteX26" fmla="*/ 697461 w 918441"/>
              <a:gd name="connsiteY26" fmla="*/ 137160 h 1895399"/>
              <a:gd name="connsiteX27" fmla="*/ 758421 w 918441"/>
              <a:gd name="connsiteY27" fmla="*/ 190500 h 1895399"/>
              <a:gd name="connsiteX28" fmla="*/ 819381 w 918441"/>
              <a:gd name="connsiteY28" fmla="*/ 259080 h 1895399"/>
              <a:gd name="connsiteX29" fmla="*/ 781281 w 918441"/>
              <a:gd name="connsiteY29" fmla="*/ 342900 h 1895399"/>
              <a:gd name="connsiteX30" fmla="*/ 788901 w 918441"/>
              <a:gd name="connsiteY30" fmla="*/ 381000 h 1895399"/>
              <a:gd name="connsiteX31" fmla="*/ 796521 w 918441"/>
              <a:gd name="connsiteY31" fmla="*/ 403860 h 1895399"/>
              <a:gd name="connsiteX32" fmla="*/ 842241 w 918441"/>
              <a:gd name="connsiteY32" fmla="*/ 419100 h 1895399"/>
              <a:gd name="connsiteX33" fmla="*/ 880341 w 918441"/>
              <a:gd name="connsiteY33" fmla="*/ 464820 h 1895399"/>
              <a:gd name="connsiteX34" fmla="*/ 918441 w 918441"/>
              <a:gd name="connsiteY34" fmla="*/ 510540 h 1895399"/>
              <a:gd name="connsiteX35" fmla="*/ 651741 w 918441"/>
              <a:gd name="connsiteY35" fmla="*/ 1729740 h 1895399"/>
              <a:gd name="connsiteX36" fmla="*/ 362181 w 918441"/>
              <a:gd name="connsiteY36" fmla="*/ 1752600 h 1895399"/>
              <a:gd name="connsiteX0" fmla="*/ 673147 w 939847"/>
              <a:gd name="connsiteY0" fmla="*/ 1729740 h 1729740"/>
              <a:gd name="connsiteX1" fmla="*/ 48307 w 939847"/>
              <a:gd name="connsiteY1" fmla="*/ 510540 h 1729740"/>
              <a:gd name="connsiteX2" fmla="*/ 40687 w 939847"/>
              <a:gd name="connsiteY2" fmla="*/ 487680 h 1729740"/>
              <a:gd name="connsiteX3" fmla="*/ 63547 w 939847"/>
              <a:gd name="connsiteY3" fmla="*/ 373380 h 1729740"/>
              <a:gd name="connsiteX4" fmla="*/ 78787 w 939847"/>
              <a:gd name="connsiteY4" fmla="*/ 350520 h 1729740"/>
              <a:gd name="connsiteX5" fmla="*/ 101647 w 939847"/>
              <a:gd name="connsiteY5" fmla="*/ 335280 h 1729740"/>
              <a:gd name="connsiteX6" fmla="*/ 154987 w 939847"/>
              <a:gd name="connsiteY6" fmla="*/ 274320 h 1729740"/>
              <a:gd name="connsiteX7" fmla="*/ 170227 w 939847"/>
              <a:gd name="connsiteY7" fmla="*/ 251460 h 1729740"/>
              <a:gd name="connsiteX8" fmla="*/ 215947 w 939847"/>
              <a:gd name="connsiteY8" fmla="*/ 220980 h 1729740"/>
              <a:gd name="connsiteX9" fmla="*/ 231187 w 939847"/>
              <a:gd name="connsiteY9" fmla="*/ 198120 h 1729740"/>
              <a:gd name="connsiteX10" fmla="*/ 276907 w 939847"/>
              <a:gd name="connsiteY10" fmla="*/ 160020 h 1729740"/>
              <a:gd name="connsiteX11" fmla="*/ 292147 w 939847"/>
              <a:gd name="connsiteY11" fmla="*/ 137160 h 1729740"/>
              <a:gd name="connsiteX12" fmla="*/ 322627 w 939847"/>
              <a:gd name="connsiteY12" fmla="*/ 114300 h 1729740"/>
              <a:gd name="connsiteX13" fmla="*/ 345487 w 939847"/>
              <a:gd name="connsiteY13" fmla="*/ 91440 h 1729740"/>
              <a:gd name="connsiteX14" fmla="*/ 391207 w 939847"/>
              <a:gd name="connsiteY14" fmla="*/ 68580 h 1729740"/>
              <a:gd name="connsiteX15" fmla="*/ 406447 w 939847"/>
              <a:gd name="connsiteY15" fmla="*/ 45720 h 1729740"/>
              <a:gd name="connsiteX16" fmla="*/ 452167 w 939847"/>
              <a:gd name="connsiteY16" fmla="*/ 30480 h 1729740"/>
              <a:gd name="connsiteX17" fmla="*/ 475027 w 939847"/>
              <a:gd name="connsiteY17" fmla="*/ 15240 h 1729740"/>
              <a:gd name="connsiteX18" fmla="*/ 505507 w 939847"/>
              <a:gd name="connsiteY18" fmla="*/ 7620 h 1729740"/>
              <a:gd name="connsiteX19" fmla="*/ 528367 w 939847"/>
              <a:gd name="connsiteY19" fmla="*/ 0 h 1729740"/>
              <a:gd name="connsiteX20" fmla="*/ 589327 w 939847"/>
              <a:gd name="connsiteY20" fmla="*/ 22860 h 1729740"/>
              <a:gd name="connsiteX21" fmla="*/ 604567 w 939847"/>
              <a:gd name="connsiteY21" fmla="*/ 45720 h 1729740"/>
              <a:gd name="connsiteX22" fmla="*/ 627427 w 939847"/>
              <a:gd name="connsiteY22" fmla="*/ 53340 h 1729740"/>
              <a:gd name="connsiteX23" fmla="*/ 650287 w 939847"/>
              <a:gd name="connsiteY23" fmla="*/ 68580 h 1729740"/>
              <a:gd name="connsiteX24" fmla="*/ 665527 w 939847"/>
              <a:gd name="connsiteY24" fmla="*/ 91440 h 1729740"/>
              <a:gd name="connsiteX25" fmla="*/ 688387 w 939847"/>
              <a:gd name="connsiteY25" fmla="*/ 106680 h 1729740"/>
              <a:gd name="connsiteX26" fmla="*/ 718867 w 939847"/>
              <a:gd name="connsiteY26" fmla="*/ 137160 h 1729740"/>
              <a:gd name="connsiteX27" fmla="*/ 779827 w 939847"/>
              <a:gd name="connsiteY27" fmla="*/ 190500 h 1729740"/>
              <a:gd name="connsiteX28" fmla="*/ 840787 w 939847"/>
              <a:gd name="connsiteY28" fmla="*/ 259080 h 1729740"/>
              <a:gd name="connsiteX29" fmla="*/ 802687 w 939847"/>
              <a:gd name="connsiteY29" fmla="*/ 342900 h 1729740"/>
              <a:gd name="connsiteX30" fmla="*/ 810307 w 939847"/>
              <a:gd name="connsiteY30" fmla="*/ 381000 h 1729740"/>
              <a:gd name="connsiteX31" fmla="*/ 817927 w 939847"/>
              <a:gd name="connsiteY31" fmla="*/ 403860 h 1729740"/>
              <a:gd name="connsiteX32" fmla="*/ 863647 w 939847"/>
              <a:gd name="connsiteY32" fmla="*/ 419100 h 1729740"/>
              <a:gd name="connsiteX33" fmla="*/ 901747 w 939847"/>
              <a:gd name="connsiteY33" fmla="*/ 464820 h 1729740"/>
              <a:gd name="connsiteX34" fmla="*/ 939847 w 939847"/>
              <a:gd name="connsiteY34" fmla="*/ 510540 h 1729740"/>
              <a:gd name="connsiteX35" fmla="*/ 673147 w 939847"/>
              <a:gd name="connsiteY35" fmla="*/ 1729740 h 1729740"/>
              <a:gd name="connsiteX0" fmla="*/ 959588 w 959588"/>
              <a:gd name="connsiteY0" fmla="*/ 510540 h 514939"/>
              <a:gd name="connsiteX1" fmla="*/ 68048 w 959588"/>
              <a:gd name="connsiteY1" fmla="*/ 510540 h 514939"/>
              <a:gd name="connsiteX2" fmla="*/ 60428 w 959588"/>
              <a:gd name="connsiteY2" fmla="*/ 487680 h 514939"/>
              <a:gd name="connsiteX3" fmla="*/ 83288 w 959588"/>
              <a:gd name="connsiteY3" fmla="*/ 373380 h 514939"/>
              <a:gd name="connsiteX4" fmla="*/ 98528 w 959588"/>
              <a:gd name="connsiteY4" fmla="*/ 350520 h 514939"/>
              <a:gd name="connsiteX5" fmla="*/ 121388 w 959588"/>
              <a:gd name="connsiteY5" fmla="*/ 335280 h 514939"/>
              <a:gd name="connsiteX6" fmla="*/ 174728 w 959588"/>
              <a:gd name="connsiteY6" fmla="*/ 274320 h 514939"/>
              <a:gd name="connsiteX7" fmla="*/ 189968 w 959588"/>
              <a:gd name="connsiteY7" fmla="*/ 251460 h 514939"/>
              <a:gd name="connsiteX8" fmla="*/ 235688 w 959588"/>
              <a:gd name="connsiteY8" fmla="*/ 220980 h 514939"/>
              <a:gd name="connsiteX9" fmla="*/ 250928 w 959588"/>
              <a:gd name="connsiteY9" fmla="*/ 198120 h 514939"/>
              <a:gd name="connsiteX10" fmla="*/ 296648 w 959588"/>
              <a:gd name="connsiteY10" fmla="*/ 160020 h 514939"/>
              <a:gd name="connsiteX11" fmla="*/ 311888 w 959588"/>
              <a:gd name="connsiteY11" fmla="*/ 137160 h 514939"/>
              <a:gd name="connsiteX12" fmla="*/ 342368 w 959588"/>
              <a:gd name="connsiteY12" fmla="*/ 114300 h 514939"/>
              <a:gd name="connsiteX13" fmla="*/ 365228 w 959588"/>
              <a:gd name="connsiteY13" fmla="*/ 91440 h 514939"/>
              <a:gd name="connsiteX14" fmla="*/ 410948 w 959588"/>
              <a:gd name="connsiteY14" fmla="*/ 68580 h 514939"/>
              <a:gd name="connsiteX15" fmla="*/ 426188 w 959588"/>
              <a:gd name="connsiteY15" fmla="*/ 45720 h 514939"/>
              <a:gd name="connsiteX16" fmla="*/ 471908 w 959588"/>
              <a:gd name="connsiteY16" fmla="*/ 30480 h 514939"/>
              <a:gd name="connsiteX17" fmla="*/ 494768 w 959588"/>
              <a:gd name="connsiteY17" fmla="*/ 15240 h 514939"/>
              <a:gd name="connsiteX18" fmla="*/ 525248 w 959588"/>
              <a:gd name="connsiteY18" fmla="*/ 7620 h 514939"/>
              <a:gd name="connsiteX19" fmla="*/ 548108 w 959588"/>
              <a:gd name="connsiteY19" fmla="*/ 0 h 514939"/>
              <a:gd name="connsiteX20" fmla="*/ 609068 w 959588"/>
              <a:gd name="connsiteY20" fmla="*/ 22860 h 514939"/>
              <a:gd name="connsiteX21" fmla="*/ 624308 w 959588"/>
              <a:gd name="connsiteY21" fmla="*/ 45720 h 514939"/>
              <a:gd name="connsiteX22" fmla="*/ 647168 w 959588"/>
              <a:gd name="connsiteY22" fmla="*/ 53340 h 514939"/>
              <a:gd name="connsiteX23" fmla="*/ 670028 w 959588"/>
              <a:gd name="connsiteY23" fmla="*/ 68580 h 514939"/>
              <a:gd name="connsiteX24" fmla="*/ 685268 w 959588"/>
              <a:gd name="connsiteY24" fmla="*/ 91440 h 514939"/>
              <a:gd name="connsiteX25" fmla="*/ 708128 w 959588"/>
              <a:gd name="connsiteY25" fmla="*/ 106680 h 514939"/>
              <a:gd name="connsiteX26" fmla="*/ 738608 w 959588"/>
              <a:gd name="connsiteY26" fmla="*/ 137160 h 514939"/>
              <a:gd name="connsiteX27" fmla="*/ 799568 w 959588"/>
              <a:gd name="connsiteY27" fmla="*/ 190500 h 514939"/>
              <a:gd name="connsiteX28" fmla="*/ 860528 w 959588"/>
              <a:gd name="connsiteY28" fmla="*/ 259080 h 514939"/>
              <a:gd name="connsiteX29" fmla="*/ 822428 w 959588"/>
              <a:gd name="connsiteY29" fmla="*/ 342900 h 514939"/>
              <a:gd name="connsiteX30" fmla="*/ 830048 w 959588"/>
              <a:gd name="connsiteY30" fmla="*/ 381000 h 514939"/>
              <a:gd name="connsiteX31" fmla="*/ 837668 w 959588"/>
              <a:gd name="connsiteY31" fmla="*/ 403860 h 514939"/>
              <a:gd name="connsiteX32" fmla="*/ 883388 w 959588"/>
              <a:gd name="connsiteY32" fmla="*/ 419100 h 514939"/>
              <a:gd name="connsiteX33" fmla="*/ 921488 w 959588"/>
              <a:gd name="connsiteY33" fmla="*/ 464820 h 514939"/>
              <a:gd name="connsiteX34" fmla="*/ 959588 w 959588"/>
              <a:gd name="connsiteY34" fmla="*/ 510540 h 514939"/>
              <a:gd name="connsiteX0" fmla="*/ 899160 w 899160"/>
              <a:gd name="connsiteY0" fmla="*/ 510540 h 511827"/>
              <a:gd name="connsiteX1" fmla="*/ 0 w 899160"/>
              <a:gd name="connsiteY1" fmla="*/ 487680 h 511827"/>
              <a:gd name="connsiteX2" fmla="*/ 22860 w 899160"/>
              <a:gd name="connsiteY2" fmla="*/ 373380 h 511827"/>
              <a:gd name="connsiteX3" fmla="*/ 38100 w 899160"/>
              <a:gd name="connsiteY3" fmla="*/ 350520 h 511827"/>
              <a:gd name="connsiteX4" fmla="*/ 60960 w 899160"/>
              <a:gd name="connsiteY4" fmla="*/ 335280 h 511827"/>
              <a:gd name="connsiteX5" fmla="*/ 114300 w 899160"/>
              <a:gd name="connsiteY5" fmla="*/ 274320 h 511827"/>
              <a:gd name="connsiteX6" fmla="*/ 129540 w 899160"/>
              <a:gd name="connsiteY6" fmla="*/ 251460 h 511827"/>
              <a:gd name="connsiteX7" fmla="*/ 175260 w 899160"/>
              <a:gd name="connsiteY7" fmla="*/ 220980 h 511827"/>
              <a:gd name="connsiteX8" fmla="*/ 190500 w 899160"/>
              <a:gd name="connsiteY8" fmla="*/ 198120 h 511827"/>
              <a:gd name="connsiteX9" fmla="*/ 236220 w 899160"/>
              <a:gd name="connsiteY9" fmla="*/ 160020 h 511827"/>
              <a:gd name="connsiteX10" fmla="*/ 251460 w 899160"/>
              <a:gd name="connsiteY10" fmla="*/ 137160 h 511827"/>
              <a:gd name="connsiteX11" fmla="*/ 281940 w 899160"/>
              <a:gd name="connsiteY11" fmla="*/ 114300 h 511827"/>
              <a:gd name="connsiteX12" fmla="*/ 304800 w 899160"/>
              <a:gd name="connsiteY12" fmla="*/ 91440 h 511827"/>
              <a:gd name="connsiteX13" fmla="*/ 350520 w 899160"/>
              <a:gd name="connsiteY13" fmla="*/ 68580 h 511827"/>
              <a:gd name="connsiteX14" fmla="*/ 365760 w 899160"/>
              <a:gd name="connsiteY14" fmla="*/ 45720 h 511827"/>
              <a:gd name="connsiteX15" fmla="*/ 411480 w 899160"/>
              <a:gd name="connsiteY15" fmla="*/ 30480 h 511827"/>
              <a:gd name="connsiteX16" fmla="*/ 434340 w 899160"/>
              <a:gd name="connsiteY16" fmla="*/ 15240 h 511827"/>
              <a:gd name="connsiteX17" fmla="*/ 464820 w 899160"/>
              <a:gd name="connsiteY17" fmla="*/ 7620 h 511827"/>
              <a:gd name="connsiteX18" fmla="*/ 487680 w 899160"/>
              <a:gd name="connsiteY18" fmla="*/ 0 h 511827"/>
              <a:gd name="connsiteX19" fmla="*/ 548640 w 899160"/>
              <a:gd name="connsiteY19" fmla="*/ 22860 h 511827"/>
              <a:gd name="connsiteX20" fmla="*/ 563880 w 899160"/>
              <a:gd name="connsiteY20" fmla="*/ 45720 h 511827"/>
              <a:gd name="connsiteX21" fmla="*/ 586740 w 899160"/>
              <a:gd name="connsiteY21" fmla="*/ 53340 h 511827"/>
              <a:gd name="connsiteX22" fmla="*/ 609600 w 899160"/>
              <a:gd name="connsiteY22" fmla="*/ 68580 h 511827"/>
              <a:gd name="connsiteX23" fmla="*/ 624840 w 899160"/>
              <a:gd name="connsiteY23" fmla="*/ 91440 h 511827"/>
              <a:gd name="connsiteX24" fmla="*/ 647700 w 899160"/>
              <a:gd name="connsiteY24" fmla="*/ 106680 h 511827"/>
              <a:gd name="connsiteX25" fmla="*/ 678180 w 899160"/>
              <a:gd name="connsiteY25" fmla="*/ 137160 h 511827"/>
              <a:gd name="connsiteX26" fmla="*/ 739140 w 899160"/>
              <a:gd name="connsiteY26" fmla="*/ 190500 h 511827"/>
              <a:gd name="connsiteX27" fmla="*/ 800100 w 899160"/>
              <a:gd name="connsiteY27" fmla="*/ 259080 h 511827"/>
              <a:gd name="connsiteX28" fmla="*/ 762000 w 899160"/>
              <a:gd name="connsiteY28" fmla="*/ 342900 h 511827"/>
              <a:gd name="connsiteX29" fmla="*/ 769620 w 899160"/>
              <a:gd name="connsiteY29" fmla="*/ 381000 h 511827"/>
              <a:gd name="connsiteX30" fmla="*/ 777240 w 899160"/>
              <a:gd name="connsiteY30" fmla="*/ 403860 h 511827"/>
              <a:gd name="connsiteX31" fmla="*/ 822960 w 899160"/>
              <a:gd name="connsiteY31" fmla="*/ 419100 h 511827"/>
              <a:gd name="connsiteX32" fmla="*/ 861060 w 899160"/>
              <a:gd name="connsiteY32" fmla="*/ 464820 h 511827"/>
              <a:gd name="connsiteX33" fmla="*/ 899160 w 899160"/>
              <a:gd name="connsiteY33" fmla="*/ 510540 h 511827"/>
              <a:gd name="connsiteX0" fmla="*/ 861060 w 927127"/>
              <a:gd name="connsiteY0" fmla="*/ 464820 h 492266"/>
              <a:gd name="connsiteX1" fmla="*/ 0 w 927127"/>
              <a:gd name="connsiteY1" fmla="*/ 487680 h 492266"/>
              <a:gd name="connsiteX2" fmla="*/ 22860 w 927127"/>
              <a:gd name="connsiteY2" fmla="*/ 373380 h 492266"/>
              <a:gd name="connsiteX3" fmla="*/ 38100 w 927127"/>
              <a:gd name="connsiteY3" fmla="*/ 350520 h 492266"/>
              <a:gd name="connsiteX4" fmla="*/ 60960 w 927127"/>
              <a:gd name="connsiteY4" fmla="*/ 335280 h 492266"/>
              <a:gd name="connsiteX5" fmla="*/ 114300 w 927127"/>
              <a:gd name="connsiteY5" fmla="*/ 274320 h 492266"/>
              <a:gd name="connsiteX6" fmla="*/ 129540 w 927127"/>
              <a:gd name="connsiteY6" fmla="*/ 251460 h 492266"/>
              <a:gd name="connsiteX7" fmla="*/ 175260 w 927127"/>
              <a:gd name="connsiteY7" fmla="*/ 220980 h 492266"/>
              <a:gd name="connsiteX8" fmla="*/ 190500 w 927127"/>
              <a:gd name="connsiteY8" fmla="*/ 198120 h 492266"/>
              <a:gd name="connsiteX9" fmla="*/ 236220 w 927127"/>
              <a:gd name="connsiteY9" fmla="*/ 160020 h 492266"/>
              <a:gd name="connsiteX10" fmla="*/ 251460 w 927127"/>
              <a:gd name="connsiteY10" fmla="*/ 137160 h 492266"/>
              <a:gd name="connsiteX11" fmla="*/ 281940 w 927127"/>
              <a:gd name="connsiteY11" fmla="*/ 114300 h 492266"/>
              <a:gd name="connsiteX12" fmla="*/ 304800 w 927127"/>
              <a:gd name="connsiteY12" fmla="*/ 91440 h 492266"/>
              <a:gd name="connsiteX13" fmla="*/ 350520 w 927127"/>
              <a:gd name="connsiteY13" fmla="*/ 68580 h 492266"/>
              <a:gd name="connsiteX14" fmla="*/ 365760 w 927127"/>
              <a:gd name="connsiteY14" fmla="*/ 45720 h 492266"/>
              <a:gd name="connsiteX15" fmla="*/ 411480 w 927127"/>
              <a:gd name="connsiteY15" fmla="*/ 30480 h 492266"/>
              <a:gd name="connsiteX16" fmla="*/ 434340 w 927127"/>
              <a:gd name="connsiteY16" fmla="*/ 15240 h 492266"/>
              <a:gd name="connsiteX17" fmla="*/ 464820 w 927127"/>
              <a:gd name="connsiteY17" fmla="*/ 7620 h 492266"/>
              <a:gd name="connsiteX18" fmla="*/ 487680 w 927127"/>
              <a:gd name="connsiteY18" fmla="*/ 0 h 492266"/>
              <a:gd name="connsiteX19" fmla="*/ 548640 w 927127"/>
              <a:gd name="connsiteY19" fmla="*/ 22860 h 492266"/>
              <a:gd name="connsiteX20" fmla="*/ 563880 w 927127"/>
              <a:gd name="connsiteY20" fmla="*/ 45720 h 492266"/>
              <a:gd name="connsiteX21" fmla="*/ 586740 w 927127"/>
              <a:gd name="connsiteY21" fmla="*/ 53340 h 492266"/>
              <a:gd name="connsiteX22" fmla="*/ 609600 w 927127"/>
              <a:gd name="connsiteY22" fmla="*/ 68580 h 492266"/>
              <a:gd name="connsiteX23" fmla="*/ 624840 w 927127"/>
              <a:gd name="connsiteY23" fmla="*/ 91440 h 492266"/>
              <a:gd name="connsiteX24" fmla="*/ 647700 w 927127"/>
              <a:gd name="connsiteY24" fmla="*/ 106680 h 492266"/>
              <a:gd name="connsiteX25" fmla="*/ 678180 w 927127"/>
              <a:gd name="connsiteY25" fmla="*/ 137160 h 492266"/>
              <a:gd name="connsiteX26" fmla="*/ 739140 w 927127"/>
              <a:gd name="connsiteY26" fmla="*/ 190500 h 492266"/>
              <a:gd name="connsiteX27" fmla="*/ 800100 w 927127"/>
              <a:gd name="connsiteY27" fmla="*/ 259080 h 492266"/>
              <a:gd name="connsiteX28" fmla="*/ 762000 w 927127"/>
              <a:gd name="connsiteY28" fmla="*/ 342900 h 492266"/>
              <a:gd name="connsiteX29" fmla="*/ 769620 w 927127"/>
              <a:gd name="connsiteY29" fmla="*/ 381000 h 492266"/>
              <a:gd name="connsiteX30" fmla="*/ 777240 w 927127"/>
              <a:gd name="connsiteY30" fmla="*/ 403860 h 492266"/>
              <a:gd name="connsiteX31" fmla="*/ 822960 w 927127"/>
              <a:gd name="connsiteY31" fmla="*/ 419100 h 492266"/>
              <a:gd name="connsiteX32" fmla="*/ 861060 w 927127"/>
              <a:gd name="connsiteY32" fmla="*/ 464820 h 492266"/>
              <a:gd name="connsiteX0" fmla="*/ 869527 w 922968"/>
              <a:gd name="connsiteY0" fmla="*/ 485951 h 496997"/>
              <a:gd name="connsiteX1" fmla="*/ 0 w 922968"/>
              <a:gd name="connsiteY1" fmla="*/ 487680 h 496997"/>
              <a:gd name="connsiteX2" fmla="*/ 22860 w 922968"/>
              <a:gd name="connsiteY2" fmla="*/ 373380 h 496997"/>
              <a:gd name="connsiteX3" fmla="*/ 38100 w 922968"/>
              <a:gd name="connsiteY3" fmla="*/ 350520 h 496997"/>
              <a:gd name="connsiteX4" fmla="*/ 60960 w 922968"/>
              <a:gd name="connsiteY4" fmla="*/ 335280 h 496997"/>
              <a:gd name="connsiteX5" fmla="*/ 114300 w 922968"/>
              <a:gd name="connsiteY5" fmla="*/ 274320 h 496997"/>
              <a:gd name="connsiteX6" fmla="*/ 129540 w 922968"/>
              <a:gd name="connsiteY6" fmla="*/ 251460 h 496997"/>
              <a:gd name="connsiteX7" fmla="*/ 175260 w 922968"/>
              <a:gd name="connsiteY7" fmla="*/ 220980 h 496997"/>
              <a:gd name="connsiteX8" fmla="*/ 190500 w 922968"/>
              <a:gd name="connsiteY8" fmla="*/ 198120 h 496997"/>
              <a:gd name="connsiteX9" fmla="*/ 236220 w 922968"/>
              <a:gd name="connsiteY9" fmla="*/ 160020 h 496997"/>
              <a:gd name="connsiteX10" fmla="*/ 251460 w 922968"/>
              <a:gd name="connsiteY10" fmla="*/ 137160 h 496997"/>
              <a:gd name="connsiteX11" fmla="*/ 281940 w 922968"/>
              <a:gd name="connsiteY11" fmla="*/ 114300 h 496997"/>
              <a:gd name="connsiteX12" fmla="*/ 304800 w 922968"/>
              <a:gd name="connsiteY12" fmla="*/ 91440 h 496997"/>
              <a:gd name="connsiteX13" fmla="*/ 350520 w 922968"/>
              <a:gd name="connsiteY13" fmla="*/ 68580 h 496997"/>
              <a:gd name="connsiteX14" fmla="*/ 365760 w 922968"/>
              <a:gd name="connsiteY14" fmla="*/ 45720 h 496997"/>
              <a:gd name="connsiteX15" fmla="*/ 411480 w 922968"/>
              <a:gd name="connsiteY15" fmla="*/ 30480 h 496997"/>
              <a:gd name="connsiteX16" fmla="*/ 434340 w 922968"/>
              <a:gd name="connsiteY16" fmla="*/ 15240 h 496997"/>
              <a:gd name="connsiteX17" fmla="*/ 464820 w 922968"/>
              <a:gd name="connsiteY17" fmla="*/ 7620 h 496997"/>
              <a:gd name="connsiteX18" fmla="*/ 487680 w 922968"/>
              <a:gd name="connsiteY18" fmla="*/ 0 h 496997"/>
              <a:gd name="connsiteX19" fmla="*/ 548640 w 922968"/>
              <a:gd name="connsiteY19" fmla="*/ 22860 h 496997"/>
              <a:gd name="connsiteX20" fmla="*/ 563880 w 922968"/>
              <a:gd name="connsiteY20" fmla="*/ 45720 h 496997"/>
              <a:gd name="connsiteX21" fmla="*/ 586740 w 922968"/>
              <a:gd name="connsiteY21" fmla="*/ 53340 h 496997"/>
              <a:gd name="connsiteX22" fmla="*/ 609600 w 922968"/>
              <a:gd name="connsiteY22" fmla="*/ 68580 h 496997"/>
              <a:gd name="connsiteX23" fmla="*/ 624840 w 922968"/>
              <a:gd name="connsiteY23" fmla="*/ 91440 h 496997"/>
              <a:gd name="connsiteX24" fmla="*/ 647700 w 922968"/>
              <a:gd name="connsiteY24" fmla="*/ 106680 h 496997"/>
              <a:gd name="connsiteX25" fmla="*/ 678180 w 922968"/>
              <a:gd name="connsiteY25" fmla="*/ 137160 h 496997"/>
              <a:gd name="connsiteX26" fmla="*/ 739140 w 922968"/>
              <a:gd name="connsiteY26" fmla="*/ 190500 h 496997"/>
              <a:gd name="connsiteX27" fmla="*/ 800100 w 922968"/>
              <a:gd name="connsiteY27" fmla="*/ 259080 h 496997"/>
              <a:gd name="connsiteX28" fmla="*/ 762000 w 922968"/>
              <a:gd name="connsiteY28" fmla="*/ 342900 h 496997"/>
              <a:gd name="connsiteX29" fmla="*/ 769620 w 922968"/>
              <a:gd name="connsiteY29" fmla="*/ 381000 h 496997"/>
              <a:gd name="connsiteX30" fmla="*/ 777240 w 922968"/>
              <a:gd name="connsiteY30" fmla="*/ 403860 h 496997"/>
              <a:gd name="connsiteX31" fmla="*/ 822960 w 922968"/>
              <a:gd name="connsiteY31" fmla="*/ 419100 h 496997"/>
              <a:gd name="connsiteX32" fmla="*/ 869527 w 922968"/>
              <a:gd name="connsiteY32" fmla="*/ 485951 h 496997"/>
              <a:gd name="connsiteX0" fmla="*/ 869527 w 869527"/>
              <a:gd name="connsiteY0" fmla="*/ 485951 h 496997"/>
              <a:gd name="connsiteX1" fmla="*/ 0 w 869527"/>
              <a:gd name="connsiteY1" fmla="*/ 487680 h 496997"/>
              <a:gd name="connsiteX2" fmla="*/ 22860 w 869527"/>
              <a:gd name="connsiteY2" fmla="*/ 373380 h 496997"/>
              <a:gd name="connsiteX3" fmla="*/ 38100 w 869527"/>
              <a:gd name="connsiteY3" fmla="*/ 350520 h 496997"/>
              <a:gd name="connsiteX4" fmla="*/ 60960 w 869527"/>
              <a:gd name="connsiteY4" fmla="*/ 335280 h 496997"/>
              <a:gd name="connsiteX5" fmla="*/ 114300 w 869527"/>
              <a:gd name="connsiteY5" fmla="*/ 274320 h 496997"/>
              <a:gd name="connsiteX6" fmla="*/ 129540 w 869527"/>
              <a:gd name="connsiteY6" fmla="*/ 251460 h 496997"/>
              <a:gd name="connsiteX7" fmla="*/ 175260 w 869527"/>
              <a:gd name="connsiteY7" fmla="*/ 220980 h 496997"/>
              <a:gd name="connsiteX8" fmla="*/ 190500 w 869527"/>
              <a:gd name="connsiteY8" fmla="*/ 198120 h 496997"/>
              <a:gd name="connsiteX9" fmla="*/ 236220 w 869527"/>
              <a:gd name="connsiteY9" fmla="*/ 160020 h 496997"/>
              <a:gd name="connsiteX10" fmla="*/ 251460 w 869527"/>
              <a:gd name="connsiteY10" fmla="*/ 137160 h 496997"/>
              <a:gd name="connsiteX11" fmla="*/ 281940 w 869527"/>
              <a:gd name="connsiteY11" fmla="*/ 114300 h 496997"/>
              <a:gd name="connsiteX12" fmla="*/ 304800 w 869527"/>
              <a:gd name="connsiteY12" fmla="*/ 91440 h 496997"/>
              <a:gd name="connsiteX13" fmla="*/ 350520 w 869527"/>
              <a:gd name="connsiteY13" fmla="*/ 68580 h 496997"/>
              <a:gd name="connsiteX14" fmla="*/ 365760 w 869527"/>
              <a:gd name="connsiteY14" fmla="*/ 45720 h 496997"/>
              <a:gd name="connsiteX15" fmla="*/ 411480 w 869527"/>
              <a:gd name="connsiteY15" fmla="*/ 30480 h 496997"/>
              <a:gd name="connsiteX16" fmla="*/ 434340 w 869527"/>
              <a:gd name="connsiteY16" fmla="*/ 15240 h 496997"/>
              <a:gd name="connsiteX17" fmla="*/ 464820 w 869527"/>
              <a:gd name="connsiteY17" fmla="*/ 7620 h 496997"/>
              <a:gd name="connsiteX18" fmla="*/ 487680 w 869527"/>
              <a:gd name="connsiteY18" fmla="*/ 0 h 496997"/>
              <a:gd name="connsiteX19" fmla="*/ 548640 w 869527"/>
              <a:gd name="connsiteY19" fmla="*/ 22860 h 496997"/>
              <a:gd name="connsiteX20" fmla="*/ 563880 w 869527"/>
              <a:gd name="connsiteY20" fmla="*/ 45720 h 496997"/>
              <a:gd name="connsiteX21" fmla="*/ 586740 w 869527"/>
              <a:gd name="connsiteY21" fmla="*/ 53340 h 496997"/>
              <a:gd name="connsiteX22" fmla="*/ 609600 w 869527"/>
              <a:gd name="connsiteY22" fmla="*/ 68580 h 496997"/>
              <a:gd name="connsiteX23" fmla="*/ 624840 w 869527"/>
              <a:gd name="connsiteY23" fmla="*/ 91440 h 496997"/>
              <a:gd name="connsiteX24" fmla="*/ 647700 w 869527"/>
              <a:gd name="connsiteY24" fmla="*/ 106680 h 496997"/>
              <a:gd name="connsiteX25" fmla="*/ 678180 w 869527"/>
              <a:gd name="connsiteY25" fmla="*/ 137160 h 496997"/>
              <a:gd name="connsiteX26" fmla="*/ 739140 w 869527"/>
              <a:gd name="connsiteY26" fmla="*/ 190500 h 496997"/>
              <a:gd name="connsiteX27" fmla="*/ 800100 w 869527"/>
              <a:gd name="connsiteY27" fmla="*/ 259080 h 496997"/>
              <a:gd name="connsiteX28" fmla="*/ 762000 w 869527"/>
              <a:gd name="connsiteY28" fmla="*/ 342900 h 496997"/>
              <a:gd name="connsiteX29" fmla="*/ 769620 w 869527"/>
              <a:gd name="connsiteY29" fmla="*/ 381000 h 496997"/>
              <a:gd name="connsiteX30" fmla="*/ 777240 w 869527"/>
              <a:gd name="connsiteY30" fmla="*/ 403860 h 496997"/>
              <a:gd name="connsiteX31" fmla="*/ 822960 w 869527"/>
              <a:gd name="connsiteY31" fmla="*/ 419100 h 496997"/>
              <a:gd name="connsiteX32" fmla="*/ 869527 w 869527"/>
              <a:gd name="connsiteY32" fmla="*/ 485951 h 496997"/>
              <a:gd name="connsiteX0" fmla="*/ 869527 w 869527"/>
              <a:gd name="connsiteY0" fmla="*/ 485951 h 487680"/>
              <a:gd name="connsiteX1" fmla="*/ 0 w 869527"/>
              <a:gd name="connsiteY1" fmla="*/ 487680 h 487680"/>
              <a:gd name="connsiteX2" fmla="*/ 22860 w 869527"/>
              <a:gd name="connsiteY2" fmla="*/ 373380 h 487680"/>
              <a:gd name="connsiteX3" fmla="*/ 38100 w 869527"/>
              <a:gd name="connsiteY3" fmla="*/ 350520 h 487680"/>
              <a:gd name="connsiteX4" fmla="*/ 60960 w 869527"/>
              <a:gd name="connsiteY4" fmla="*/ 335280 h 487680"/>
              <a:gd name="connsiteX5" fmla="*/ 114300 w 869527"/>
              <a:gd name="connsiteY5" fmla="*/ 274320 h 487680"/>
              <a:gd name="connsiteX6" fmla="*/ 129540 w 869527"/>
              <a:gd name="connsiteY6" fmla="*/ 251460 h 487680"/>
              <a:gd name="connsiteX7" fmla="*/ 175260 w 869527"/>
              <a:gd name="connsiteY7" fmla="*/ 220980 h 487680"/>
              <a:gd name="connsiteX8" fmla="*/ 190500 w 869527"/>
              <a:gd name="connsiteY8" fmla="*/ 198120 h 487680"/>
              <a:gd name="connsiteX9" fmla="*/ 236220 w 869527"/>
              <a:gd name="connsiteY9" fmla="*/ 160020 h 487680"/>
              <a:gd name="connsiteX10" fmla="*/ 251460 w 869527"/>
              <a:gd name="connsiteY10" fmla="*/ 137160 h 487680"/>
              <a:gd name="connsiteX11" fmla="*/ 281940 w 869527"/>
              <a:gd name="connsiteY11" fmla="*/ 114300 h 487680"/>
              <a:gd name="connsiteX12" fmla="*/ 304800 w 869527"/>
              <a:gd name="connsiteY12" fmla="*/ 91440 h 487680"/>
              <a:gd name="connsiteX13" fmla="*/ 350520 w 869527"/>
              <a:gd name="connsiteY13" fmla="*/ 68580 h 487680"/>
              <a:gd name="connsiteX14" fmla="*/ 365760 w 869527"/>
              <a:gd name="connsiteY14" fmla="*/ 45720 h 487680"/>
              <a:gd name="connsiteX15" fmla="*/ 411480 w 869527"/>
              <a:gd name="connsiteY15" fmla="*/ 30480 h 487680"/>
              <a:gd name="connsiteX16" fmla="*/ 434340 w 869527"/>
              <a:gd name="connsiteY16" fmla="*/ 15240 h 487680"/>
              <a:gd name="connsiteX17" fmla="*/ 464820 w 869527"/>
              <a:gd name="connsiteY17" fmla="*/ 7620 h 487680"/>
              <a:gd name="connsiteX18" fmla="*/ 487680 w 869527"/>
              <a:gd name="connsiteY18" fmla="*/ 0 h 487680"/>
              <a:gd name="connsiteX19" fmla="*/ 548640 w 869527"/>
              <a:gd name="connsiteY19" fmla="*/ 22860 h 487680"/>
              <a:gd name="connsiteX20" fmla="*/ 563880 w 869527"/>
              <a:gd name="connsiteY20" fmla="*/ 45720 h 487680"/>
              <a:gd name="connsiteX21" fmla="*/ 586740 w 869527"/>
              <a:gd name="connsiteY21" fmla="*/ 53340 h 487680"/>
              <a:gd name="connsiteX22" fmla="*/ 609600 w 869527"/>
              <a:gd name="connsiteY22" fmla="*/ 68580 h 487680"/>
              <a:gd name="connsiteX23" fmla="*/ 624840 w 869527"/>
              <a:gd name="connsiteY23" fmla="*/ 91440 h 487680"/>
              <a:gd name="connsiteX24" fmla="*/ 647700 w 869527"/>
              <a:gd name="connsiteY24" fmla="*/ 106680 h 487680"/>
              <a:gd name="connsiteX25" fmla="*/ 678180 w 869527"/>
              <a:gd name="connsiteY25" fmla="*/ 137160 h 487680"/>
              <a:gd name="connsiteX26" fmla="*/ 739140 w 869527"/>
              <a:gd name="connsiteY26" fmla="*/ 190500 h 487680"/>
              <a:gd name="connsiteX27" fmla="*/ 800100 w 869527"/>
              <a:gd name="connsiteY27" fmla="*/ 259080 h 487680"/>
              <a:gd name="connsiteX28" fmla="*/ 762000 w 869527"/>
              <a:gd name="connsiteY28" fmla="*/ 342900 h 487680"/>
              <a:gd name="connsiteX29" fmla="*/ 769620 w 869527"/>
              <a:gd name="connsiteY29" fmla="*/ 381000 h 487680"/>
              <a:gd name="connsiteX30" fmla="*/ 777240 w 869527"/>
              <a:gd name="connsiteY30" fmla="*/ 403860 h 487680"/>
              <a:gd name="connsiteX31" fmla="*/ 822960 w 869527"/>
              <a:gd name="connsiteY31" fmla="*/ 419100 h 487680"/>
              <a:gd name="connsiteX32" fmla="*/ 869527 w 869527"/>
              <a:gd name="connsiteY32" fmla="*/ 485951 h 4876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Lst>
            <a:rect l="l" t="t" r="r" b="b"/>
            <a:pathLst>
              <a:path w="869527" h="487680">
                <a:moveTo>
                  <a:pt x="869527" y="485951"/>
                </a:moveTo>
                <a:lnTo>
                  <a:pt x="0" y="487680"/>
                </a:ln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07579" y="405418"/>
                  <a:pt x="822960" y="419100"/>
                </a:cubicBezTo>
                <a:lnTo>
                  <a:pt x="869527" y="485951"/>
                </a:lnTo>
                <a:close/>
              </a:path>
            </a:pathLst>
          </a:custGeom>
          <a:solidFill>
            <a:srgbClr val="FF9999">
              <a:alpha val="10196"/>
            </a:srgbClr>
          </a:solidFill>
          <a:ln>
            <a:solidFill>
              <a:srgbClr val="FF9999">
                <a:alpha val="50196"/>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0</xdr:col>
      <xdr:colOff>54972</xdr:colOff>
      <xdr:row>1155</xdr:row>
      <xdr:rowOff>94240</xdr:rowOff>
    </xdr:from>
    <xdr:to>
      <xdr:col>12</xdr:col>
      <xdr:colOff>495299</xdr:colOff>
      <xdr:row>1175</xdr:row>
      <xdr:rowOff>0</xdr:rowOff>
    </xdr:to>
    <xdr:grpSp>
      <xdr:nvGrpSpPr>
        <xdr:cNvPr id="1809" name="SWOT lettering" hidden="1">
          <a:extLst>
            <a:ext uri="{FF2B5EF4-FFF2-40B4-BE49-F238E27FC236}">
              <a16:creationId xmlns:a16="http://schemas.microsoft.com/office/drawing/2014/main" id="{00000000-0008-0000-0200-000011070000}"/>
            </a:ext>
          </a:extLst>
        </xdr:cNvPr>
        <xdr:cNvGrpSpPr/>
      </xdr:nvGrpSpPr>
      <xdr:grpSpPr>
        <a:xfrm>
          <a:off x="54972" y="230378260"/>
          <a:ext cx="6086747" cy="4752080"/>
          <a:chOff x="6242412" y="35123380"/>
          <a:chExt cx="6010547" cy="4493000"/>
        </a:xfrm>
      </xdr:grpSpPr>
      <xdr:sp macro="" textlink="">
        <xdr:nvSpPr>
          <xdr:cNvPr id="1810" name="S blue of SWOT">
            <a:extLst>
              <a:ext uri="{FF2B5EF4-FFF2-40B4-BE49-F238E27FC236}">
                <a16:creationId xmlns:a16="http://schemas.microsoft.com/office/drawing/2014/main" id="{00000000-0008-0000-0200-000012070000}"/>
              </a:ext>
            </a:extLst>
          </xdr:cNvPr>
          <xdr:cNvSpPr/>
        </xdr:nvSpPr>
        <xdr:spPr>
          <a:xfrm>
            <a:off x="6242412" y="3552724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S</a:t>
            </a:r>
          </a:p>
        </xdr:txBody>
      </xdr:sp>
      <xdr:sp macro="" textlink="">
        <xdr:nvSpPr>
          <xdr:cNvPr id="1811" name="W blue of SWOT">
            <a:extLst>
              <a:ext uri="{FF2B5EF4-FFF2-40B4-BE49-F238E27FC236}">
                <a16:creationId xmlns:a16="http://schemas.microsoft.com/office/drawing/2014/main" id="{00000000-0008-0000-0200-000013070000}"/>
              </a:ext>
            </a:extLst>
          </xdr:cNvPr>
          <xdr:cNvSpPr/>
        </xdr:nvSpPr>
        <xdr:spPr>
          <a:xfrm>
            <a:off x="7286352" y="35527240"/>
            <a:ext cx="1529987" cy="2344160"/>
          </a:xfrm>
          <a:prstGeom prst="rect">
            <a:avLst/>
          </a:prstGeom>
          <a:noFill/>
        </xdr:spPr>
        <xdr:txBody>
          <a:bodyPr wrap="none" lIns="0" tIns="0" rIns="0" bIns="0">
            <a:noAutofit/>
          </a:bodyPr>
          <a:lstStyle/>
          <a:p>
            <a:pPr algn="ctr"/>
            <a:r>
              <a:rPr lang="en-US" sz="16500" b="0" cap="none" spc="-6000" baseline="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1812" name="O blue of SWOT">
            <a:extLst>
              <a:ext uri="{FF2B5EF4-FFF2-40B4-BE49-F238E27FC236}">
                <a16:creationId xmlns:a16="http://schemas.microsoft.com/office/drawing/2014/main" id="{00000000-0008-0000-0200-000014070000}"/>
              </a:ext>
            </a:extLst>
          </xdr:cNvPr>
          <xdr:cNvSpPr/>
        </xdr:nvSpPr>
        <xdr:spPr>
          <a:xfrm>
            <a:off x="627289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O</a:t>
            </a:r>
          </a:p>
        </xdr:txBody>
      </xdr:sp>
      <xdr:sp macro="" textlink="">
        <xdr:nvSpPr>
          <xdr:cNvPr id="1813" name="T blue of SWOT">
            <a:extLst>
              <a:ext uri="{FF2B5EF4-FFF2-40B4-BE49-F238E27FC236}">
                <a16:creationId xmlns:a16="http://schemas.microsoft.com/office/drawing/2014/main" id="{00000000-0008-0000-0200-000015070000}"/>
              </a:ext>
            </a:extLst>
          </xdr:cNvPr>
          <xdr:cNvSpPr/>
        </xdr:nvSpPr>
        <xdr:spPr>
          <a:xfrm>
            <a:off x="777403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T</a:t>
            </a:r>
          </a:p>
        </xdr:txBody>
      </xdr:sp>
      <xdr:sp macro="" textlink="">
        <xdr:nvSpPr>
          <xdr:cNvPr id="1814" name="S red of SWOT">
            <a:extLst>
              <a:ext uri="{FF2B5EF4-FFF2-40B4-BE49-F238E27FC236}">
                <a16:creationId xmlns:a16="http://schemas.microsoft.com/office/drawing/2014/main" id="{00000000-0008-0000-0200-000016070000}"/>
              </a:ext>
            </a:extLst>
          </xdr:cNvPr>
          <xdr:cNvSpPr/>
        </xdr:nvSpPr>
        <xdr:spPr>
          <a:xfrm>
            <a:off x="9275172" y="3512338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S</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1815" name="W red of SWOT">
            <a:extLst>
              <a:ext uri="{FF2B5EF4-FFF2-40B4-BE49-F238E27FC236}">
                <a16:creationId xmlns:a16="http://schemas.microsoft.com/office/drawing/2014/main" id="{00000000-0008-0000-0200-000017070000}"/>
              </a:ext>
            </a:extLst>
          </xdr:cNvPr>
          <xdr:cNvSpPr/>
        </xdr:nvSpPr>
        <xdr:spPr>
          <a:xfrm>
            <a:off x="10326732" y="35527240"/>
            <a:ext cx="1529987" cy="2344160"/>
          </a:xfrm>
          <a:prstGeom prst="rect">
            <a:avLst/>
          </a:prstGeom>
          <a:noFill/>
        </xdr:spPr>
        <xdr:txBody>
          <a:bodyPr wrap="none" lIns="0" tIns="0" rIns="0" bIns="0">
            <a:noAutofit/>
          </a:bodyPr>
          <a:lstStyle/>
          <a:p>
            <a:pPr algn="ctr"/>
            <a:r>
              <a:rPr lang="en-US" sz="16500" b="0" cap="none" spc="-6000" baseline="0">
                <a:ln w="0">
                  <a:solidFill>
                    <a:srgbClr val="FF3C3C"/>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1816" name="O red of SWOT">
            <a:extLst>
              <a:ext uri="{FF2B5EF4-FFF2-40B4-BE49-F238E27FC236}">
                <a16:creationId xmlns:a16="http://schemas.microsoft.com/office/drawing/2014/main" id="{00000000-0008-0000-0200-000018070000}"/>
              </a:ext>
            </a:extLst>
          </xdr:cNvPr>
          <xdr:cNvSpPr/>
        </xdr:nvSpPr>
        <xdr:spPr>
          <a:xfrm>
            <a:off x="92751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O</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1817" name="T red of SWOT">
            <a:extLst>
              <a:ext uri="{FF2B5EF4-FFF2-40B4-BE49-F238E27FC236}">
                <a16:creationId xmlns:a16="http://schemas.microsoft.com/office/drawing/2014/main" id="{00000000-0008-0000-0200-000019070000}"/>
              </a:ext>
            </a:extLst>
          </xdr:cNvPr>
          <xdr:cNvSpPr/>
        </xdr:nvSpPr>
        <xdr:spPr>
          <a:xfrm>
            <a:off x="107229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T</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grpSp>
    <xdr:clientData/>
  </xdr:twoCellAnchor>
  <xdr:oneCellAnchor>
    <xdr:from>
      <xdr:col>1</xdr:col>
      <xdr:colOff>22860</xdr:colOff>
      <xdr:row>1295</xdr:row>
      <xdr:rowOff>60960</xdr:rowOff>
    </xdr:from>
    <xdr:ext cx="5943600" cy="3110484"/>
    <xdr:pic>
      <xdr:nvPicPr>
        <xdr:cNvPr id="1903" name="Picture 1902" hidden="1">
          <a:extLst>
            <a:ext uri="{FF2B5EF4-FFF2-40B4-BE49-F238E27FC236}">
              <a16:creationId xmlns:a16="http://schemas.microsoft.com/office/drawing/2014/main" id="{00000000-0008-0000-0200-00006F070000}"/>
            </a:ext>
          </a:extLst>
        </xdr:cNvPr>
        <xdr:cNvPicPr>
          <a:picLocks noChangeAspect="1"/>
        </xdr:cNvPicPr>
      </xdr:nvPicPr>
      <xdr:blipFill>
        <a:blip xmlns:r="http://schemas.openxmlformats.org/officeDocument/2006/relationships" r:embed="rId5">
          <a:clrChange>
            <a:clrFrom>
              <a:srgbClr val="FFFFFF"/>
            </a:clrFrom>
            <a:clrTo>
              <a:srgbClr val="FFFFFF">
                <a:alpha val="0"/>
              </a:srgbClr>
            </a:clrTo>
          </a:clrChange>
        </a:blip>
        <a:stretch>
          <a:fillRect/>
        </a:stretch>
      </xdr:blipFill>
      <xdr:spPr>
        <a:xfrm>
          <a:off x="6423660" y="89946480"/>
          <a:ext cx="5943600" cy="3110484"/>
        </a:xfrm>
        <a:prstGeom prst="rect">
          <a:avLst/>
        </a:prstGeom>
      </xdr:spPr>
    </xdr:pic>
    <xdr:clientData/>
  </xdr:oneCellAnchor>
  <xdr:twoCellAnchor>
    <xdr:from>
      <xdr:col>0</xdr:col>
      <xdr:colOff>68580</xdr:colOff>
      <xdr:row>1292</xdr:row>
      <xdr:rowOff>190500</xdr:rowOff>
    </xdr:from>
    <xdr:to>
      <xdr:col>6</xdr:col>
      <xdr:colOff>121920</xdr:colOff>
      <xdr:row>1301</xdr:row>
      <xdr:rowOff>7620</xdr:rowOff>
    </xdr:to>
    <xdr:sp macro="" textlink="">
      <xdr:nvSpPr>
        <xdr:cNvPr id="1904" name="Speech Bubble: Rectangle with Corners Rounded 1903">
          <a:extLst>
            <a:ext uri="{FF2B5EF4-FFF2-40B4-BE49-F238E27FC236}">
              <a16:creationId xmlns:a16="http://schemas.microsoft.com/office/drawing/2014/main" id="{00000000-0008-0000-0200-000070070000}"/>
            </a:ext>
          </a:extLst>
        </xdr:cNvPr>
        <xdr:cNvSpPr/>
      </xdr:nvSpPr>
      <xdr:spPr>
        <a:xfrm>
          <a:off x="6347460" y="89466420"/>
          <a:ext cx="2689860" cy="1554480"/>
        </a:xfrm>
        <a:prstGeom prst="wedgeRoundRectCallout">
          <a:avLst>
            <a:gd name="adj1" fmla="val 1390"/>
            <a:gd name="adj2" fmla="val 65189"/>
            <a:gd name="adj3" fmla="val 16667"/>
          </a:avLst>
        </a:prstGeom>
        <a:solidFill>
          <a:srgbClr val="BDD7EE">
            <a:alpha val="20000"/>
          </a:srgbClr>
        </a:solidFill>
        <a:ln w="28575">
          <a:solidFill>
            <a:schemeClr val="accent5">
              <a:lumMod val="60000"/>
              <a:lumOff val="40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68580</xdr:colOff>
      <xdr:row>1305</xdr:row>
      <xdr:rowOff>99060</xdr:rowOff>
    </xdr:from>
    <xdr:to>
      <xdr:col>6</xdr:col>
      <xdr:colOff>121920</xdr:colOff>
      <xdr:row>1314</xdr:row>
      <xdr:rowOff>12192</xdr:rowOff>
    </xdr:to>
    <xdr:sp macro="" textlink="">
      <xdr:nvSpPr>
        <xdr:cNvPr id="1905" name="Speech Bubble: Rectangle with Corners Rounded 1904">
          <a:extLst>
            <a:ext uri="{FF2B5EF4-FFF2-40B4-BE49-F238E27FC236}">
              <a16:creationId xmlns:a16="http://schemas.microsoft.com/office/drawing/2014/main" id="{00000000-0008-0000-0200-000071070000}"/>
            </a:ext>
          </a:extLst>
        </xdr:cNvPr>
        <xdr:cNvSpPr/>
      </xdr:nvSpPr>
      <xdr:spPr>
        <a:xfrm flipV="1">
          <a:off x="6347460" y="91843860"/>
          <a:ext cx="2689860" cy="1559052"/>
        </a:xfrm>
        <a:prstGeom prst="wedgeRoundRectCallout">
          <a:avLst>
            <a:gd name="adj1" fmla="val 1990"/>
            <a:gd name="adj2" fmla="val 66801"/>
            <a:gd name="adj3" fmla="val 16667"/>
          </a:avLst>
        </a:prstGeom>
        <a:solidFill>
          <a:srgbClr val="BDD7EE">
            <a:alpha val="20000"/>
          </a:srgbClr>
        </a:solidFill>
        <a:ln w="28575">
          <a:solidFill>
            <a:schemeClr val="accent5">
              <a:lumMod val="60000"/>
              <a:lumOff val="40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365760</xdr:colOff>
      <xdr:row>1293</xdr:row>
      <xdr:rowOff>7620</xdr:rowOff>
    </xdr:from>
    <xdr:to>
      <xdr:col>13</xdr:col>
      <xdr:colOff>45720</xdr:colOff>
      <xdr:row>1301</xdr:row>
      <xdr:rowOff>22860</xdr:rowOff>
    </xdr:to>
    <xdr:sp macro="" textlink="">
      <xdr:nvSpPr>
        <xdr:cNvPr id="1906" name="Speech Bubble: Rectangle with Corners Rounded 1905">
          <a:extLst>
            <a:ext uri="{FF2B5EF4-FFF2-40B4-BE49-F238E27FC236}">
              <a16:creationId xmlns:a16="http://schemas.microsoft.com/office/drawing/2014/main" id="{00000000-0008-0000-0200-000072070000}"/>
            </a:ext>
          </a:extLst>
        </xdr:cNvPr>
        <xdr:cNvSpPr/>
      </xdr:nvSpPr>
      <xdr:spPr>
        <a:xfrm flipH="1">
          <a:off x="9784080" y="89496900"/>
          <a:ext cx="2697480" cy="1539240"/>
        </a:xfrm>
        <a:prstGeom prst="wedgeRoundRectCallout">
          <a:avLst>
            <a:gd name="adj1" fmla="val 592"/>
            <a:gd name="adj2" fmla="val 64259"/>
            <a:gd name="adj3" fmla="val 16667"/>
          </a:avLst>
        </a:prstGeom>
        <a:solidFill>
          <a:srgbClr val="FFCCCC">
            <a:alpha val="20000"/>
          </a:srgbClr>
        </a:solidFill>
        <a:ln w="28575">
          <a:solidFill>
            <a:srgbClr val="FF9999"/>
          </a:solidFill>
        </a:ln>
        <a:scene3d>
          <a:camera prst="orthographicFront"/>
          <a:lightRig rig="threePt" dir="t"/>
        </a:scene3d>
        <a:sp3d>
          <a:bevelT/>
        </a:sp3d>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381000</xdr:colOff>
      <xdr:row>1305</xdr:row>
      <xdr:rowOff>99060</xdr:rowOff>
    </xdr:from>
    <xdr:to>
      <xdr:col>13</xdr:col>
      <xdr:colOff>60960</xdr:colOff>
      <xdr:row>1314</xdr:row>
      <xdr:rowOff>12192</xdr:rowOff>
    </xdr:to>
    <xdr:sp macro="" textlink="">
      <xdr:nvSpPr>
        <xdr:cNvPr id="1907" name="Speech Bubble: Rectangle with Corners Rounded 1906">
          <a:extLst>
            <a:ext uri="{FF2B5EF4-FFF2-40B4-BE49-F238E27FC236}">
              <a16:creationId xmlns:a16="http://schemas.microsoft.com/office/drawing/2014/main" id="{00000000-0008-0000-0200-000073070000}"/>
            </a:ext>
          </a:extLst>
        </xdr:cNvPr>
        <xdr:cNvSpPr/>
      </xdr:nvSpPr>
      <xdr:spPr>
        <a:xfrm flipH="1" flipV="1">
          <a:off x="9799320" y="91843860"/>
          <a:ext cx="2697480" cy="1559052"/>
        </a:xfrm>
        <a:prstGeom prst="wedgeRoundRectCallout">
          <a:avLst>
            <a:gd name="adj1" fmla="val 754"/>
            <a:gd name="adj2" fmla="val 66355"/>
            <a:gd name="adj3" fmla="val 16667"/>
          </a:avLst>
        </a:prstGeom>
        <a:solidFill>
          <a:srgbClr val="FFCCCC">
            <a:alpha val="20000"/>
          </a:srgbClr>
        </a:solidFill>
        <a:ln w="28575">
          <a:solidFill>
            <a:srgbClr val="FF9999"/>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70505</xdr:colOff>
      <xdr:row>1479</xdr:row>
      <xdr:rowOff>229159</xdr:rowOff>
    </xdr:from>
    <xdr:to>
      <xdr:col>2</xdr:col>
      <xdr:colOff>218708</xdr:colOff>
      <xdr:row>1482</xdr:row>
      <xdr:rowOff>149757</xdr:rowOff>
    </xdr:to>
    <xdr:grpSp>
      <xdr:nvGrpSpPr>
        <xdr:cNvPr id="1954" name="Group 1953">
          <a:extLst>
            <a:ext uri="{FF2B5EF4-FFF2-40B4-BE49-F238E27FC236}">
              <a16:creationId xmlns:a16="http://schemas.microsoft.com/office/drawing/2014/main" id="{00000000-0008-0000-0200-0000A2070000}"/>
            </a:ext>
          </a:extLst>
        </xdr:cNvPr>
        <xdr:cNvGrpSpPr/>
      </xdr:nvGrpSpPr>
      <xdr:grpSpPr>
        <a:xfrm>
          <a:off x="184805" y="290551159"/>
          <a:ext cx="651123" cy="621638"/>
          <a:chOff x="6438900" y="87877029"/>
          <a:chExt cx="645689" cy="621682"/>
        </a:xfrm>
      </xdr:grpSpPr>
      <xdr:sp macro="" textlink="">
        <xdr:nvSpPr>
          <xdr:cNvPr id="1955" name="Oval 1954">
            <a:extLst>
              <a:ext uri="{FF2B5EF4-FFF2-40B4-BE49-F238E27FC236}">
                <a16:creationId xmlns:a16="http://schemas.microsoft.com/office/drawing/2014/main" id="{00000000-0008-0000-0200-0000A3070000}"/>
              </a:ext>
            </a:extLst>
          </xdr:cNvPr>
          <xdr:cNvSpPr>
            <a:spLocks noChangeAspect="1"/>
          </xdr:cNvSpPr>
        </xdr:nvSpPr>
        <xdr:spPr>
          <a:xfrm>
            <a:off x="6438900" y="88041480"/>
            <a:ext cx="471867" cy="457231"/>
          </a:xfrm>
          <a:prstGeom prst="ellipse">
            <a:avLst/>
          </a:prstGeom>
          <a:gradFill>
            <a:gsLst>
              <a:gs pos="0">
                <a:schemeClr val="accent1">
                  <a:tint val="66000"/>
                  <a:satMod val="160000"/>
                </a:schemeClr>
              </a:gs>
              <a:gs pos="50000">
                <a:schemeClr val="accent1">
                  <a:tint val="44500"/>
                  <a:satMod val="160000"/>
                </a:schemeClr>
              </a:gs>
              <a:gs pos="100000">
                <a:schemeClr val="accent1">
                  <a:tint val="23500"/>
                  <a:satMod val="160000"/>
                </a:schemeClr>
              </a:gs>
            </a:gsLst>
            <a:path path="circle">
              <a:fillToRect l="50000" t="50000" r="50000" b="50000"/>
            </a:path>
          </a:gradFill>
          <a:ln>
            <a:noFill/>
          </a:ln>
          <a:scene3d>
            <a:camera prst="orthographicFront"/>
            <a:lightRig rig="threePt" dir="t"/>
          </a:scene3d>
          <a:sp3d>
            <a:bevelT w="10795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1956" name="Rectangle 1955">
            <a:extLst>
              <a:ext uri="{FF2B5EF4-FFF2-40B4-BE49-F238E27FC236}">
                <a16:creationId xmlns:a16="http://schemas.microsoft.com/office/drawing/2014/main" id="{00000000-0008-0000-0200-0000A4070000}"/>
              </a:ext>
            </a:extLst>
          </xdr:cNvPr>
          <xdr:cNvSpPr/>
        </xdr:nvSpPr>
        <xdr:spPr>
          <a:xfrm>
            <a:off x="6442334" y="87877029"/>
            <a:ext cx="642255" cy="548677"/>
          </a:xfrm>
          <a:prstGeom prst="rect">
            <a:avLst/>
          </a:prstGeom>
          <a:noFill/>
        </xdr:spPr>
        <xdr:txBody>
          <a:bodyPr wrap="none" lIns="91440" tIns="45720" rIns="91440" bIns="45720">
            <a:no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1</xdr:col>
      <xdr:colOff>62734</xdr:colOff>
      <xdr:row>1482</xdr:row>
      <xdr:rowOff>100439</xdr:rowOff>
    </xdr:from>
    <xdr:to>
      <xdr:col>2</xdr:col>
      <xdr:colOff>236225</xdr:colOff>
      <xdr:row>1485</xdr:row>
      <xdr:rowOff>131078</xdr:rowOff>
    </xdr:to>
    <xdr:grpSp>
      <xdr:nvGrpSpPr>
        <xdr:cNvPr id="1957" name="Group 1956">
          <a:extLst>
            <a:ext uri="{FF2B5EF4-FFF2-40B4-BE49-F238E27FC236}">
              <a16:creationId xmlns:a16="http://schemas.microsoft.com/office/drawing/2014/main" id="{00000000-0008-0000-0200-0000A5070000}"/>
            </a:ext>
          </a:extLst>
        </xdr:cNvPr>
        <xdr:cNvGrpSpPr/>
      </xdr:nvGrpSpPr>
      <xdr:grpSpPr>
        <a:xfrm>
          <a:off x="177034" y="291123479"/>
          <a:ext cx="676411" cy="602139"/>
          <a:chOff x="6438900" y="87864381"/>
          <a:chExt cx="671063" cy="735746"/>
        </a:xfrm>
      </xdr:grpSpPr>
      <xdr:sp macro="" textlink="">
        <xdr:nvSpPr>
          <xdr:cNvPr id="1958" name="Oval 1957">
            <a:extLst>
              <a:ext uri="{FF2B5EF4-FFF2-40B4-BE49-F238E27FC236}">
                <a16:creationId xmlns:a16="http://schemas.microsoft.com/office/drawing/2014/main" id="{00000000-0008-0000-0200-0000A6070000}"/>
              </a:ext>
            </a:extLst>
          </xdr:cNvPr>
          <xdr:cNvSpPr>
            <a:spLocks noChangeAspect="1"/>
          </xdr:cNvSpPr>
        </xdr:nvSpPr>
        <xdr:spPr>
          <a:xfrm>
            <a:off x="6438900" y="88041480"/>
            <a:ext cx="458753" cy="558647"/>
          </a:xfrm>
          <a:prstGeom prst="ellipse">
            <a:avLst/>
          </a:prstGeom>
          <a:gradFill>
            <a:gsLst>
              <a:gs pos="0">
                <a:schemeClr val="accent1">
                  <a:tint val="66000"/>
                  <a:satMod val="160000"/>
                </a:schemeClr>
              </a:gs>
              <a:gs pos="50000">
                <a:schemeClr val="accent1">
                  <a:tint val="44500"/>
                  <a:satMod val="160000"/>
                </a:schemeClr>
              </a:gs>
              <a:gs pos="100000">
                <a:schemeClr val="accent1">
                  <a:tint val="23500"/>
                  <a:satMod val="160000"/>
                </a:schemeClr>
              </a:gs>
            </a:gsLst>
            <a:path path="circle">
              <a:fillToRect l="50000" t="50000" r="50000" b="50000"/>
            </a:path>
          </a:grad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1959" name="Rectangle 1958">
            <a:extLst>
              <a:ext uri="{FF2B5EF4-FFF2-40B4-BE49-F238E27FC236}">
                <a16:creationId xmlns:a16="http://schemas.microsoft.com/office/drawing/2014/main" id="{00000000-0008-0000-0200-0000A7070000}"/>
              </a:ext>
            </a:extLst>
          </xdr:cNvPr>
          <xdr:cNvSpPr/>
        </xdr:nvSpPr>
        <xdr:spPr>
          <a:xfrm>
            <a:off x="6453585" y="87864381"/>
            <a:ext cx="656378" cy="696642"/>
          </a:xfrm>
          <a:prstGeom prst="rect">
            <a:avLst/>
          </a:prstGeom>
          <a:noFill/>
        </xdr:spPr>
        <xdr:txBody>
          <a:bodyPr wrap="none" lIns="91440" tIns="45720" rIns="91440" bIns="45720">
            <a:noAutofit/>
          </a:bodyPr>
          <a:lstStyle/>
          <a:p>
            <a:pPr algn="ctr"/>
            <a:r>
              <a:rPr lang="en-US" sz="3600" b="0" cap="none" spc="0">
                <a:ln w="0"/>
                <a:solidFill>
                  <a:srgbClr val="D7B9FF"/>
                </a:solidFill>
                <a:effectLst>
                  <a:innerShdw blurRad="114300">
                    <a:prstClr val="black"/>
                  </a:innerShdw>
                </a:effectLst>
                <a:latin typeface="Arial Black" panose="020B0A04020102020204" pitchFamily="34" charset="0"/>
              </a:rPr>
              <a:t>V−</a:t>
            </a:r>
          </a:p>
        </xdr:txBody>
      </xdr:sp>
    </xdr:grpSp>
    <xdr:clientData/>
  </xdr:twoCellAnchor>
  <xdr:twoCellAnchor>
    <xdr:from>
      <xdr:col>1</xdr:col>
      <xdr:colOff>15240</xdr:colOff>
      <xdr:row>1243</xdr:row>
      <xdr:rowOff>45720</xdr:rowOff>
    </xdr:from>
    <xdr:to>
      <xdr:col>7</xdr:col>
      <xdr:colOff>242278</xdr:colOff>
      <xdr:row>1261</xdr:row>
      <xdr:rowOff>91440</xdr:rowOff>
    </xdr:to>
    <xdr:grpSp>
      <xdr:nvGrpSpPr>
        <xdr:cNvPr id="2001" name="Group 2000">
          <a:extLst>
            <a:ext uri="{FF2B5EF4-FFF2-40B4-BE49-F238E27FC236}">
              <a16:creationId xmlns:a16="http://schemas.microsoft.com/office/drawing/2014/main" id="{00000000-0008-0000-0200-0000D1070000}"/>
            </a:ext>
          </a:extLst>
        </xdr:cNvPr>
        <xdr:cNvGrpSpPr>
          <a:grpSpLocks noChangeAspect="1"/>
        </xdr:cNvGrpSpPr>
      </xdr:nvGrpSpPr>
      <xdr:grpSpPr>
        <a:xfrm>
          <a:off x="129540" y="247474740"/>
          <a:ext cx="3244558" cy="3200400"/>
          <a:chOff x="0" y="0"/>
          <a:chExt cx="3200400" cy="3200400"/>
        </a:xfrm>
      </xdr:grpSpPr>
      <xdr:grpSp>
        <xdr:nvGrpSpPr>
          <xdr:cNvPr id="2002" name="Group 2001">
            <a:extLst>
              <a:ext uri="{FF2B5EF4-FFF2-40B4-BE49-F238E27FC236}">
                <a16:creationId xmlns:a16="http://schemas.microsoft.com/office/drawing/2014/main" id="{00000000-0008-0000-0200-0000D2070000}"/>
              </a:ext>
            </a:extLst>
          </xdr:cNvPr>
          <xdr:cNvGrpSpPr/>
        </xdr:nvGrpSpPr>
        <xdr:grpSpPr>
          <a:xfrm>
            <a:off x="0" y="0"/>
            <a:ext cx="3200400" cy="3200400"/>
            <a:chOff x="0" y="0"/>
            <a:chExt cx="2651760" cy="2651760"/>
          </a:xfrm>
        </xdr:grpSpPr>
        <xdr:sp macro="" textlink="">
          <xdr:nvSpPr>
            <xdr:cNvPr id="2015" name="Circle: Hollow 2014">
              <a:extLst>
                <a:ext uri="{FF2B5EF4-FFF2-40B4-BE49-F238E27FC236}">
                  <a16:creationId xmlns:a16="http://schemas.microsoft.com/office/drawing/2014/main" id="{00000000-0008-0000-0200-0000DF07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16" name="Flowchart: Summing Junction 2015">
              <a:extLst>
                <a:ext uri="{FF2B5EF4-FFF2-40B4-BE49-F238E27FC236}">
                  <a16:creationId xmlns:a16="http://schemas.microsoft.com/office/drawing/2014/main" id="{00000000-0008-0000-0200-0000E007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03" name="1">
            <a:extLst>
              <a:ext uri="{FF2B5EF4-FFF2-40B4-BE49-F238E27FC236}">
                <a16:creationId xmlns:a16="http://schemas.microsoft.com/office/drawing/2014/main" id="{00000000-0008-0000-0200-0000D3070000}"/>
              </a:ext>
            </a:extLst>
          </xdr:cNvPr>
          <xdr:cNvSpPr txBox="1"/>
        </xdr:nvSpPr>
        <xdr:spPr>
          <a:xfrm>
            <a:off x="2014928" y="1079053"/>
            <a:ext cx="960547"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04" name="2">
            <a:extLst>
              <a:ext uri="{FF2B5EF4-FFF2-40B4-BE49-F238E27FC236}">
                <a16:creationId xmlns:a16="http://schemas.microsoft.com/office/drawing/2014/main" id="{00000000-0008-0000-0200-0000D4070000}"/>
              </a:ext>
            </a:extLst>
          </xdr:cNvPr>
          <xdr:cNvSpPr txBox="1"/>
        </xdr:nvSpPr>
        <xdr:spPr>
          <a:xfrm flipH="1">
            <a:off x="1122816" y="1856636"/>
            <a:ext cx="931122" cy="121491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05" name="3">
            <a:extLst>
              <a:ext uri="{FF2B5EF4-FFF2-40B4-BE49-F238E27FC236}">
                <a16:creationId xmlns:a16="http://schemas.microsoft.com/office/drawing/2014/main" id="{00000000-0008-0000-0200-0000D5070000}"/>
              </a:ext>
            </a:extLst>
          </xdr:cNvPr>
          <xdr:cNvSpPr txBox="1"/>
        </xdr:nvSpPr>
        <xdr:spPr>
          <a:xfrm>
            <a:off x="58854" y="1046110"/>
            <a:ext cx="1102972" cy="11321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w="9525" cap="flat" cmpd="sng" algn="ctr">
                <a:solidFill>
                  <a:srgbClr val="FFC8FF"/>
                </a:solidFill>
                <a:prstDash val="solid"/>
                <a:round/>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06" name="4">
            <a:extLst>
              <a:ext uri="{FF2B5EF4-FFF2-40B4-BE49-F238E27FC236}">
                <a16:creationId xmlns:a16="http://schemas.microsoft.com/office/drawing/2014/main" id="{00000000-0008-0000-0200-0000D6070000}"/>
              </a:ext>
            </a:extLst>
          </xdr:cNvPr>
          <xdr:cNvSpPr txBox="1"/>
        </xdr:nvSpPr>
        <xdr:spPr>
          <a:xfrm flipH="1">
            <a:off x="1057330" y="200158"/>
            <a:ext cx="987255"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07" name="Right Arrow 12">
            <a:extLst>
              <a:ext uri="{FF2B5EF4-FFF2-40B4-BE49-F238E27FC236}">
                <a16:creationId xmlns:a16="http://schemas.microsoft.com/office/drawing/2014/main" id="{00000000-0008-0000-0200-0000D7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08" name="Right Arrow 13">
            <a:extLst>
              <a:ext uri="{FF2B5EF4-FFF2-40B4-BE49-F238E27FC236}">
                <a16:creationId xmlns:a16="http://schemas.microsoft.com/office/drawing/2014/main" id="{00000000-0008-0000-0200-0000D8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09" name="Right Arrow 14">
            <a:extLst>
              <a:ext uri="{FF2B5EF4-FFF2-40B4-BE49-F238E27FC236}">
                <a16:creationId xmlns:a16="http://schemas.microsoft.com/office/drawing/2014/main" id="{00000000-0008-0000-0200-0000D9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0" name="Right Arrow 15">
            <a:extLst>
              <a:ext uri="{FF2B5EF4-FFF2-40B4-BE49-F238E27FC236}">
                <a16:creationId xmlns:a16="http://schemas.microsoft.com/office/drawing/2014/main" id="{00000000-0008-0000-0200-0000DA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1" name="S">
            <a:extLst>
              <a:ext uri="{FF2B5EF4-FFF2-40B4-BE49-F238E27FC236}">
                <a16:creationId xmlns:a16="http://schemas.microsoft.com/office/drawing/2014/main" id="{00000000-0008-0000-0200-0000DB070000}"/>
              </a:ext>
            </a:extLst>
          </xdr:cNvPr>
          <xdr:cNvSpPr txBox="1"/>
        </xdr:nvSpPr>
        <xdr:spPr>
          <a:xfrm>
            <a:off x="917070" y="2009705"/>
            <a:ext cx="1372270" cy="117117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p>
          <a:p>
            <a:pPr algn="ctr">
              <a:lnSpc>
                <a:spcPts val="1800"/>
              </a:lnSpc>
              <a:spcBef>
                <a:spcPts val="600"/>
              </a:spcBef>
              <a:spcAft>
                <a:spcPts val="600"/>
              </a:spcAft>
            </a:pP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resolve </a:t>
            </a:r>
            <a:b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b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12" name="W">
            <a:extLst>
              <a:ext uri="{FF2B5EF4-FFF2-40B4-BE49-F238E27FC236}">
                <a16:creationId xmlns:a16="http://schemas.microsoft.com/office/drawing/2014/main" id="{00000000-0008-0000-0200-0000DC070000}"/>
              </a:ext>
            </a:extLst>
          </xdr:cNvPr>
          <xdr:cNvSpPr txBox="1"/>
        </xdr:nvSpPr>
        <xdr:spPr>
          <a:xfrm flipH="1">
            <a:off x="120539" y="1133883"/>
            <a:ext cx="1015366" cy="11081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resolve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suffer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3" name="N">
            <a:extLst>
              <a:ext uri="{FF2B5EF4-FFF2-40B4-BE49-F238E27FC236}">
                <a16:creationId xmlns:a16="http://schemas.microsoft.com/office/drawing/2014/main" id="{00000000-0008-0000-0200-0000DD070000}"/>
              </a:ext>
            </a:extLst>
          </xdr:cNvPr>
          <xdr:cNvSpPr txBox="1"/>
        </xdr:nvSpPr>
        <xdr:spPr>
          <a:xfrm>
            <a:off x="962812" y="172568"/>
            <a:ext cx="1280785" cy="101812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suffer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kern="1200"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generalize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4" name="E">
            <a:extLst>
              <a:ext uri="{FF2B5EF4-FFF2-40B4-BE49-F238E27FC236}">
                <a16:creationId xmlns:a16="http://schemas.microsoft.com/office/drawing/2014/main" id="{00000000-0008-0000-0200-0000DE070000}"/>
              </a:ext>
            </a:extLst>
          </xdr:cNvPr>
          <xdr:cNvSpPr txBox="1"/>
        </xdr:nvSpPr>
        <xdr:spPr>
          <a:xfrm flipH="1">
            <a:off x="1870035" y="1194804"/>
            <a:ext cx="1288409" cy="1024153"/>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generalize</a:t>
            </a:r>
            <a:r>
              <a:rPr lang="en-US" sz="1800" b="1" kern="1200"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22860</xdr:colOff>
      <xdr:row>1264</xdr:row>
      <xdr:rowOff>99060</xdr:rowOff>
    </xdr:from>
    <xdr:to>
      <xdr:col>7</xdr:col>
      <xdr:colOff>249898</xdr:colOff>
      <xdr:row>1282</xdr:row>
      <xdr:rowOff>144780</xdr:rowOff>
    </xdr:to>
    <xdr:grpSp>
      <xdr:nvGrpSpPr>
        <xdr:cNvPr id="2017" name="Group 2016">
          <a:extLst>
            <a:ext uri="{FF2B5EF4-FFF2-40B4-BE49-F238E27FC236}">
              <a16:creationId xmlns:a16="http://schemas.microsoft.com/office/drawing/2014/main" id="{00000000-0008-0000-0200-0000E1070000}"/>
            </a:ext>
          </a:extLst>
        </xdr:cNvPr>
        <xdr:cNvGrpSpPr>
          <a:grpSpLocks noChangeAspect="1"/>
        </xdr:cNvGrpSpPr>
      </xdr:nvGrpSpPr>
      <xdr:grpSpPr>
        <a:xfrm>
          <a:off x="137160" y="251208540"/>
          <a:ext cx="3244558" cy="3200400"/>
          <a:chOff x="0" y="0"/>
          <a:chExt cx="3200400" cy="3200400"/>
        </a:xfrm>
      </xdr:grpSpPr>
      <xdr:grpSp>
        <xdr:nvGrpSpPr>
          <xdr:cNvPr id="2018" name="Group 2017">
            <a:extLst>
              <a:ext uri="{FF2B5EF4-FFF2-40B4-BE49-F238E27FC236}">
                <a16:creationId xmlns:a16="http://schemas.microsoft.com/office/drawing/2014/main" id="{00000000-0008-0000-0200-0000E2070000}"/>
              </a:ext>
            </a:extLst>
          </xdr:cNvPr>
          <xdr:cNvGrpSpPr/>
        </xdr:nvGrpSpPr>
        <xdr:grpSpPr>
          <a:xfrm>
            <a:off x="0" y="0"/>
            <a:ext cx="3200400" cy="3200400"/>
            <a:chOff x="0" y="0"/>
            <a:chExt cx="2651760" cy="2651760"/>
          </a:xfrm>
        </xdr:grpSpPr>
        <xdr:sp macro="" textlink="">
          <xdr:nvSpPr>
            <xdr:cNvPr id="2031" name="Circle: Hollow 2030">
              <a:extLst>
                <a:ext uri="{FF2B5EF4-FFF2-40B4-BE49-F238E27FC236}">
                  <a16:creationId xmlns:a16="http://schemas.microsoft.com/office/drawing/2014/main" id="{00000000-0008-0000-0200-0000EF07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32" name="Flowchart: Summing Junction 2031">
              <a:extLst>
                <a:ext uri="{FF2B5EF4-FFF2-40B4-BE49-F238E27FC236}">
                  <a16:creationId xmlns:a16="http://schemas.microsoft.com/office/drawing/2014/main" id="{00000000-0008-0000-0200-0000F007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19" name="1">
            <a:extLst>
              <a:ext uri="{FF2B5EF4-FFF2-40B4-BE49-F238E27FC236}">
                <a16:creationId xmlns:a16="http://schemas.microsoft.com/office/drawing/2014/main" id="{00000000-0008-0000-0200-0000E3070000}"/>
              </a:ext>
            </a:extLst>
          </xdr:cNvPr>
          <xdr:cNvSpPr txBox="1"/>
        </xdr:nvSpPr>
        <xdr:spPr>
          <a:xfrm>
            <a:off x="2184051" y="1099061"/>
            <a:ext cx="698852" cy="115306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0" name="2">
            <a:extLst>
              <a:ext uri="{FF2B5EF4-FFF2-40B4-BE49-F238E27FC236}">
                <a16:creationId xmlns:a16="http://schemas.microsoft.com/office/drawing/2014/main" id="{00000000-0008-0000-0200-0000E4070000}"/>
              </a:ext>
            </a:extLst>
          </xdr:cNvPr>
          <xdr:cNvSpPr txBox="1"/>
        </xdr:nvSpPr>
        <xdr:spPr>
          <a:xfrm flipH="1">
            <a:off x="1173532" y="1883225"/>
            <a:ext cx="894003" cy="12496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21" name="3">
            <a:extLst>
              <a:ext uri="{FF2B5EF4-FFF2-40B4-BE49-F238E27FC236}">
                <a16:creationId xmlns:a16="http://schemas.microsoft.com/office/drawing/2014/main" id="{00000000-0008-0000-0200-0000E5070000}"/>
              </a:ext>
            </a:extLst>
          </xdr:cNvPr>
          <xdr:cNvSpPr txBox="1"/>
        </xdr:nvSpPr>
        <xdr:spPr>
          <a:xfrm>
            <a:off x="305614" y="1099061"/>
            <a:ext cx="772164" cy="10262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22" name="4">
            <a:extLst>
              <a:ext uri="{FF2B5EF4-FFF2-40B4-BE49-F238E27FC236}">
                <a16:creationId xmlns:a16="http://schemas.microsoft.com/office/drawing/2014/main" id="{00000000-0008-0000-0200-0000E6070000}"/>
              </a:ext>
            </a:extLst>
          </xdr:cNvPr>
          <xdr:cNvSpPr txBox="1"/>
        </xdr:nvSpPr>
        <xdr:spPr>
          <a:xfrm flipH="1">
            <a:off x="1059495" y="187024"/>
            <a:ext cx="994498" cy="11301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23" name="Right Arrow 12">
            <a:extLst>
              <a:ext uri="{FF2B5EF4-FFF2-40B4-BE49-F238E27FC236}">
                <a16:creationId xmlns:a16="http://schemas.microsoft.com/office/drawing/2014/main" id="{00000000-0008-0000-0200-0000E7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4" name="Right Arrow 13">
            <a:extLst>
              <a:ext uri="{FF2B5EF4-FFF2-40B4-BE49-F238E27FC236}">
                <a16:creationId xmlns:a16="http://schemas.microsoft.com/office/drawing/2014/main" id="{00000000-0008-0000-0200-0000E8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5" name="Right Arrow 14">
            <a:extLst>
              <a:ext uri="{FF2B5EF4-FFF2-40B4-BE49-F238E27FC236}">
                <a16:creationId xmlns:a16="http://schemas.microsoft.com/office/drawing/2014/main" id="{00000000-0008-0000-0200-0000E9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6" name="Right Arrow 15">
            <a:extLst>
              <a:ext uri="{FF2B5EF4-FFF2-40B4-BE49-F238E27FC236}">
                <a16:creationId xmlns:a16="http://schemas.microsoft.com/office/drawing/2014/main" id="{00000000-0008-0000-0200-0000EA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7" name="S">
            <a:extLst>
              <a:ext uri="{FF2B5EF4-FFF2-40B4-BE49-F238E27FC236}">
                <a16:creationId xmlns:a16="http://schemas.microsoft.com/office/drawing/2014/main" id="{00000000-0008-0000-0200-0000EB070000}"/>
              </a:ext>
            </a:extLst>
          </xdr:cNvPr>
          <xdr:cNvSpPr txBox="1"/>
        </xdr:nvSpPr>
        <xdr:spPr>
          <a:xfrm>
            <a:off x="1017288" y="2098678"/>
            <a:ext cx="1175042" cy="98742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resolve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28" name="W">
            <a:extLst>
              <a:ext uri="{FF2B5EF4-FFF2-40B4-BE49-F238E27FC236}">
                <a16:creationId xmlns:a16="http://schemas.microsoft.com/office/drawing/2014/main" id="{00000000-0008-0000-0200-0000EC070000}"/>
              </a:ext>
            </a:extLst>
          </xdr:cNvPr>
          <xdr:cNvSpPr txBox="1"/>
        </xdr:nvSpPr>
        <xdr:spPr>
          <a:xfrm flipH="1">
            <a:off x="102104" y="1176037"/>
            <a:ext cx="1123459" cy="100584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resolve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suffer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36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endParaRPr lang="en-US" sz="36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29" name="N">
            <a:extLst>
              <a:ext uri="{FF2B5EF4-FFF2-40B4-BE49-F238E27FC236}">
                <a16:creationId xmlns:a16="http://schemas.microsoft.com/office/drawing/2014/main" id="{00000000-0008-0000-0200-0000ED070000}"/>
              </a:ext>
            </a:extLst>
          </xdr:cNvPr>
          <xdr:cNvSpPr txBox="1"/>
        </xdr:nvSpPr>
        <xdr:spPr>
          <a:xfrm>
            <a:off x="1048580" y="181602"/>
            <a:ext cx="1109891" cy="10319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suffer</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generalize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30" name="E">
            <a:extLst>
              <a:ext uri="{FF2B5EF4-FFF2-40B4-BE49-F238E27FC236}">
                <a16:creationId xmlns:a16="http://schemas.microsoft.com/office/drawing/2014/main" id="{00000000-0008-0000-0200-0000EE070000}"/>
              </a:ext>
            </a:extLst>
          </xdr:cNvPr>
          <xdr:cNvSpPr txBox="1"/>
        </xdr:nvSpPr>
        <xdr:spPr>
          <a:xfrm flipH="1">
            <a:off x="1865945" y="1153177"/>
            <a:ext cx="1326527" cy="105155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generalize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kern="1200"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a:t>
            </a:r>
            <a:r>
              <a:rPr lang="en-US" sz="1800" b="1" kern="1200" spc="-7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1335</xdr:row>
      <xdr:rowOff>167640</xdr:rowOff>
    </xdr:from>
    <xdr:to>
      <xdr:col>7</xdr:col>
      <xdr:colOff>237834</xdr:colOff>
      <xdr:row>1354</xdr:row>
      <xdr:rowOff>60960</xdr:rowOff>
    </xdr:to>
    <xdr:grpSp>
      <xdr:nvGrpSpPr>
        <xdr:cNvPr id="2037" name="Group 2036">
          <a:extLst>
            <a:ext uri="{FF2B5EF4-FFF2-40B4-BE49-F238E27FC236}">
              <a16:creationId xmlns:a16="http://schemas.microsoft.com/office/drawing/2014/main" id="{00000000-0008-0000-0200-0000F5070000}"/>
            </a:ext>
          </a:extLst>
        </xdr:cNvPr>
        <xdr:cNvGrpSpPr>
          <a:grpSpLocks noChangeAspect="1"/>
        </xdr:cNvGrpSpPr>
      </xdr:nvGrpSpPr>
      <xdr:grpSpPr>
        <a:xfrm>
          <a:off x="114300" y="264368280"/>
          <a:ext cx="3255354" cy="3223260"/>
          <a:chOff x="-10801" y="0"/>
          <a:chExt cx="3211201" cy="3200400"/>
        </a:xfrm>
      </xdr:grpSpPr>
      <xdr:grpSp>
        <xdr:nvGrpSpPr>
          <xdr:cNvPr id="2038" name="Group 2037">
            <a:extLst>
              <a:ext uri="{FF2B5EF4-FFF2-40B4-BE49-F238E27FC236}">
                <a16:creationId xmlns:a16="http://schemas.microsoft.com/office/drawing/2014/main" id="{00000000-0008-0000-0200-0000F6070000}"/>
              </a:ext>
            </a:extLst>
          </xdr:cNvPr>
          <xdr:cNvGrpSpPr/>
        </xdr:nvGrpSpPr>
        <xdr:grpSpPr>
          <a:xfrm>
            <a:off x="0" y="0"/>
            <a:ext cx="3200400" cy="3200400"/>
            <a:chOff x="0" y="0"/>
            <a:chExt cx="2651760" cy="2651760"/>
          </a:xfrm>
        </xdr:grpSpPr>
        <xdr:sp macro="" textlink="">
          <xdr:nvSpPr>
            <xdr:cNvPr id="2051" name="Circle: Hollow 2050">
              <a:extLst>
                <a:ext uri="{FF2B5EF4-FFF2-40B4-BE49-F238E27FC236}">
                  <a16:creationId xmlns:a16="http://schemas.microsoft.com/office/drawing/2014/main" id="{00000000-0008-0000-0200-00000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52" name="Flowchart: Summing Junction 2051">
              <a:extLst>
                <a:ext uri="{FF2B5EF4-FFF2-40B4-BE49-F238E27FC236}">
                  <a16:creationId xmlns:a16="http://schemas.microsoft.com/office/drawing/2014/main" id="{00000000-0008-0000-0200-00000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39" name="1">
            <a:extLst>
              <a:ext uri="{FF2B5EF4-FFF2-40B4-BE49-F238E27FC236}">
                <a16:creationId xmlns:a16="http://schemas.microsoft.com/office/drawing/2014/main" id="{00000000-0008-0000-0200-0000F7070000}"/>
              </a:ext>
            </a:extLst>
          </xdr:cNvPr>
          <xdr:cNvSpPr txBox="1"/>
        </xdr:nvSpPr>
        <xdr:spPr>
          <a:xfrm>
            <a:off x="2014928" y="1079053"/>
            <a:ext cx="960547"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0" name="2">
            <a:extLst>
              <a:ext uri="{FF2B5EF4-FFF2-40B4-BE49-F238E27FC236}">
                <a16:creationId xmlns:a16="http://schemas.microsoft.com/office/drawing/2014/main" id="{00000000-0008-0000-0200-0000F8070000}"/>
              </a:ext>
            </a:extLst>
          </xdr:cNvPr>
          <xdr:cNvSpPr txBox="1"/>
        </xdr:nvSpPr>
        <xdr:spPr>
          <a:xfrm flipH="1">
            <a:off x="1122816" y="1856636"/>
            <a:ext cx="931122" cy="121491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41" name="3">
            <a:extLst>
              <a:ext uri="{FF2B5EF4-FFF2-40B4-BE49-F238E27FC236}">
                <a16:creationId xmlns:a16="http://schemas.microsoft.com/office/drawing/2014/main" id="{00000000-0008-0000-0200-0000F9070000}"/>
              </a:ext>
            </a:extLst>
          </xdr:cNvPr>
          <xdr:cNvSpPr txBox="1"/>
        </xdr:nvSpPr>
        <xdr:spPr>
          <a:xfrm>
            <a:off x="58854" y="1046110"/>
            <a:ext cx="1102972" cy="11321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w="9525" cap="flat" cmpd="sng" algn="ctr">
                <a:solidFill>
                  <a:srgbClr val="FFC8FF"/>
                </a:solidFill>
                <a:prstDash val="solid"/>
                <a:round/>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42" name="4">
            <a:extLst>
              <a:ext uri="{FF2B5EF4-FFF2-40B4-BE49-F238E27FC236}">
                <a16:creationId xmlns:a16="http://schemas.microsoft.com/office/drawing/2014/main" id="{00000000-0008-0000-0200-0000FA070000}"/>
              </a:ext>
            </a:extLst>
          </xdr:cNvPr>
          <xdr:cNvSpPr txBox="1"/>
        </xdr:nvSpPr>
        <xdr:spPr>
          <a:xfrm flipH="1">
            <a:off x="1057330" y="146818"/>
            <a:ext cx="987255"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43" name="Right Arrow 12">
            <a:extLst>
              <a:ext uri="{FF2B5EF4-FFF2-40B4-BE49-F238E27FC236}">
                <a16:creationId xmlns:a16="http://schemas.microsoft.com/office/drawing/2014/main" id="{00000000-0008-0000-0200-0000FB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4" name="Right Arrow 13">
            <a:extLst>
              <a:ext uri="{FF2B5EF4-FFF2-40B4-BE49-F238E27FC236}">
                <a16:creationId xmlns:a16="http://schemas.microsoft.com/office/drawing/2014/main" id="{00000000-0008-0000-0200-0000FC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5" name="Right Arrow 14">
            <a:extLst>
              <a:ext uri="{FF2B5EF4-FFF2-40B4-BE49-F238E27FC236}">
                <a16:creationId xmlns:a16="http://schemas.microsoft.com/office/drawing/2014/main" id="{00000000-0008-0000-0200-0000FD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6" name="Right Arrow 15">
            <a:extLst>
              <a:ext uri="{FF2B5EF4-FFF2-40B4-BE49-F238E27FC236}">
                <a16:creationId xmlns:a16="http://schemas.microsoft.com/office/drawing/2014/main" id="{00000000-0008-0000-0200-0000FE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7" name="S">
            <a:extLst>
              <a:ext uri="{FF2B5EF4-FFF2-40B4-BE49-F238E27FC236}">
                <a16:creationId xmlns:a16="http://schemas.microsoft.com/office/drawing/2014/main" id="{00000000-0008-0000-0200-0000FF070000}"/>
              </a:ext>
            </a:extLst>
          </xdr:cNvPr>
          <xdr:cNvSpPr txBox="1"/>
        </xdr:nvSpPr>
        <xdr:spPr>
          <a:xfrm>
            <a:off x="1139330" y="2009705"/>
            <a:ext cx="927751" cy="1015435"/>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law</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engage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48" name="W">
            <a:extLst>
              <a:ext uri="{FF2B5EF4-FFF2-40B4-BE49-F238E27FC236}">
                <a16:creationId xmlns:a16="http://schemas.microsoft.com/office/drawing/2014/main" id="{00000000-0008-0000-0200-000000080000}"/>
              </a:ext>
            </a:extLst>
          </xdr:cNvPr>
          <xdr:cNvSpPr txBox="1"/>
        </xdr:nvSpPr>
        <xdr:spPr>
          <a:xfrm flipH="1">
            <a:off x="-10801" y="1046110"/>
            <a:ext cx="1268582" cy="11081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engage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alienate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9" name="N">
            <a:extLst>
              <a:ext uri="{FF2B5EF4-FFF2-40B4-BE49-F238E27FC236}">
                <a16:creationId xmlns:a16="http://schemas.microsoft.com/office/drawing/2014/main" id="{00000000-0008-0000-0200-000001080000}"/>
              </a:ext>
            </a:extLst>
          </xdr:cNvPr>
          <xdr:cNvSpPr txBox="1"/>
        </xdr:nvSpPr>
        <xdr:spPr>
          <a:xfrm>
            <a:off x="1066959" y="184362"/>
            <a:ext cx="1112617" cy="101812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alienate,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aware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50" name="E">
            <a:extLst>
              <a:ext uri="{FF2B5EF4-FFF2-40B4-BE49-F238E27FC236}">
                <a16:creationId xmlns:a16="http://schemas.microsoft.com/office/drawing/2014/main" id="{00000000-0008-0000-0200-000002080000}"/>
              </a:ext>
            </a:extLst>
          </xdr:cNvPr>
          <xdr:cNvSpPr txBox="1"/>
        </xdr:nvSpPr>
        <xdr:spPr>
          <a:xfrm flipH="1">
            <a:off x="2096265" y="1073028"/>
            <a:ext cx="934608" cy="1024153"/>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aware,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law</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1357</xdr:row>
      <xdr:rowOff>7620</xdr:rowOff>
    </xdr:from>
    <xdr:to>
      <xdr:col>7</xdr:col>
      <xdr:colOff>227038</xdr:colOff>
      <xdr:row>1375</xdr:row>
      <xdr:rowOff>53340</xdr:rowOff>
    </xdr:to>
    <xdr:grpSp>
      <xdr:nvGrpSpPr>
        <xdr:cNvPr id="2053" name="Group 2052">
          <a:extLst>
            <a:ext uri="{FF2B5EF4-FFF2-40B4-BE49-F238E27FC236}">
              <a16:creationId xmlns:a16="http://schemas.microsoft.com/office/drawing/2014/main" id="{00000000-0008-0000-0200-000005080000}"/>
            </a:ext>
          </a:extLst>
        </xdr:cNvPr>
        <xdr:cNvGrpSpPr>
          <a:grpSpLocks noChangeAspect="1"/>
        </xdr:cNvGrpSpPr>
      </xdr:nvGrpSpPr>
      <xdr:grpSpPr>
        <a:xfrm>
          <a:off x="114300" y="268063980"/>
          <a:ext cx="3244558" cy="3200400"/>
          <a:chOff x="0" y="0"/>
          <a:chExt cx="3200400" cy="3200400"/>
        </a:xfrm>
      </xdr:grpSpPr>
      <xdr:grpSp>
        <xdr:nvGrpSpPr>
          <xdr:cNvPr id="2054" name="Group 2053">
            <a:extLst>
              <a:ext uri="{FF2B5EF4-FFF2-40B4-BE49-F238E27FC236}">
                <a16:creationId xmlns:a16="http://schemas.microsoft.com/office/drawing/2014/main" id="{00000000-0008-0000-0200-000006080000}"/>
              </a:ext>
            </a:extLst>
          </xdr:cNvPr>
          <xdr:cNvGrpSpPr/>
        </xdr:nvGrpSpPr>
        <xdr:grpSpPr>
          <a:xfrm>
            <a:off x="0" y="0"/>
            <a:ext cx="3200400" cy="3200400"/>
            <a:chOff x="0" y="0"/>
            <a:chExt cx="2651760" cy="2651760"/>
          </a:xfrm>
        </xdr:grpSpPr>
        <xdr:sp macro="" textlink="">
          <xdr:nvSpPr>
            <xdr:cNvPr id="2067" name="Circle: Hollow 2066">
              <a:extLst>
                <a:ext uri="{FF2B5EF4-FFF2-40B4-BE49-F238E27FC236}">
                  <a16:creationId xmlns:a16="http://schemas.microsoft.com/office/drawing/2014/main" id="{00000000-0008-0000-0200-00001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68" name="Flowchart: Summing Junction 2067">
              <a:extLst>
                <a:ext uri="{FF2B5EF4-FFF2-40B4-BE49-F238E27FC236}">
                  <a16:creationId xmlns:a16="http://schemas.microsoft.com/office/drawing/2014/main" id="{00000000-0008-0000-0200-00001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55" name="1">
            <a:extLst>
              <a:ext uri="{FF2B5EF4-FFF2-40B4-BE49-F238E27FC236}">
                <a16:creationId xmlns:a16="http://schemas.microsoft.com/office/drawing/2014/main" id="{00000000-0008-0000-0200-000007080000}"/>
              </a:ext>
            </a:extLst>
          </xdr:cNvPr>
          <xdr:cNvSpPr txBox="1"/>
        </xdr:nvSpPr>
        <xdr:spPr>
          <a:xfrm>
            <a:off x="2184051" y="1099061"/>
            <a:ext cx="698852" cy="115306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56" name="2">
            <a:extLst>
              <a:ext uri="{FF2B5EF4-FFF2-40B4-BE49-F238E27FC236}">
                <a16:creationId xmlns:a16="http://schemas.microsoft.com/office/drawing/2014/main" id="{00000000-0008-0000-0200-000008080000}"/>
              </a:ext>
            </a:extLst>
          </xdr:cNvPr>
          <xdr:cNvSpPr txBox="1"/>
        </xdr:nvSpPr>
        <xdr:spPr>
          <a:xfrm flipH="1">
            <a:off x="1173532" y="1883225"/>
            <a:ext cx="894003" cy="12496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57" name="3">
            <a:extLst>
              <a:ext uri="{FF2B5EF4-FFF2-40B4-BE49-F238E27FC236}">
                <a16:creationId xmlns:a16="http://schemas.microsoft.com/office/drawing/2014/main" id="{00000000-0008-0000-0200-000009080000}"/>
              </a:ext>
            </a:extLst>
          </xdr:cNvPr>
          <xdr:cNvSpPr txBox="1"/>
        </xdr:nvSpPr>
        <xdr:spPr>
          <a:xfrm>
            <a:off x="305614" y="1099061"/>
            <a:ext cx="772164" cy="10262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58" name="4">
            <a:extLst>
              <a:ext uri="{FF2B5EF4-FFF2-40B4-BE49-F238E27FC236}">
                <a16:creationId xmlns:a16="http://schemas.microsoft.com/office/drawing/2014/main" id="{00000000-0008-0000-0200-00000A080000}"/>
              </a:ext>
            </a:extLst>
          </xdr:cNvPr>
          <xdr:cNvSpPr txBox="1"/>
        </xdr:nvSpPr>
        <xdr:spPr>
          <a:xfrm flipH="1">
            <a:off x="1059495" y="187024"/>
            <a:ext cx="994498" cy="11301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59" name="Right Arrow 12">
            <a:extLst>
              <a:ext uri="{FF2B5EF4-FFF2-40B4-BE49-F238E27FC236}">
                <a16:creationId xmlns:a16="http://schemas.microsoft.com/office/drawing/2014/main" id="{00000000-0008-0000-0200-00000B08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0" name="Right Arrow 13">
            <a:extLst>
              <a:ext uri="{FF2B5EF4-FFF2-40B4-BE49-F238E27FC236}">
                <a16:creationId xmlns:a16="http://schemas.microsoft.com/office/drawing/2014/main" id="{00000000-0008-0000-0200-00000C08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1" name="Right Arrow 14">
            <a:extLst>
              <a:ext uri="{FF2B5EF4-FFF2-40B4-BE49-F238E27FC236}">
                <a16:creationId xmlns:a16="http://schemas.microsoft.com/office/drawing/2014/main" id="{00000000-0008-0000-0200-00000D08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2" name="Right Arrow 15">
            <a:extLst>
              <a:ext uri="{FF2B5EF4-FFF2-40B4-BE49-F238E27FC236}">
                <a16:creationId xmlns:a16="http://schemas.microsoft.com/office/drawing/2014/main" id="{00000000-0008-0000-0200-00000E08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3" name="S">
            <a:extLst>
              <a:ext uri="{FF2B5EF4-FFF2-40B4-BE49-F238E27FC236}">
                <a16:creationId xmlns:a16="http://schemas.microsoft.com/office/drawing/2014/main" id="{00000000-0008-0000-0200-00000F080000}"/>
              </a:ext>
            </a:extLst>
          </xdr:cNvPr>
          <xdr:cNvSpPr txBox="1"/>
        </xdr:nvSpPr>
        <xdr:spPr>
          <a:xfrm>
            <a:off x="1142083" y="1993766"/>
            <a:ext cx="925452" cy="98742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law</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engage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64" name="W">
            <a:extLst>
              <a:ext uri="{FF2B5EF4-FFF2-40B4-BE49-F238E27FC236}">
                <a16:creationId xmlns:a16="http://schemas.microsoft.com/office/drawing/2014/main" id="{00000000-0008-0000-0200-000010080000}"/>
              </a:ext>
            </a:extLst>
          </xdr:cNvPr>
          <xdr:cNvSpPr txBox="1"/>
        </xdr:nvSpPr>
        <xdr:spPr>
          <a:xfrm flipH="1">
            <a:off x="51588" y="1101539"/>
            <a:ext cx="1123459" cy="100584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engage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alienate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65" name="N">
            <a:extLst>
              <a:ext uri="{FF2B5EF4-FFF2-40B4-BE49-F238E27FC236}">
                <a16:creationId xmlns:a16="http://schemas.microsoft.com/office/drawing/2014/main" id="{00000000-0008-0000-0200-000011080000}"/>
              </a:ext>
            </a:extLst>
          </xdr:cNvPr>
          <xdr:cNvSpPr txBox="1"/>
        </xdr:nvSpPr>
        <xdr:spPr>
          <a:xfrm>
            <a:off x="1048580" y="181602"/>
            <a:ext cx="1109891" cy="10319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alienate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aware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66" name="E">
            <a:extLst>
              <a:ext uri="{FF2B5EF4-FFF2-40B4-BE49-F238E27FC236}">
                <a16:creationId xmlns:a16="http://schemas.microsoft.com/office/drawing/2014/main" id="{00000000-0008-0000-0200-000012080000}"/>
              </a:ext>
            </a:extLst>
          </xdr:cNvPr>
          <xdr:cNvSpPr txBox="1"/>
        </xdr:nvSpPr>
        <xdr:spPr>
          <a:xfrm flipH="1">
            <a:off x="2163288" y="1086408"/>
            <a:ext cx="892532" cy="105155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aware, </a:t>
            </a:r>
          </a:p>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law</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1429</xdr:row>
      <xdr:rowOff>137160</xdr:rowOff>
    </xdr:from>
    <xdr:to>
      <xdr:col>7</xdr:col>
      <xdr:colOff>227038</xdr:colOff>
      <xdr:row>1448</xdr:row>
      <xdr:rowOff>30480</xdr:rowOff>
    </xdr:to>
    <xdr:grpSp>
      <xdr:nvGrpSpPr>
        <xdr:cNvPr id="2069" name="Group 2068">
          <a:extLst>
            <a:ext uri="{FF2B5EF4-FFF2-40B4-BE49-F238E27FC236}">
              <a16:creationId xmlns:a16="http://schemas.microsoft.com/office/drawing/2014/main" id="{00000000-0008-0000-0200-000015080000}"/>
            </a:ext>
          </a:extLst>
        </xdr:cNvPr>
        <xdr:cNvGrpSpPr>
          <a:grpSpLocks noChangeAspect="1"/>
        </xdr:cNvGrpSpPr>
      </xdr:nvGrpSpPr>
      <xdr:grpSpPr>
        <a:xfrm>
          <a:off x="114300" y="281360880"/>
          <a:ext cx="3244558" cy="3223260"/>
          <a:chOff x="0" y="0"/>
          <a:chExt cx="3200400" cy="3200400"/>
        </a:xfrm>
      </xdr:grpSpPr>
      <xdr:grpSp>
        <xdr:nvGrpSpPr>
          <xdr:cNvPr id="2070" name="Group 2069">
            <a:extLst>
              <a:ext uri="{FF2B5EF4-FFF2-40B4-BE49-F238E27FC236}">
                <a16:creationId xmlns:a16="http://schemas.microsoft.com/office/drawing/2014/main" id="{00000000-0008-0000-0200-000016080000}"/>
              </a:ext>
            </a:extLst>
          </xdr:cNvPr>
          <xdr:cNvGrpSpPr/>
        </xdr:nvGrpSpPr>
        <xdr:grpSpPr>
          <a:xfrm>
            <a:off x="0" y="0"/>
            <a:ext cx="3200400" cy="3200400"/>
            <a:chOff x="0" y="0"/>
            <a:chExt cx="2651760" cy="2651760"/>
          </a:xfrm>
        </xdr:grpSpPr>
        <xdr:sp macro="" textlink="">
          <xdr:nvSpPr>
            <xdr:cNvPr id="2083" name="Circle: Hollow 2082">
              <a:extLst>
                <a:ext uri="{FF2B5EF4-FFF2-40B4-BE49-F238E27FC236}">
                  <a16:creationId xmlns:a16="http://schemas.microsoft.com/office/drawing/2014/main" id="{00000000-0008-0000-0200-00002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84" name="Flowchart: Summing Junction 2083">
              <a:extLst>
                <a:ext uri="{FF2B5EF4-FFF2-40B4-BE49-F238E27FC236}">
                  <a16:creationId xmlns:a16="http://schemas.microsoft.com/office/drawing/2014/main" id="{00000000-0008-0000-0200-00002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71" name="1">
            <a:extLst>
              <a:ext uri="{FF2B5EF4-FFF2-40B4-BE49-F238E27FC236}">
                <a16:creationId xmlns:a16="http://schemas.microsoft.com/office/drawing/2014/main" id="{00000000-0008-0000-0200-000017080000}"/>
              </a:ext>
            </a:extLst>
          </xdr:cNvPr>
          <xdr:cNvSpPr txBox="1"/>
        </xdr:nvSpPr>
        <xdr:spPr>
          <a:xfrm>
            <a:off x="2014928" y="1079053"/>
            <a:ext cx="960547"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2" name="2">
            <a:extLst>
              <a:ext uri="{FF2B5EF4-FFF2-40B4-BE49-F238E27FC236}">
                <a16:creationId xmlns:a16="http://schemas.microsoft.com/office/drawing/2014/main" id="{00000000-0008-0000-0200-000018080000}"/>
              </a:ext>
            </a:extLst>
          </xdr:cNvPr>
          <xdr:cNvSpPr txBox="1"/>
        </xdr:nvSpPr>
        <xdr:spPr>
          <a:xfrm flipH="1">
            <a:off x="1122816" y="1856636"/>
            <a:ext cx="931122" cy="121491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73" name="3">
            <a:extLst>
              <a:ext uri="{FF2B5EF4-FFF2-40B4-BE49-F238E27FC236}">
                <a16:creationId xmlns:a16="http://schemas.microsoft.com/office/drawing/2014/main" id="{00000000-0008-0000-0200-000019080000}"/>
              </a:ext>
            </a:extLst>
          </xdr:cNvPr>
          <xdr:cNvSpPr txBox="1"/>
        </xdr:nvSpPr>
        <xdr:spPr>
          <a:xfrm>
            <a:off x="58854" y="1046110"/>
            <a:ext cx="1102972" cy="11321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w="9525" cap="flat" cmpd="sng" algn="ctr">
                <a:solidFill>
                  <a:srgbClr val="FFC8FF"/>
                </a:solidFill>
                <a:prstDash val="solid"/>
                <a:round/>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74" name="4">
            <a:extLst>
              <a:ext uri="{FF2B5EF4-FFF2-40B4-BE49-F238E27FC236}">
                <a16:creationId xmlns:a16="http://schemas.microsoft.com/office/drawing/2014/main" id="{00000000-0008-0000-0200-00001A080000}"/>
              </a:ext>
            </a:extLst>
          </xdr:cNvPr>
          <xdr:cNvSpPr txBox="1"/>
        </xdr:nvSpPr>
        <xdr:spPr>
          <a:xfrm flipH="1">
            <a:off x="1057330" y="200158"/>
            <a:ext cx="987255"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75" name="Right Arrow 12">
            <a:extLst>
              <a:ext uri="{FF2B5EF4-FFF2-40B4-BE49-F238E27FC236}">
                <a16:creationId xmlns:a16="http://schemas.microsoft.com/office/drawing/2014/main" id="{00000000-0008-0000-0200-00001B08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6" name="Right Arrow 13">
            <a:extLst>
              <a:ext uri="{FF2B5EF4-FFF2-40B4-BE49-F238E27FC236}">
                <a16:creationId xmlns:a16="http://schemas.microsoft.com/office/drawing/2014/main" id="{00000000-0008-0000-0200-00001C08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7" name="Right Arrow 14">
            <a:extLst>
              <a:ext uri="{FF2B5EF4-FFF2-40B4-BE49-F238E27FC236}">
                <a16:creationId xmlns:a16="http://schemas.microsoft.com/office/drawing/2014/main" id="{00000000-0008-0000-0200-00001D08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8" name="Right Arrow 15">
            <a:extLst>
              <a:ext uri="{FF2B5EF4-FFF2-40B4-BE49-F238E27FC236}">
                <a16:creationId xmlns:a16="http://schemas.microsoft.com/office/drawing/2014/main" id="{00000000-0008-0000-0200-00001E08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9" name="S">
            <a:extLst>
              <a:ext uri="{FF2B5EF4-FFF2-40B4-BE49-F238E27FC236}">
                <a16:creationId xmlns:a16="http://schemas.microsoft.com/office/drawing/2014/main" id="{00000000-0008-0000-0200-00001F080000}"/>
              </a:ext>
            </a:extLst>
          </xdr:cNvPr>
          <xdr:cNvSpPr txBox="1"/>
        </xdr:nvSpPr>
        <xdr:spPr>
          <a:xfrm>
            <a:off x="843770" y="2061583"/>
            <a:ext cx="1491185" cy="107785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stereotype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guarded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80" name="W">
            <a:extLst>
              <a:ext uri="{FF2B5EF4-FFF2-40B4-BE49-F238E27FC236}">
                <a16:creationId xmlns:a16="http://schemas.microsoft.com/office/drawing/2014/main" id="{00000000-0008-0000-0200-000020080000}"/>
              </a:ext>
            </a:extLst>
          </xdr:cNvPr>
          <xdr:cNvSpPr txBox="1"/>
        </xdr:nvSpPr>
        <xdr:spPr>
          <a:xfrm flipH="1">
            <a:off x="0" y="985764"/>
            <a:ext cx="1268582" cy="11081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guarded</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defensive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81" name="N">
            <a:extLst>
              <a:ext uri="{FF2B5EF4-FFF2-40B4-BE49-F238E27FC236}">
                <a16:creationId xmlns:a16="http://schemas.microsoft.com/office/drawing/2014/main" id="{00000000-0008-0000-0200-000021080000}"/>
              </a:ext>
            </a:extLst>
          </xdr:cNvPr>
          <xdr:cNvSpPr txBox="1"/>
        </xdr:nvSpPr>
        <xdr:spPr>
          <a:xfrm>
            <a:off x="862042" y="39953"/>
            <a:ext cx="1472164" cy="101812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defensive,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exaggerate</a:t>
            </a:r>
            <a:endParaRPr lang="en-US" sz="1800" spc="-15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82" name="E">
            <a:extLst>
              <a:ext uri="{FF2B5EF4-FFF2-40B4-BE49-F238E27FC236}">
                <a16:creationId xmlns:a16="http://schemas.microsoft.com/office/drawing/2014/main" id="{00000000-0008-0000-0200-000022080000}"/>
              </a:ext>
            </a:extLst>
          </xdr:cNvPr>
          <xdr:cNvSpPr txBox="1"/>
        </xdr:nvSpPr>
        <xdr:spPr>
          <a:xfrm flipH="1">
            <a:off x="1844564" y="1012372"/>
            <a:ext cx="1339351" cy="1024153"/>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exaggerate,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stereotype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99060</xdr:colOff>
      <xdr:row>1451</xdr:row>
      <xdr:rowOff>7620</xdr:rowOff>
    </xdr:from>
    <xdr:to>
      <xdr:col>7</xdr:col>
      <xdr:colOff>204178</xdr:colOff>
      <xdr:row>1469</xdr:row>
      <xdr:rowOff>53340</xdr:rowOff>
    </xdr:to>
    <xdr:grpSp>
      <xdr:nvGrpSpPr>
        <xdr:cNvPr id="2085" name="Group 2084">
          <a:extLst>
            <a:ext uri="{FF2B5EF4-FFF2-40B4-BE49-F238E27FC236}">
              <a16:creationId xmlns:a16="http://schemas.microsoft.com/office/drawing/2014/main" id="{00000000-0008-0000-0200-000025080000}"/>
            </a:ext>
          </a:extLst>
        </xdr:cNvPr>
        <xdr:cNvGrpSpPr>
          <a:grpSpLocks noChangeAspect="1"/>
        </xdr:cNvGrpSpPr>
      </xdr:nvGrpSpPr>
      <xdr:grpSpPr>
        <a:xfrm>
          <a:off x="99060" y="285109920"/>
          <a:ext cx="3236938" cy="3200400"/>
          <a:chOff x="0" y="0"/>
          <a:chExt cx="3200400" cy="3200400"/>
        </a:xfrm>
      </xdr:grpSpPr>
      <xdr:grpSp>
        <xdr:nvGrpSpPr>
          <xdr:cNvPr id="2086" name="Group 2085">
            <a:extLst>
              <a:ext uri="{FF2B5EF4-FFF2-40B4-BE49-F238E27FC236}">
                <a16:creationId xmlns:a16="http://schemas.microsoft.com/office/drawing/2014/main" id="{00000000-0008-0000-0200-000026080000}"/>
              </a:ext>
            </a:extLst>
          </xdr:cNvPr>
          <xdr:cNvGrpSpPr/>
        </xdr:nvGrpSpPr>
        <xdr:grpSpPr>
          <a:xfrm>
            <a:off x="0" y="0"/>
            <a:ext cx="3200400" cy="3200400"/>
            <a:chOff x="0" y="0"/>
            <a:chExt cx="2651760" cy="2651760"/>
          </a:xfrm>
        </xdr:grpSpPr>
        <xdr:sp macro="" textlink="">
          <xdr:nvSpPr>
            <xdr:cNvPr id="2099" name="Circle: Hollow 2098">
              <a:extLst>
                <a:ext uri="{FF2B5EF4-FFF2-40B4-BE49-F238E27FC236}">
                  <a16:creationId xmlns:a16="http://schemas.microsoft.com/office/drawing/2014/main" id="{00000000-0008-0000-0200-00003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100" name="Flowchart: Summing Junction 2099">
              <a:extLst>
                <a:ext uri="{FF2B5EF4-FFF2-40B4-BE49-F238E27FC236}">
                  <a16:creationId xmlns:a16="http://schemas.microsoft.com/office/drawing/2014/main" id="{00000000-0008-0000-0200-00003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87" name="1">
            <a:extLst>
              <a:ext uri="{FF2B5EF4-FFF2-40B4-BE49-F238E27FC236}">
                <a16:creationId xmlns:a16="http://schemas.microsoft.com/office/drawing/2014/main" id="{00000000-0008-0000-0200-000027080000}"/>
              </a:ext>
            </a:extLst>
          </xdr:cNvPr>
          <xdr:cNvSpPr txBox="1"/>
        </xdr:nvSpPr>
        <xdr:spPr>
          <a:xfrm>
            <a:off x="2184051" y="1099061"/>
            <a:ext cx="698852" cy="115306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88" name="2">
            <a:extLst>
              <a:ext uri="{FF2B5EF4-FFF2-40B4-BE49-F238E27FC236}">
                <a16:creationId xmlns:a16="http://schemas.microsoft.com/office/drawing/2014/main" id="{00000000-0008-0000-0200-000028080000}"/>
              </a:ext>
            </a:extLst>
          </xdr:cNvPr>
          <xdr:cNvSpPr txBox="1"/>
        </xdr:nvSpPr>
        <xdr:spPr>
          <a:xfrm flipH="1">
            <a:off x="1173532" y="1883225"/>
            <a:ext cx="894003" cy="12496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89" name="3">
            <a:extLst>
              <a:ext uri="{FF2B5EF4-FFF2-40B4-BE49-F238E27FC236}">
                <a16:creationId xmlns:a16="http://schemas.microsoft.com/office/drawing/2014/main" id="{00000000-0008-0000-0200-000029080000}"/>
              </a:ext>
            </a:extLst>
          </xdr:cNvPr>
          <xdr:cNvSpPr txBox="1"/>
        </xdr:nvSpPr>
        <xdr:spPr>
          <a:xfrm>
            <a:off x="305614" y="1099061"/>
            <a:ext cx="772164" cy="10262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90" name="4">
            <a:extLst>
              <a:ext uri="{FF2B5EF4-FFF2-40B4-BE49-F238E27FC236}">
                <a16:creationId xmlns:a16="http://schemas.microsoft.com/office/drawing/2014/main" id="{00000000-0008-0000-0200-00002A080000}"/>
              </a:ext>
            </a:extLst>
          </xdr:cNvPr>
          <xdr:cNvSpPr txBox="1"/>
        </xdr:nvSpPr>
        <xdr:spPr>
          <a:xfrm flipH="1">
            <a:off x="1059495" y="187024"/>
            <a:ext cx="994498" cy="11301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91" name="Right Arrow 12">
            <a:extLst>
              <a:ext uri="{FF2B5EF4-FFF2-40B4-BE49-F238E27FC236}">
                <a16:creationId xmlns:a16="http://schemas.microsoft.com/office/drawing/2014/main" id="{00000000-0008-0000-0200-00002B08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2" name="Right Arrow 13">
            <a:extLst>
              <a:ext uri="{FF2B5EF4-FFF2-40B4-BE49-F238E27FC236}">
                <a16:creationId xmlns:a16="http://schemas.microsoft.com/office/drawing/2014/main" id="{00000000-0008-0000-0200-00002C08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3" name="Right Arrow 14">
            <a:extLst>
              <a:ext uri="{FF2B5EF4-FFF2-40B4-BE49-F238E27FC236}">
                <a16:creationId xmlns:a16="http://schemas.microsoft.com/office/drawing/2014/main" id="{00000000-0008-0000-0200-00002D08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4" name="Right Arrow 15">
            <a:extLst>
              <a:ext uri="{FF2B5EF4-FFF2-40B4-BE49-F238E27FC236}">
                <a16:creationId xmlns:a16="http://schemas.microsoft.com/office/drawing/2014/main" id="{00000000-0008-0000-0200-00002E08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5" name="S">
            <a:extLst>
              <a:ext uri="{FF2B5EF4-FFF2-40B4-BE49-F238E27FC236}">
                <a16:creationId xmlns:a16="http://schemas.microsoft.com/office/drawing/2014/main" id="{00000000-0008-0000-0200-00002F080000}"/>
              </a:ext>
            </a:extLst>
          </xdr:cNvPr>
          <xdr:cNvSpPr txBox="1"/>
        </xdr:nvSpPr>
        <xdr:spPr>
          <a:xfrm>
            <a:off x="899935" y="2053464"/>
            <a:ext cx="1407181" cy="98742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stereotype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guarded</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96" name="W">
            <a:extLst>
              <a:ext uri="{FF2B5EF4-FFF2-40B4-BE49-F238E27FC236}">
                <a16:creationId xmlns:a16="http://schemas.microsoft.com/office/drawing/2014/main" id="{00000000-0008-0000-0200-000030080000}"/>
              </a:ext>
            </a:extLst>
          </xdr:cNvPr>
          <xdr:cNvSpPr txBox="1"/>
        </xdr:nvSpPr>
        <xdr:spPr>
          <a:xfrm flipH="1">
            <a:off x="75418" y="1038566"/>
            <a:ext cx="1123459" cy="100584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guarded</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defensive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97" name="N">
            <a:extLst>
              <a:ext uri="{FF2B5EF4-FFF2-40B4-BE49-F238E27FC236}">
                <a16:creationId xmlns:a16="http://schemas.microsoft.com/office/drawing/2014/main" id="{00000000-0008-0000-0200-000031080000}"/>
              </a:ext>
            </a:extLst>
          </xdr:cNvPr>
          <xdr:cNvSpPr txBox="1"/>
        </xdr:nvSpPr>
        <xdr:spPr>
          <a:xfrm>
            <a:off x="952504" y="23711"/>
            <a:ext cx="1295391" cy="10319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defensive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exaggerate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98" name="E">
            <a:extLst>
              <a:ext uri="{FF2B5EF4-FFF2-40B4-BE49-F238E27FC236}">
                <a16:creationId xmlns:a16="http://schemas.microsoft.com/office/drawing/2014/main" id="{00000000-0008-0000-0200-000032080000}"/>
              </a:ext>
            </a:extLst>
          </xdr:cNvPr>
          <xdr:cNvSpPr txBox="1"/>
        </xdr:nvSpPr>
        <xdr:spPr>
          <a:xfrm flipH="1">
            <a:off x="1867894" y="1000314"/>
            <a:ext cx="1322632" cy="105155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exaggerate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stereotype</a:t>
            </a:r>
            <a:endParaRPr lang="en-US" sz="1800" spc="-15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19654</xdr:colOff>
      <xdr:row>920</xdr:row>
      <xdr:rowOff>44027</xdr:rowOff>
    </xdr:from>
    <xdr:to>
      <xdr:col>13</xdr:col>
      <xdr:colOff>53340</xdr:colOff>
      <xdr:row>964</xdr:row>
      <xdr:rowOff>22860</xdr:rowOff>
    </xdr:to>
    <xdr:grpSp>
      <xdr:nvGrpSpPr>
        <xdr:cNvPr id="121" name="Group 120">
          <a:extLst>
            <a:ext uri="{FF2B5EF4-FFF2-40B4-BE49-F238E27FC236}">
              <a16:creationId xmlns:a16="http://schemas.microsoft.com/office/drawing/2014/main" id="{00000000-0008-0000-0200-000079000000}"/>
            </a:ext>
          </a:extLst>
        </xdr:cNvPr>
        <xdr:cNvGrpSpPr/>
      </xdr:nvGrpSpPr>
      <xdr:grpSpPr>
        <a:xfrm>
          <a:off x="19654" y="178595867"/>
          <a:ext cx="6183026" cy="7690273"/>
          <a:chOff x="42065" y="186909287"/>
          <a:chExt cx="6096796" cy="7690273"/>
        </a:xfrm>
      </xdr:grpSpPr>
      <xdr:sp macro="" textlink="">
        <xdr:nvSpPr>
          <xdr:cNvPr id="1693" name="TextBox 1692">
            <a:extLst>
              <a:ext uri="{FF2B5EF4-FFF2-40B4-BE49-F238E27FC236}">
                <a16:creationId xmlns:a16="http://schemas.microsoft.com/office/drawing/2014/main" id="{00000000-0008-0000-0200-00009D060000}"/>
              </a:ext>
            </a:extLst>
          </xdr:cNvPr>
          <xdr:cNvSpPr txBox="1"/>
        </xdr:nvSpPr>
        <xdr:spPr>
          <a:xfrm>
            <a:off x="144778" y="186909287"/>
            <a:ext cx="5943600" cy="841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91440" rtlCol="0" anchor="t"/>
          <a:lstStyle/>
          <a:p>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Political elites, such as mainstream media pundits and leading politicians, count on you to trust their generalizations. That keeps them alienated from your specifically painful needs. Kept in pain, you are coerced to oppose others you are to blame for that pain. </a:t>
            </a:r>
            <a:r>
              <a:rPr lang="en-US" sz="1200" spc="-1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Harmony Politics </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empowers you with a need-resolving pain-removing alternative. </a:t>
            </a:r>
          </a:p>
        </xdr:txBody>
      </xdr:sp>
      <xdr:sp macro="" textlink="">
        <xdr:nvSpPr>
          <xdr:cNvPr id="1921" name="TextBox 1920">
            <a:extLst>
              <a:ext uri="{FF2B5EF4-FFF2-40B4-BE49-F238E27FC236}">
                <a16:creationId xmlns:a16="http://schemas.microsoft.com/office/drawing/2014/main" id="{00000000-0008-0000-0200-000081070000}"/>
              </a:ext>
            </a:extLst>
          </xdr:cNvPr>
          <xdr:cNvSpPr txBox="1"/>
        </xdr:nvSpPr>
        <xdr:spPr>
          <a:xfrm>
            <a:off x="129540" y="191856360"/>
            <a:ext cx="2634994" cy="2743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solidFill>
                  <a:schemeClr val="dk1"/>
                </a:solidFill>
                <a:effectLst/>
                <a:latin typeface="Arial Narrow" panose="020B0606020202030204" pitchFamily="34" charset="0"/>
                <a:ea typeface="+mn-ea"/>
                <a:cs typeface="+mn-cs"/>
              </a:rPr>
              <a:t>1</a:t>
            </a:r>
            <a:r>
              <a:rPr lang="en-US" sz="1200">
                <a:solidFill>
                  <a:schemeClr val="dk1"/>
                </a:solidFill>
                <a:effectLst/>
                <a:latin typeface="Arial Narrow" panose="020B0606020202030204" pitchFamily="34" charset="0"/>
                <a:ea typeface="+mn-ea"/>
                <a:cs typeface="+mn-cs"/>
              </a:rPr>
              <a:t>. The less you rely on political leaders to generalize for relief, the more your specific needs can fully resolve.</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2</a:t>
            </a:r>
            <a:r>
              <a:rPr lang="en-US" sz="1200">
                <a:solidFill>
                  <a:schemeClr val="dk1"/>
                </a:solidFill>
                <a:effectLst/>
                <a:latin typeface="Arial Narrow" panose="020B0606020202030204" pitchFamily="34" charset="0"/>
                <a:ea typeface="+mn-ea"/>
                <a:cs typeface="+mn-cs"/>
              </a:rPr>
              <a:t>. The more your specific needs can fully resolve, the less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a:solidFill>
                  <a:schemeClr val="dk1"/>
                </a:solidFill>
                <a:effectLst/>
                <a:latin typeface="Arial Narrow" panose="020B0606020202030204" pitchFamily="34" charset="0"/>
                <a:ea typeface="+mn-ea"/>
                <a:cs typeface="+mn-cs"/>
              </a:rPr>
              <a:t>.</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3</a:t>
            </a:r>
            <a:r>
              <a:rPr lang="en-US" sz="1200">
                <a:solidFill>
                  <a:schemeClr val="dk1"/>
                </a:solidFill>
                <a:effectLst/>
                <a:latin typeface="Arial Narrow" panose="020B0606020202030204" pitchFamily="34" charset="0"/>
                <a:ea typeface="+mn-ea"/>
                <a:cs typeface="+mn-cs"/>
              </a:rPr>
              <a:t>. The less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a:solidFill>
                  <a:schemeClr val="dk1"/>
                </a:solidFill>
                <a:effectLst/>
                <a:latin typeface="Arial Narrow" panose="020B0606020202030204" pitchFamily="34" charset="0"/>
                <a:ea typeface="+mn-ea"/>
                <a:cs typeface="+mn-cs"/>
              </a:rPr>
              <a:t>, the more you can fully focus on your specific needs.</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4</a:t>
            </a:r>
            <a:r>
              <a:rPr lang="en-US" sz="1200">
                <a:solidFill>
                  <a:schemeClr val="dk1"/>
                </a:solidFill>
                <a:effectLst/>
                <a:latin typeface="Arial Narrow" panose="020B0606020202030204" pitchFamily="34" charset="0"/>
                <a:ea typeface="+mn-ea"/>
                <a:cs typeface="+mn-cs"/>
              </a:rPr>
              <a:t>. The more you can fully focus on your specific needs, the less you rely on leaders to generalize for relief.</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5</a:t>
            </a:r>
            <a:r>
              <a:rPr lang="en-US" sz="1200" b="0">
                <a:solidFill>
                  <a:schemeClr val="dk1"/>
                </a:solidFill>
                <a:effectLst/>
                <a:latin typeface="Arial Narrow" panose="020B0606020202030204" pitchFamily="34" charset="0"/>
                <a:ea typeface="+mn-ea"/>
                <a:cs typeface="+mn-cs"/>
              </a:rPr>
              <a:t>. The less you rely on leaders...</a:t>
            </a:r>
            <a:endParaRPr lang="en-US" sz="1200" b="1">
              <a:solidFill>
                <a:schemeClr val="dk1"/>
              </a:solidFill>
              <a:effectLst/>
              <a:latin typeface="Arial Narrow" panose="020B0606020202030204" pitchFamily="34" charset="0"/>
              <a:ea typeface="+mn-ea"/>
              <a:cs typeface="+mn-cs"/>
            </a:endParaRPr>
          </a:p>
        </xdr:txBody>
      </xdr:sp>
      <xdr:sp macro="" textlink="">
        <xdr:nvSpPr>
          <xdr:cNvPr id="1949" name="TextBox 1948">
            <a:extLst>
              <a:ext uri="{FF2B5EF4-FFF2-40B4-BE49-F238E27FC236}">
                <a16:creationId xmlns:a16="http://schemas.microsoft.com/office/drawing/2014/main" id="{00000000-0008-0000-0200-00009D070000}"/>
              </a:ext>
            </a:extLst>
          </xdr:cNvPr>
          <xdr:cNvSpPr txBox="1"/>
        </xdr:nvSpPr>
        <xdr:spPr>
          <a:xfrm>
            <a:off x="3467099" y="188480699"/>
            <a:ext cx="2671762" cy="275082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Arial Narrow" panose="020B0606020202030204" pitchFamily="34" charset="0"/>
              </a:rPr>
              <a:t>1</a:t>
            </a:r>
            <a:r>
              <a:rPr lang="en-US" sz="1200">
                <a:latin typeface="Arial Narrow" panose="020B0606020202030204" pitchFamily="34" charset="0"/>
              </a:rPr>
              <a:t>. The more</a:t>
            </a:r>
            <a:r>
              <a:rPr lang="en-US" sz="1200" baseline="0">
                <a:latin typeface="Arial Narrow" panose="020B0606020202030204" pitchFamily="34" charset="0"/>
              </a:rPr>
              <a:t> </a:t>
            </a:r>
            <a:r>
              <a:rPr lang="en-US" sz="1200">
                <a:solidFill>
                  <a:schemeClr val="dk1"/>
                </a:solidFill>
                <a:latin typeface="Arial Narrow" panose="020B0606020202030204" pitchFamily="34" charset="0"/>
                <a:ea typeface="+mn-ea"/>
                <a:cs typeface="+mn-cs"/>
              </a:rPr>
              <a:t>you rely on political leaders to generalize for relief, the less your specific needs can fully resolve.</a:t>
            </a:r>
          </a:p>
          <a:p>
            <a:endParaRPr lang="en-US" sz="1200">
              <a:solidFill>
                <a:schemeClr val="dk1"/>
              </a:solidFill>
              <a:latin typeface="Arial Narrow" panose="020B0606020202030204" pitchFamily="34" charset="0"/>
              <a:ea typeface="+mn-ea"/>
              <a:cs typeface="+mn-cs"/>
            </a:endParaRPr>
          </a:p>
          <a:p>
            <a:r>
              <a:rPr lang="en-US" sz="1200" b="1" baseline="0">
                <a:latin typeface="Arial Narrow" panose="020B0606020202030204" pitchFamily="34" charset="0"/>
              </a:rPr>
              <a:t>2</a:t>
            </a:r>
            <a:r>
              <a:rPr lang="en-US" sz="1200" baseline="0">
                <a:latin typeface="Arial Narrow" panose="020B0606020202030204" pitchFamily="34" charset="0"/>
              </a:rPr>
              <a:t>. The </a:t>
            </a:r>
            <a:r>
              <a:rPr lang="en-US" sz="1200">
                <a:solidFill>
                  <a:schemeClr val="dk1"/>
                </a:solidFill>
                <a:latin typeface="Arial Narrow" panose="020B0606020202030204" pitchFamily="34" charset="0"/>
                <a:ea typeface="+mn-ea"/>
                <a:cs typeface="+mn-cs"/>
              </a:rPr>
              <a:t>less your specific needs can fully resolve, the more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baseline="0">
                <a:latin typeface="Arial Narrow" panose="020B0606020202030204" pitchFamily="34" charset="0"/>
              </a:rPr>
              <a:t>.</a:t>
            </a:r>
          </a:p>
          <a:p>
            <a:endParaRPr lang="en-US" sz="1200" baseline="0">
              <a:latin typeface="Arial Narrow" panose="020B0606020202030204" pitchFamily="34" charset="0"/>
            </a:endParaRPr>
          </a:p>
          <a:p>
            <a:r>
              <a:rPr lang="en-US" sz="1200" b="1" baseline="0">
                <a:latin typeface="Arial Narrow" panose="020B0606020202030204" pitchFamily="34" charset="0"/>
              </a:rPr>
              <a:t>3</a:t>
            </a:r>
            <a:r>
              <a:rPr lang="en-US" sz="1200" baseline="0">
                <a:latin typeface="Arial Narrow" panose="020B0606020202030204" pitchFamily="34" charset="0"/>
              </a:rPr>
              <a:t>. </a:t>
            </a:r>
            <a:r>
              <a:rPr lang="en-US" sz="1200">
                <a:solidFill>
                  <a:schemeClr val="dk1"/>
                </a:solidFill>
                <a:latin typeface="Arial Narrow" panose="020B0606020202030204" pitchFamily="34" charset="0"/>
                <a:ea typeface="+mn-ea"/>
                <a:cs typeface="+mn-cs"/>
              </a:rPr>
              <a:t>The more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a:solidFill>
                  <a:schemeClr val="dk1"/>
                </a:solidFill>
                <a:latin typeface="Arial Narrow" panose="020B0606020202030204" pitchFamily="34" charset="0"/>
                <a:ea typeface="+mn-ea"/>
                <a:cs typeface="+mn-cs"/>
              </a:rPr>
              <a:t>, the less you can fuly focus on your specific needs.</a:t>
            </a:r>
          </a:p>
          <a:p>
            <a:endParaRPr lang="en-US" sz="1200">
              <a:solidFill>
                <a:schemeClr val="dk1"/>
              </a:solidFill>
              <a:latin typeface="Arial Narrow" panose="020B0606020202030204" pitchFamily="34" charset="0"/>
              <a:ea typeface="+mn-ea"/>
              <a:cs typeface="+mn-cs"/>
            </a:endParaRPr>
          </a:p>
          <a:p>
            <a:r>
              <a:rPr lang="en-US" sz="1200" b="1" baseline="0">
                <a:latin typeface="Arial Narrow" panose="020B0606020202030204" pitchFamily="34" charset="0"/>
              </a:rPr>
              <a:t>4</a:t>
            </a:r>
            <a:r>
              <a:rPr lang="en-US" sz="1200" baseline="0">
                <a:latin typeface="Arial Narrow" panose="020B0606020202030204" pitchFamily="34" charset="0"/>
              </a:rPr>
              <a:t>. The </a:t>
            </a:r>
            <a:r>
              <a:rPr lang="en-US" sz="1200">
                <a:solidFill>
                  <a:schemeClr val="dk1"/>
                </a:solidFill>
                <a:latin typeface="Arial Narrow" panose="020B0606020202030204" pitchFamily="34" charset="0"/>
                <a:ea typeface="+mn-ea"/>
                <a:cs typeface="+mn-cs"/>
              </a:rPr>
              <a:t>less you can focus on your specific </a:t>
            </a:r>
            <a:r>
              <a:rPr lang="en-US" sz="1200" spc="-20">
                <a:solidFill>
                  <a:schemeClr val="dk1"/>
                </a:solidFill>
                <a:latin typeface="Arial Narrow" panose="020B0606020202030204" pitchFamily="34" charset="0"/>
                <a:ea typeface="+mn-ea"/>
                <a:cs typeface="+mn-cs"/>
              </a:rPr>
              <a:t>needs, the more you rely on</a:t>
            </a:r>
            <a:r>
              <a:rPr lang="en-US" sz="1200" spc="-20" baseline="0">
                <a:solidFill>
                  <a:schemeClr val="dk1"/>
                </a:solidFill>
                <a:latin typeface="Arial Narrow" panose="020B0606020202030204" pitchFamily="34" charset="0"/>
                <a:ea typeface="+mn-ea"/>
                <a:cs typeface="+mn-cs"/>
              </a:rPr>
              <a:t> leaders for relief</a:t>
            </a:r>
            <a:r>
              <a:rPr lang="en-US" sz="1200">
                <a:solidFill>
                  <a:schemeClr val="dk1"/>
                </a:solidFill>
                <a:latin typeface="Arial Narrow" panose="020B0606020202030204" pitchFamily="34" charset="0"/>
                <a:ea typeface="+mn-ea"/>
                <a:cs typeface="+mn-cs"/>
              </a:rPr>
              <a:t>.</a:t>
            </a:r>
          </a:p>
          <a:p>
            <a:endParaRPr lang="en-US" sz="1200">
              <a:solidFill>
                <a:schemeClr val="dk1"/>
              </a:solidFill>
              <a:latin typeface="Arial Narrow" panose="020B0606020202030204" pitchFamily="34" charset="0"/>
              <a:ea typeface="+mn-ea"/>
              <a:cs typeface="+mn-cs"/>
            </a:endParaRPr>
          </a:p>
          <a:p>
            <a:r>
              <a:rPr lang="en-US" sz="1200" b="1">
                <a:solidFill>
                  <a:schemeClr val="dk1"/>
                </a:solidFill>
                <a:latin typeface="Arial Narrow" panose="020B0606020202030204" pitchFamily="34" charset="0"/>
                <a:ea typeface="+mn-ea"/>
                <a:cs typeface="+mn-cs"/>
              </a:rPr>
              <a:t>5</a:t>
            </a:r>
            <a:r>
              <a:rPr lang="en-US" sz="1200" b="0">
                <a:solidFill>
                  <a:schemeClr val="dk1"/>
                </a:solidFill>
                <a:latin typeface="Arial Narrow" panose="020B0606020202030204" pitchFamily="34" charset="0"/>
                <a:ea typeface="+mn-ea"/>
                <a:cs typeface="+mn-cs"/>
              </a:rPr>
              <a:t>. The more you rely on leaders...</a:t>
            </a:r>
            <a:endParaRPr lang="en-US" sz="1200" b="1">
              <a:solidFill>
                <a:schemeClr val="dk1"/>
              </a:solidFill>
              <a:latin typeface="Arial Narrow" panose="020B0606020202030204" pitchFamily="34" charset="0"/>
              <a:ea typeface="+mn-ea"/>
              <a:cs typeface="+mn-cs"/>
            </a:endParaRPr>
          </a:p>
        </xdr:txBody>
      </xdr:sp>
      <xdr:grpSp>
        <xdr:nvGrpSpPr>
          <xdr:cNvPr id="1969" name="Group 1968">
            <a:extLst>
              <a:ext uri="{FF2B5EF4-FFF2-40B4-BE49-F238E27FC236}">
                <a16:creationId xmlns:a16="http://schemas.microsoft.com/office/drawing/2014/main" id="{00000000-0008-0000-0200-0000B1070000}"/>
              </a:ext>
            </a:extLst>
          </xdr:cNvPr>
          <xdr:cNvGrpSpPr/>
        </xdr:nvGrpSpPr>
        <xdr:grpSpPr>
          <a:xfrm>
            <a:off x="190500" y="187947300"/>
            <a:ext cx="3198838" cy="3200400"/>
            <a:chOff x="0" y="0"/>
            <a:chExt cx="3200400" cy="3200400"/>
          </a:xfrm>
        </xdr:grpSpPr>
        <xdr:grpSp>
          <xdr:nvGrpSpPr>
            <xdr:cNvPr id="1970" name="Group 1969">
              <a:extLst>
                <a:ext uri="{FF2B5EF4-FFF2-40B4-BE49-F238E27FC236}">
                  <a16:creationId xmlns:a16="http://schemas.microsoft.com/office/drawing/2014/main" id="{00000000-0008-0000-0200-0000B2070000}"/>
                </a:ext>
              </a:extLst>
            </xdr:cNvPr>
            <xdr:cNvGrpSpPr/>
          </xdr:nvGrpSpPr>
          <xdr:grpSpPr>
            <a:xfrm>
              <a:off x="0" y="0"/>
              <a:ext cx="3200400" cy="3200400"/>
              <a:chOff x="0" y="0"/>
              <a:chExt cx="2651760" cy="2651760"/>
            </a:xfrm>
          </xdr:grpSpPr>
          <xdr:sp macro="" textlink="">
            <xdr:nvSpPr>
              <xdr:cNvPr id="1983" name="Circle: Hollow 1982">
                <a:extLst>
                  <a:ext uri="{FF2B5EF4-FFF2-40B4-BE49-F238E27FC236}">
                    <a16:creationId xmlns:a16="http://schemas.microsoft.com/office/drawing/2014/main" id="{00000000-0008-0000-0200-0000BF070000}"/>
                  </a:ext>
                </a:extLst>
              </xdr:cNvPr>
              <xdr:cNvSpPr/>
            </xdr:nvSpPr>
            <xdr:spPr>
              <a:xfrm>
                <a:off x="0" y="0"/>
                <a:ext cx="2651760" cy="2651760"/>
              </a:xfrm>
              <a:prstGeom prst="donut">
                <a:avLst>
                  <a:gd name="adj" fmla="val 1435"/>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1984" name="Flowchart: Summing Junction 1983">
                <a:extLst>
                  <a:ext uri="{FF2B5EF4-FFF2-40B4-BE49-F238E27FC236}">
                    <a16:creationId xmlns:a16="http://schemas.microsoft.com/office/drawing/2014/main" id="{00000000-0008-0000-0200-0000C0070000}"/>
                  </a:ext>
                </a:extLst>
              </xdr:cNvPr>
              <xdr:cNvSpPr/>
            </xdr:nvSpPr>
            <xdr:spPr>
              <a:xfrm>
                <a:off x="24181" y="22860"/>
                <a:ext cx="2606040" cy="2606040"/>
              </a:xfrm>
              <a:prstGeom prst="flowChartSummingJunction">
                <a:avLst/>
              </a:prstGeom>
              <a:solidFill>
                <a:schemeClr val="bg1"/>
              </a:solidFill>
              <a:ln w="9525"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1971" name="Right Arrow 12">
              <a:extLst>
                <a:ext uri="{FF2B5EF4-FFF2-40B4-BE49-F238E27FC236}">
                  <a16:creationId xmlns:a16="http://schemas.microsoft.com/office/drawing/2014/main" id="{00000000-0008-0000-0200-0000B3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2" name="Right Arrow 13">
              <a:extLst>
                <a:ext uri="{FF2B5EF4-FFF2-40B4-BE49-F238E27FC236}">
                  <a16:creationId xmlns:a16="http://schemas.microsoft.com/office/drawing/2014/main" id="{00000000-0008-0000-0200-0000B4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3" name="Right Arrow 14">
              <a:extLst>
                <a:ext uri="{FF2B5EF4-FFF2-40B4-BE49-F238E27FC236}">
                  <a16:creationId xmlns:a16="http://schemas.microsoft.com/office/drawing/2014/main" id="{00000000-0008-0000-0200-0000B5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4" name="Right Arrow 15">
              <a:extLst>
                <a:ext uri="{FF2B5EF4-FFF2-40B4-BE49-F238E27FC236}">
                  <a16:creationId xmlns:a16="http://schemas.microsoft.com/office/drawing/2014/main" id="{00000000-0008-0000-0200-0000B6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5" name="Text Box 12">
              <a:extLst>
                <a:ext uri="{FF2B5EF4-FFF2-40B4-BE49-F238E27FC236}">
                  <a16:creationId xmlns:a16="http://schemas.microsoft.com/office/drawing/2014/main" id="{00000000-0008-0000-0200-0000B7070000}"/>
                </a:ext>
              </a:extLst>
            </xdr:cNvPr>
            <xdr:cNvSpPr txBox="1"/>
          </xdr:nvSpPr>
          <xdr:spPr>
            <a:xfrm>
              <a:off x="2438148" y="1044652"/>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1</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6" name="Text Box 13">
              <a:extLst>
                <a:ext uri="{FF2B5EF4-FFF2-40B4-BE49-F238E27FC236}">
                  <a16:creationId xmlns:a16="http://schemas.microsoft.com/office/drawing/2014/main" id="{00000000-0008-0000-0200-0000B8070000}"/>
                </a:ext>
              </a:extLst>
            </xdr:cNvPr>
            <xdr:cNvSpPr txBox="1"/>
          </xdr:nvSpPr>
          <xdr:spPr>
            <a:xfrm>
              <a:off x="969838" y="2135062"/>
              <a:ext cx="1219699" cy="961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 your specific needs can fully resolve, the more you are kept in pain.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7" name="Text Box 14">
              <a:extLst>
                <a:ext uri="{FF2B5EF4-FFF2-40B4-BE49-F238E27FC236}">
                  <a16:creationId xmlns:a16="http://schemas.microsoft.com/office/drawing/2014/main" id="{00000000-0008-0000-0200-0000B9070000}"/>
                </a:ext>
              </a:extLst>
            </xdr:cNvPr>
            <xdr:cNvSpPr txBox="1"/>
          </xdr:nvSpPr>
          <xdr:spPr>
            <a:xfrm flipH="1">
              <a:off x="1467151" y="1998091"/>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2</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8" name="Text Box 15">
              <a:extLst>
                <a:ext uri="{FF2B5EF4-FFF2-40B4-BE49-F238E27FC236}">
                  <a16:creationId xmlns:a16="http://schemas.microsoft.com/office/drawing/2014/main" id="{00000000-0008-0000-0200-0000BA070000}"/>
                </a:ext>
              </a:extLst>
            </xdr:cNvPr>
            <xdr:cNvSpPr txBox="1"/>
          </xdr:nvSpPr>
          <xdr:spPr>
            <a:xfrm flipH="1">
              <a:off x="172912" y="1116507"/>
              <a:ext cx="951572" cy="1082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more you are kept in pain, the less you can fully focus on your own.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9" name="Text Box 16">
              <a:extLst>
                <a:ext uri="{FF2B5EF4-FFF2-40B4-BE49-F238E27FC236}">
                  <a16:creationId xmlns:a16="http://schemas.microsoft.com/office/drawing/2014/main" id="{00000000-0008-0000-0200-0000BB070000}"/>
                </a:ext>
              </a:extLst>
            </xdr:cNvPr>
            <xdr:cNvSpPr txBox="1"/>
          </xdr:nvSpPr>
          <xdr:spPr>
            <a:xfrm>
              <a:off x="502791" y="1005854"/>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3</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0" name="Text Box 17">
              <a:extLst>
                <a:ext uri="{FF2B5EF4-FFF2-40B4-BE49-F238E27FC236}">
                  <a16:creationId xmlns:a16="http://schemas.microsoft.com/office/drawing/2014/main" id="{00000000-0008-0000-0200-0000BC070000}"/>
                </a:ext>
              </a:extLst>
            </xdr:cNvPr>
            <xdr:cNvSpPr txBox="1"/>
          </xdr:nvSpPr>
          <xdr:spPr>
            <a:xfrm>
              <a:off x="915396" y="304486"/>
              <a:ext cx="1391663" cy="9718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less you can fully focus on your own, the more you rely on leaders to generalize for relief.</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1" name="Text Box 18">
              <a:extLst>
                <a:ext uri="{FF2B5EF4-FFF2-40B4-BE49-F238E27FC236}">
                  <a16:creationId xmlns:a16="http://schemas.microsoft.com/office/drawing/2014/main" id="{00000000-0008-0000-0200-0000BD070000}"/>
                </a:ext>
              </a:extLst>
            </xdr:cNvPr>
            <xdr:cNvSpPr txBox="1"/>
          </xdr:nvSpPr>
          <xdr:spPr>
            <a:xfrm flipH="1">
              <a:off x="1464292" y="106241"/>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4</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2" name="Text Box 19">
              <a:extLst>
                <a:ext uri="{FF2B5EF4-FFF2-40B4-BE49-F238E27FC236}">
                  <a16:creationId xmlns:a16="http://schemas.microsoft.com/office/drawing/2014/main" id="{00000000-0008-0000-0200-0000BE070000}"/>
                </a:ext>
              </a:extLst>
            </xdr:cNvPr>
            <xdr:cNvSpPr txBox="1"/>
          </xdr:nvSpPr>
          <xdr:spPr>
            <a:xfrm flipH="1">
              <a:off x="1947346" y="1197602"/>
              <a:ext cx="1213207" cy="978264"/>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more you rely on leaders to generalize for relief, the less your specific needs can fully resolve.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grpSp>
      <xdr:grpSp>
        <xdr:nvGrpSpPr>
          <xdr:cNvPr id="1985" name="Group 1984">
            <a:extLst>
              <a:ext uri="{FF2B5EF4-FFF2-40B4-BE49-F238E27FC236}">
                <a16:creationId xmlns:a16="http://schemas.microsoft.com/office/drawing/2014/main" id="{00000000-0008-0000-0200-0000C1070000}"/>
              </a:ext>
            </a:extLst>
          </xdr:cNvPr>
          <xdr:cNvGrpSpPr/>
        </xdr:nvGrpSpPr>
        <xdr:grpSpPr>
          <a:xfrm>
            <a:off x="2842260" y="191277240"/>
            <a:ext cx="3214411" cy="3200400"/>
            <a:chOff x="0" y="0"/>
            <a:chExt cx="3215981" cy="3200400"/>
          </a:xfrm>
        </xdr:grpSpPr>
        <xdr:grpSp>
          <xdr:nvGrpSpPr>
            <xdr:cNvPr id="1986" name="Group 1985">
              <a:extLst>
                <a:ext uri="{FF2B5EF4-FFF2-40B4-BE49-F238E27FC236}">
                  <a16:creationId xmlns:a16="http://schemas.microsoft.com/office/drawing/2014/main" id="{00000000-0008-0000-0200-0000C2070000}"/>
                </a:ext>
              </a:extLst>
            </xdr:cNvPr>
            <xdr:cNvGrpSpPr/>
          </xdr:nvGrpSpPr>
          <xdr:grpSpPr>
            <a:xfrm>
              <a:off x="0" y="0"/>
              <a:ext cx="3200400" cy="3200400"/>
              <a:chOff x="0" y="0"/>
              <a:chExt cx="2651760" cy="2651760"/>
            </a:xfrm>
          </xdr:grpSpPr>
          <xdr:sp macro="" textlink="">
            <xdr:nvSpPr>
              <xdr:cNvPr id="1999" name="Circle: Hollow 1998">
                <a:extLst>
                  <a:ext uri="{FF2B5EF4-FFF2-40B4-BE49-F238E27FC236}">
                    <a16:creationId xmlns:a16="http://schemas.microsoft.com/office/drawing/2014/main" id="{00000000-0008-0000-0200-0000CF070000}"/>
                  </a:ext>
                </a:extLst>
              </xdr:cNvPr>
              <xdr:cNvSpPr/>
            </xdr:nvSpPr>
            <xdr:spPr>
              <a:xfrm>
                <a:off x="0" y="0"/>
                <a:ext cx="2651760" cy="2651760"/>
              </a:xfrm>
              <a:prstGeom prst="donut">
                <a:avLst>
                  <a:gd name="adj" fmla="val 1435"/>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00" name="Flowchart: Summing Junction 1999">
                <a:extLst>
                  <a:ext uri="{FF2B5EF4-FFF2-40B4-BE49-F238E27FC236}">
                    <a16:creationId xmlns:a16="http://schemas.microsoft.com/office/drawing/2014/main" id="{00000000-0008-0000-0200-0000D0070000}"/>
                  </a:ext>
                </a:extLst>
              </xdr:cNvPr>
              <xdr:cNvSpPr/>
            </xdr:nvSpPr>
            <xdr:spPr>
              <a:xfrm>
                <a:off x="24181" y="22860"/>
                <a:ext cx="2606040" cy="2606040"/>
              </a:xfrm>
              <a:prstGeom prst="flowChartSummingJunction">
                <a:avLst/>
              </a:prstGeom>
              <a:solidFill>
                <a:schemeClr val="bg1"/>
              </a:solidFill>
              <a:ln w="9525"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1987" name="Right Arrow 12">
              <a:extLst>
                <a:ext uri="{FF2B5EF4-FFF2-40B4-BE49-F238E27FC236}">
                  <a16:creationId xmlns:a16="http://schemas.microsoft.com/office/drawing/2014/main" id="{00000000-0008-0000-0200-0000C3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8" name="Right Arrow 13">
              <a:extLst>
                <a:ext uri="{FF2B5EF4-FFF2-40B4-BE49-F238E27FC236}">
                  <a16:creationId xmlns:a16="http://schemas.microsoft.com/office/drawing/2014/main" id="{00000000-0008-0000-0200-0000C4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9" name="Right Arrow 14">
              <a:extLst>
                <a:ext uri="{FF2B5EF4-FFF2-40B4-BE49-F238E27FC236}">
                  <a16:creationId xmlns:a16="http://schemas.microsoft.com/office/drawing/2014/main" id="{00000000-0008-0000-0200-0000C5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0" name="Right Arrow 15">
              <a:extLst>
                <a:ext uri="{FF2B5EF4-FFF2-40B4-BE49-F238E27FC236}">
                  <a16:creationId xmlns:a16="http://schemas.microsoft.com/office/drawing/2014/main" id="{00000000-0008-0000-0200-0000C6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1" name="Text Box 12">
              <a:extLst>
                <a:ext uri="{FF2B5EF4-FFF2-40B4-BE49-F238E27FC236}">
                  <a16:creationId xmlns:a16="http://schemas.microsoft.com/office/drawing/2014/main" id="{00000000-0008-0000-0200-0000C7070000}"/>
                </a:ext>
              </a:extLst>
            </xdr:cNvPr>
            <xdr:cNvSpPr txBox="1"/>
          </xdr:nvSpPr>
          <xdr:spPr>
            <a:xfrm>
              <a:off x="2425854" y="941123"/>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1</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2" name="Text Box 13">
              <a:extLst>
                <a:ext uri="{FF2B5EF4-FFF2-40B4-BE49-F238E27FC236}">
                  <a16:creationId xmlns:a16="http://schemas.microsoft.com/office/drawing/2014/main" id="{00000000-0008-0000-0200-0000C8070000}"/>
                </a:ext>
              </a:extLst>
            </xdr:cNvPr>
            <xdr:cNvSpPr txBox="1"/>
          </xdr:nvSpPr>
          <xdr:spPr>
            <a:xfrm>
              <a:off x="1003921" y="2135062"/>
              <a:ext cx="1226563" cy="961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your specific needs can fully resolve, the less you are kept in pain.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3" name="Text Box 14">
              <a:extLst>
                <a:ext uri="{FF2B5EF4-FFF2-40B4-BE49-F238E27FC236}">
                  <a16:creationId xmlns:a16="http://schemas.microsoft.com/office/drawing/2014/main" id="{00000000-0008-0000-0200-0000C9070000}"/>
                </a:ext>
              </a:extLst>
            </xdr:cNvPr>
            <xdr:cNvSpPr txBox="1"/>
          </xdr:nvSpPr>
          <xdr:spPr>
            <a:xfrm flipH="1">
              <a:off x="1476392" y="1905585"/>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2</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4" name="Text Box 15">
              <a:extLst>
                <a:ext uri="{FF2B5EF4-FFF2-40B4-BE49-F238E27FC236}">
                  <a16:creationId xmlns:a16="http://schemas.microsoft.com/office/drawing/2014/main" id="{00000000-0008-0000-0200-0000CA070000}"/>
                </a:ext>
              </a:extLst>
            </xdr:cNvPr>
            <xdr:cNvSpPr txBox="1"/>
          </xdr:nvSpPr>
          <xdr:spPr>
            <a:xfrm flipH="1">
              <a:off x="47866" y="1228436"/>
              <a:ext cx="1268891" cy="961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 you are kept in pain, the more you can fully focus on your own.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5" name="Text Box 16">
              <a:extLst>
                <a:ext uri="{FF2B5EF4-FFF2-40B4-BE49-F238E27FC236}">
                  <a16:creationId xmlns:a16="http://schemas.microsoft.com/office/drawing/2014/main" id="{00000000-0008-0000-0200-0000CB070000}"/>
                </a:ext>
              </a:extLst>
            </xdr:cNvPr>
            <xdr:cNvSpPr txBox="1"/>
          </xdr:nvSpPr>
          <xdr:spPr>
            <a:xfrm>
              <a:off x="502791" y="996618"/>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3</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6" name="Text Box 17">
              <a:extLst>
                <a:ext uri="{FF2B5EF4-FFF2-40B4-BE49-F238E27FC236}">
                  <a16:creationId xmlns:a16="http://schemas.microsoft.com/office/drawing/2014/main" id="{00000000-0008-0000-0200-0000CC070000}"/>
                </a:ext>
              </a:extLst>
            </xdr:cNvPr>
            <xdr:cNvSpPr txBox="1"/>
          </xdr:nvSpPr>
          <xdr:spPr>
            <a:xfrm>
              <a:off x="919289" y="313838"/>
              <a:ext cx="1379518" cy="9718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you can fully focus on your own, the less you rely on leaders to generalize </a:t>
              </a:r>
            </a:p>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for relief.</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7" name="Text Box 18">
              <a:extLst>
                <a:ext uri="{FF2B5EF4-FFF2-40B4-BE49-F238E27FC236}">
                  <a16:creationId xmlns:a16="http://schemas.microsoft.com/office/drawing/2014/main" id="{00000000-0008-0000-0200-0000CD070000}"/>
                </a:ext>
              </a:extLst>
            </xdr:cNvPr>
            <xdr:cNvSpPr txBox="1"/>
          </xdr:nvSpPr>
          <xdr:spPr>
            <a:xfrm flipH="1">
              <a:off x="1464292" y="60061"/>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4</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8" name="Text Box 19">
              <a:extLst>
                <a:ext uri="{FF2B5EF4-FFF2-40B4-BE49-F238E27FC236}">
                  <a16:creationId xmlns:a16="http://schemas.microsoft.com/office/drawing/2014/main" id="{00000000-0008-0000-0200-0000CE070000}"/>
                </a:ext>
              </a:extLst>
            </xdr:cNvPr>
            <xdr:cNvSpPr txBox="1"/>
          </xdr:nvSpPr>
          <xdr:spPr>
            <a:xfrm flipH="1">
              <a:off x="1788402" y="1152236"/>
              <a:ext cx="1427579" cy="900325"/>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1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less you </a:t>
              </a:r>
            </a:p>
            <a:p>
              <a:pPr marL="0" marR="0" algn="ctr">
                <a:lnSpc>
                  <a:spcPts val="1200"/>
                </a:lnSpc>
                <a:spcBef>
                  <a:spcPts val="0"/>
                </a:spcBef>
                <a:spcAft>
                  <a:spcPts val="0"/>
                </a:spcAft>
              </a:pPr>
              <a:r>
                <a:rPr lang="en-US" sz="1100" b="1" kern="1200" spc="-2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rely on leaders to generalize for relief</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the more your specific needs can fully resolve.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grpSp>
      <xdr:sp macro="" textlink="">
        <xdr:nvSpPr>
          <xdr:cNvPr id="2101" name="Rectangle 2100">
            <a:extLst>
              <a:ext uri="{FF2B5EF4-FFF2-40B4-BE49-F238E27FC236}">
                <a16:creationId xmlns:a16="http://schemas.microsoft.com/office/drawing/2014/main" id="{00000000-0008-0000-0200-000035080000}"/>
              </a:ext>
            </a:extLst>
          </xdr:cNvPr>
          <xdr:cNvSpPr/>
        </xdr:nvSpPr>
        <xdr:spPr>
          <a:xfrm>
            <a:off x="42065" y="191246760"/>
            <a:ext cx="2693516" cy="563103"/>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a:solidFill>
                    <a:schemeClr val="accent6">
                      <a:lumMod val="50000"/>
                    </a:schemeClr>
                  </a:solidFill>
                </a:ln>
                <a:solidFill>
                  <a:schemeClr val="accent6">
                    <a:lumMod val="50000"/>
                  </a:schemeClr>
                </a:solidFill>
                <a:latin typeface="Arial Narrow" panose="020B0606020202030204" pitchFamily="34" charset="0"/>
                <a:ea typeface="Times New Roman" panose="02020603050405020304" pitchFamily="18" charset="0"/>
                <a:cs typeface="Times New Roman" panose="02020603050405020304" pitchFamily="18" charset="0"/>
              </a:rPr>
              <a:t>EMPOWERMENT CYCLE </a:t>
            </a:r>
            <a:r>
              <a:rPr lang="en-US" sz="1600">
                <a:ln>
                  <a:solidFill>
                    <a:schemeClr val="accent6">
                      <a:lumMod val="50000"/>
                    </a:schemeClr>
                  </a:solidFill>
                </a:ln>
                <a:solidFill>
                  <a:schemeClr val="accent6">
                    <a:lumMod val="50000"/>
                  </a:schemeClr>
                </a:solidFill>
                <a:latin typeface="Arial Narrow" panose="020B0606020202030204" pitchFamily="34" charset="0"/>
                <a:ea typeface="Times New Roman" panose="02020603050405020304" pitchFamily="18" charset="0"/>
                <a:cs typeface="Times New Roman" panose="02020603050405020304" pitchFamily="18" charset="0"/>
              </a:rPr>
              <a:t>– Harmony Politics</a:t>
            </a:r>
            <a:endParaRPr lang="en-US" sz="1600">
              <a:ln>
                <a:solidFill>
                  <a:schemeClr val="accent6">
                    <a:lumMod val="50000"/>
                  </a:schemeClr>
                </a:solidFill>
              </a:ln>
              <a:solidFill>
                <a:schemeClr val="accent6">
                  <a:lumMod val="50000"/>
                </a:schemeClr>
              </a:solidFill>
              <a:latin typeface="Arial Narrow" panose="020B0606020202030204" pitchFamily="34" charset="0"/>
            </a:endParaRPr>
          </a:p>
        </xdr:txBody>
      </xdr:sp>
      <xdr:sp macro="" textlink="">
        <xdr:nvSpPr>
          <xdr:cNvPr id="2102" name="Rectangle 2101">
            <a:extLst>
              <a:ext uri="{FF2B5EF4-FFF2-40B4-BE49-F238E27FC236}">
                <a16:creationId xmlns:a16="http://schemas.microsoft.com/office/drawing/2014/main" id="{00000000-0008-0000-0200-000036080000}"/>
              </a:ext>
            </a:extLst>
          </xdr:cNvPr>
          <xdr:cNvSpPr/>
        </xdr:nvSpPr>
        <xdr:spPr>
          <a:xfrm>
            <a:off x="3444241" y="187878720"/>
            <a:ext cx="2331720" cy="563103"/>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a:solidFill>
                    <a:srgbClr val="4B1E64"/>
                  </a:solidFill>
                </a:ln>
                <a:solidFill>
                  <a:srgbClr val="4B1E64"/>
                </a:solidFill>
                <a:latin typeface="Arial Narrow" panose="020B0606020202030204" pitchFamily="34" charset="0"/>
                <a:ea typeface="Times New Roman" panose="02020603050405020304" pitchFamily="18" charset="0"/>
                <a:cs typeface="Times New Roman" panose="02020603050405020304" pitchFamily="18" charset="0"/>
              </a:rPr>
              <a:t>POWER ELITE CYCLE </a:t>
            </a:r>
            <a:r>
              <a:rPr lang="en-US" sz="1600">
                <a:ln>
                  <a:solidFill>
                    <a:srgbClr val="4B1E64"/>
                  </a:solidFill>
                </a:ln>
                <a:solidFill>
                  <a:srgbClr val="4B1E64"/>
                </a:solidFill>
                <a:latin typeface="Arial Narrow" panose="020B0606020202030204" pitchFamily="34" charset="0"/>
                <a:ea typeface="Times New Roman" panose="02020603050405020304" pitchFamily="18" charset="0"/>
                <a:cs typeface="Times New Roman" panose="02020603050405020304" pitchFamily="18" charset="0"/>
              </a:rPr>
              <a:t>– divisive politics</a:t>
            </a:r>
            <a:endParaRPr lang="en-US" sz="1600">
              <a:ln>
                <a:solidFill>
                  <a:srgbClr val="4B1E64"/>
                </a:solidFill>
              </a:ln>
              <a:solidFill>
                <a:srgbClr val="4B1E64"/>
              </a:solidFill>
              <a:latin typeface="Arial Narrow" panose="020B0606020202030204" pitchFamily="34" charset="0"/>
            </a:endParaRPr>
          </a:p>
        </xdr:txBody>
      </xdr:sp>
    </xdr:grpSp>
    <xdr:clientData/>
  </xdr:twoCellAnchor>
  <xdr:twoCellAnchor>
    <xdr:from>
      <xdr:col>0</xdr:col>
      <xdr:colOff>99060</xdr:colOff>
      <xdr:row>1191</xdr:row>
      <xdr:rowOff>33308</xdr:rowOff>
    </xdr:from>
    <xdr:to>
      <xdr:col>12</xdr:col>
      <xdr:colOff>419100</xdr:colOff>
      <xdr:row>1208</xdr:row>
      <xdr:rowOff>112954</xdr:rowOff>
    </xdr:to>
    <xdr:grpSp>
      <xdr:nvGrpSpPr>
        <xdr:cNvPr id="2124" name="Polarizing to nonpolarizing politics">
          <a:extLst>
            <a:ext uri="{FF2B5EF4-FFF2-40B4-BE49-F238E27FC236}">
              <a16:creationId xmlns:a16="http://schemas.microsoft.com/office/drawing/2014/main" id="{00000000-0008-0000-0200-00004C080000}"/>
            </a:ext>
          </a:extLst>
        </xdr:cNvPr>
        <xdr:cNvGrpSpPr>
          <a:grpSpLocks noChangeAspect="1"/>
        </xdr:cNvGrpSpPr>
      </xdr:nvGrpSpPr>
      <xdr:grpSpPr>
        <a:xfrm>
          <a:off x="99060" y="238097348"/>
          <a:ext cx="5966460" cy="3066686"/>
          <a:chOff x="6492256" y="68602908"/>
          <a:chExt cx="11781542" cy="5806966"/>
        </a:xfrm>
      </xdr:grpSpPr>
      <xdr:sp macro="" textlink="">
        <xdr:nvSpPr>
          <xdr:cNvPr id="2125" name="Politics is... (enter)">
            <a:extLst>
              <a:ext uri="{FF2B5EF4-FFF2-40B4-BE49-F238E27FC236}">
                <a16:creationId xmlns:a16="http://schemas.microsoft.com/office/drawing/2014/main" id="{00000000-0008-0000-0200-00004D080000}"/>
              </a:ext>
            </a:extLst>
          </xdr:cNvPr>
          <xdr:cNvSpPr/>
        </xdr:nvSpPr>
        <xdr:spPr>
          <a:xfrm>
            <a:off x="6492256" y="68602908"/>
            <a:ext cx="10972802" cy="5806966"/>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spcAft>
                <a:spcPts val="0"/>
              </a:spcAft>
            </a:pPr>
            <a:r>
              <a:rPr lang="en-US" sz="28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Politics is </a:t>
            </a:r>
          </a:p>
          <a:p>
            <a:pPr marL="457200">
              <a:lnSpc>
                <a:spcPts val="4000"/>
              </a:lnSpc>
              <a:spcBef>
                <a:spcPts val="200"/>
              </a:spcBef>
            </a:pPr>
            <a:r>
              <a:rPr lang="en-US" sz="24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the art of generalizing </a:t>
            </a:r>
          </a:p>
          <a:p>
            <a:pPr marL="457200">
              <a:lnSpc>
                <a:spcPts val="4000"/>
              </a:lnSpc>
              <a:spcBef>
                <a:spcPts val="1200"/>
              </a:spcBef>
            </a:pPr>
            <a:r>
              <a:rPr lang="en-US" sz="24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how to agreeably address needs </a:t>
            </a:r>
          </a:p>
          <a:p>
            <a:pPr marL="457200">
              <a:lnSpc>
                <a:spcPts val="4000"/>
              </a:lnSpc>
              <a:spcBef>
                <a:spcPts val="1200"/>
              </a:spcBef>
            </a:pPr>
            <a:r>
              <a:rPr lang="en-US" sz="24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in differing social situations.</a:t>
            </a:r>
            <a:endParaRPr lang="en-US" sz="2400" b="1" cap="none" spc="50">
              <a:ln w="9525" cmpd="sng">
                <a:solidFill>
                  <a:schemeClr val="bg1"/>
                </a:solidFill>
                <a:prstDash val="solid"/>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endParaRPr>
          </a:p>
        </xdr:txBody>
      </xdr:sp>
      <xdr:sp macro="" textlink="">
        <xdr:nvSpPr>
          <xdr:cNvPr id="2126" name="Arrow: Left-Right 2125">
            <a:extLst>
              <a:ext uri="{FF2B5EF4-FFF2-40B4-BE49-F238E27FC236}">
                <a16:creationId xmlns:a16="http://schemas.microsoft.com/office/drawing/2014/main" id="{00000000-0008-0000-0200-00004E080000}"/>
              </a:ext>
            </a:extLst>
          </xdr:cNvPr>
          <xdr:cNvSpPr/>
        </xdr:nvSpPr>
        <xdr:spPr>
          <a:xfrm>
            <a:off x="6923127" y="70466105"/>
            <a:ext cx="10973750" cy="785795"/>
          </a:xfrm>
          <a:prstGeom prst="leftRightArrow">
            <a:avLst>
              <a:gd name="adj1" fmla="val 69129"/>
              <a:gd name="adj2" fmla="val 284911"/>
            </a:avLst>
          </a:prstGeom>
          <a:gradFill flip="none" rotWithShape="1">
            <a:gsLst>
              <a:gs pos="0">
                <a:srgbClr val="FFFF00">
                  <a:alpha val="60000"/>
                </a:srgbClr>
              </a:gs>
              <a:gs pos="100000">
                <a:srgbClr val="99FF99">
                  <a:alpha val="60000"/>
                </a:srgbClr>
              </a:gs>
            </a:gsLst>
            <a:lin ang="0" scaled="1"/>
            <a:tileRect/>
          </a:gradFill>
          <a:ln>
            <a:solidFill>
              <a:srgbClr val="CC66FF">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2127" name="Arrow: Left-Right 2126">
            <a:extLst>
              <a:ext uri="{FF2B5EF4-FFF2-40B4-BE49-F238E27FC236}">
                <a16:creationId xmlns:a16="http://schemas.microsoft.com/office/drawing/2014/main" id="{00000000-0008-0000-0200-00004F080000}"/>
              </a:ext>
            </a:extLst>
          </xdr:cNvPr>
          <xdr:cNvSpPr/>
        </xdr:nvSpPr>
        <xdr:spPr>
          <a:xfrm>
            <a:off x="6923127" y="71783282"/>
            <a:ext cx="10973750" cy="785795"/>
          </a:xfrm>
          <a:prstGeom prst="leftRightArrow">
            <a:avLst>
              <a:gd name="adj1" fmla="val 69129"/>
              <a:gd name="adj2" fmla="val 284911"/>
            </a:avLst>
          </a:prstGeom>
          <a:gradFill flip="none" rotWithShape="1">
            <a:gsLst>
              <a:gs pos="0">
                <a:srgbClr val="FFFF00">
                  <a:alpha val="60000"/>
                </a:srgbClr>
              </a:gs>
              <a:gs pos="100000">
                <a:srgbClr val="99FF99">
                  <a:alpha val="60000"/>
                </a:srgbClr>
              </a:gs>
            </a:gsLst>
            <a:lin ang="0" scaled="1"/>
            <a:tileRect/>
          </a:gradFill>
          <a:ln>
            <a:solidFill>
              <a:srgbClr val="CC66FF">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2128" name="Arrow: Left-Right 2127">
            <a:extLst>
              <a:ext uri="{FF2B5EF4-FFF2-40B4-BE49-F238E27FC236}">
                <a16:creationId xmlns:a16="http://schemas.microsoft.com/office/drawing/2014/main" id="{00000000-0008-0000-0200-000050080000}"/>
              </a:ext>
            </a:extLst>
          </xdr:cNvPr>
          <xdr:cNvSpPr/>
        </xdr:nvSpPr>
        <xdr:spPr>
          <a:xfrm>
            <a:off x="6923127" y="73163745"/>
            <a:ext cx="10973750" cy="785795"/>
          </a:xfrm>
          <a:prstGeom prst="leftRightArrow">
            <a:avLst>
              <a:gd name="adj1" fmla="val 69129"/>
              <a:gd name="adj2" fmla="val 284911"/>
            </a:avLst>
          </a:prstGeom>
          <a:gradFill flip="none" rotWithShape="1">
            <a:gsLst>
              <a:gs pos="0">
                <a:srgbClr val="FFFF00">
                  <a:alpha val="60000"/>
                </a:srgbClr>
              </a:gs>
              <a:gs pos="100000">
                <a:srgbClr val="99FF99">
                  <a:alpha val="60000"/>
                </a:srgbClr>
              </a:gs>
            </a:gsLst>
            <a:lin ang="0" scaled="1"/>
            <a:tileRect/>
          </a:gradFill>
          <a:ln>
            <a:solidFill>
              <a:srgbClr val="CC66FF">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2129" name="generalizing">
            <a:extLst>
              <a:ext uri="{FF2B5EF4-FFF2-40B4-BE49-F238E27FC236}">
                <a16:creationId xmlns:a16="http://schemas.microsoft.com/office/drawing/2014/main" id="{00000000-0008-0000-0200-000051080000}"/>
              </a:ext>
            </a:extLst>
          </xdr:cNvPr>
          <xdr:cNvSpPr/>
        </xdr:nvSpPr>
        <xdr:spPr>
          <a:xfrm>
            <a:off x="6504569" y="70350027"/>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20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rPr>
              <a:t>generalizing beliefs</a:t>
            </a:r>
          </a:p>
        </xdr:txBody>
      </xdr:sp>
      <xdr:sp macro="" textlink="">
        <xdr:nvSpPr>
          <xdr:cNvPr id="2130" name="specifics">
            <a:extLst>
              <a:ext uri="{FF2B5EF4-FFF2-40B4-BE49-F238E27FC236}">
                <a16:creationId xmlns:a16="http://schemas.microsoft.com/office/drawing/2014/main" id="{00000000-0008-0000-0200-000052080000}"/>
              </a:ext>
            </a:extLst>
          </xdr:cNvPr>
          <xdr:cNvSpPr/>
        </xdr:nvSpPr>
        <xdr:spPr>
          <a:xfrm>
            <a:off x="12786922" y="70350027"/>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2000" b="1"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know s</a:t>
            </a:r>
            <a:r>
              <a:rPr lang="en-US" sz="20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pecific needs</a:t>
            </a:r>
          </a:p>
        </xdr:txBody>
      </xdr:sp>
      <xdr:sp macro="" textlink="">
        <xdr:nvSpPr>
          <xdr:cNvPr id="2131" name="avoiding">
            <a:extLst>
              <a:ext uri="{FF2B5EF4-FFF2-40B4-BE49-F238E27FC236}">
                <a16:creationId xmlns:a16="http://schemas.microsoft.com/office/drawing/2014/main" id="{00000000-0008-0000-0200-000053080000}"/>
              </a:ext>
            </a:extLst>
          </xdr:cNvPr>
          <xdr:cNvSpPr/>
        </xdr:nvSpPr>
        <xdr:spPr>
          <a:xfrm>
            <a:off x="6504567" y="71663418"/>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20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rPr>
              <a:t>alienating norms</a:t>
            </a:r>
            <a:endParaRPr lang="en-US" sz="28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endParaRPr>
          </a:p>
        </xdr:txBody>
      </xdr:sp>
      <xdr:sp macro="" textlink="">
        <xdr:nvSpPr>
          <xdr:cNvPr id="2132" name="engaging">
            <a:extLst>
              <a:ext uri="{FF2B5EF4-FFF2-40B4-BE49-F238E27FC236}">
                <a16:creationId xmlns:a16="http://schemas.microsoft.com/office/drawing/2014/main" id="{00000000-0008-0000-0200-000054080000}"/>
              </a:ext>
            </a:extLst>
          </xdr:cNvPr>
          <xdr:cNvSpPr/>
        </xdr:nvSpPr>
        <xdr:spPr>
          <a:xfrm>
            <a:off x="12741198" y="71663418"/>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20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engaging impacts</a:t>
            </a:r>
            <a:endParaRPr lang="en-US" sz="28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endParaRPr>
          </a:p>
        </xdr:txBody>
      </xdr:sp>
      <xdr:sp macro="" textlink="">
        <xdr:nvSpPr>
          <xdr:cNvPr id="2133" name="polarizing">
            <a:extLst>
              <a:ext uri="{FF2B5EF4-FFF2-40B4-BE49-F238E27FC236}">
                <a16:creationId xmlns:a16="http://schemas.microsoft.com/office/drawing/2014/main" id="{00000000-0008-0000-0200-000055080000}"/>
              </a:ext>
            </a:extLst>
          </xdr:cNvPr>
          <xdr:cNvSpPr/>
        </xdr:nvSpPr>
        <xdr:spPr>
          <a:xfrm>
            <a:off x="6504567" y="73057816"/>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20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rPr>
              <a:t>polarizing priorities</a:t>
            </a:r>
            <a:endParaRPr lang="en-US" sz="28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endParaRPr>
          </a:p>
        </xdr:txBody>
      </xdr:sp>
      <xdr:sp macro="" textlink="">
        <xdr:nvSpPr>
          <xdr:cNvPr id="2134" name="engaging">
            <a:extLst>
              <a:ext uri="{FF2B5EF4-FFF2-40B4-BE49-F238E27FC236}">
                <a16:creationId xmlns:a16="http://schemas.microsoft.com/office/drawing/2014/main" id="{00000000-0008-0000-0200-000056080000}"/>
              </a:ext>
            </a:extLst>
          </xdr:cNvPr>
          <xdr:cNvSpPr/>
        </xdr:nvSpPr>
        <xdr:spPr>
          <a:xfrm>
            <a:off x="12695474" y="73057824"/>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20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unifying resolution</a:t>
            </a:r>
            <a:endParaRPr lang="en-US" sz="28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endParaRPr>
          </a:p>
        </xdr:txBody>
      </xdr:sp>
    </xdr:grpSp>
    <xdr:clientData/>
  </xdr:twoCellAnchor>
  <xdr:twoCellAnchor>
    <xdr:from>
      <xdr:col>0</xdr:col>
      <xdr:colOff>0</xdr:colOff>
      <xdr:row>1291</xdr:row>
      <xdr:rowOff>196369</xdr:rowOff>
    </xdr:from>
    <xdr:to>
      <xdr:col>14</xdr:col>
      <xdr:colOff>8700</xdr:colOff>
      <xdr:row>1315</xdr:row>
      <xdr:rowOff>31003</xdr:rowOff>
    </xdr:to>
    <xdr:grpSp>
      <xdr:nvGrpSpPr>
        <xdr:cNvPr id="2153" name="Group 2152">
          <a:extLst>
            <a:ext uri="{FF2B5EF4-FFF2-40B4-BE49-F238E27FC236}">
              <a16:creationId xmlns:a16="http://schemas.microsoft.com/office/drawing/2014/main" id="{00000000-0008-0000-0200-000069080000}"/>
            </a:ext>
          </a:extLst>
        </xdr:cNvPr>
        <xdr:cNvGrpSpPr/>
      </xdr:nvGrpSpPr>
      <xdr:grpSpPr>
        <a:xfrm>
          <a:off x="0" y="256251229"/>
          <a:ext cx="6272340" cy="4162794"/>
          <a:chOff x="6185188" y="87475841"/>
          <a:chExt cx="6196140" cy="4155223"/>
        </a:xfrm>
      </xdr:grpSpPr>
      <xdr:sp macro="" textlink="">
        <xdr:nvSpPr>
          <xdr:cNvPr id="2154" name="Freeform: Shape 2153">
            <a:extLst>
              <a:ext uri="{FF2B5EF4-FFF2-40B4-BE49-F238E27FC236}">
                <a16:creationId xmlns:a16="http://schemas.microsoft.com/office/drawing/2014/main" id="{00000000-0008-0000-0200-00006A080000}"/>
              </a:ext>
            </a:extLst>
          </xdr:cNvPr>
          <xdr:cNvSpPr/>
        </xdr:nvSpPr>
        <xdr:spPr>
          <a:xfrm>
            <a:off x="6192807" y="87489908"/>
            <a:ext cx="3097731" cy="2104194"/>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9560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23358 w 3097752"/>
              <a:gd name="connsiteY20" fmla="*/ 1923268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23358 w 3097752"/>
              <a:gd name="connsiteY20" fmla="*/ 1923268 h 2099532"/>
              <a:gd name="connsiteX21" fmla="*/ 1272857 w 3097752"/>
              <a:gd name="connsiteY21" fmla="*/ 2074801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84304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23358 w 3097752"/>
              <a:gd name="connsiteY20" fmla="*/ 1923268 h 2099532"/>
              <a:gd name="connsiteX21" fmla="*/ 1272857 w 3097752"/>
              <a:gd name="connsiteY21" fmla="*/ 2074801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105297"/>
              <a:gd name="connsiteX1" fmla="*/ 3097752 w 3097752"/>
              <a:gd name="connsiteY1" fmla="*/ 0 h 2105297"/>
              <a:gd name="connsiteX2" fmla="*/ 3088339 w 3097752"/>
              <a:gd name="connsiteY2" fmla="*/ 2084304 h 2105297"/>
              <a:gd name="connsiteX3" fmla="*/ 1276573 w 3097752"/>
              <a:gd name="connsiteY3" fmla="*/ 2074878 h 2105297"/>
              <a:gd name="connsiteX4" fmla="*/ 1427179 w 3097752"/>
              <a:gd name="connsiteY4" fmla="*/ 1924272 h 2105297"/>
              <a:gd name="connsiteX5" fmla="*/ 2295859 w 3097752"/>
              <a:gd name="connsiteY5" fmla="*/ 1695672 h 2105297"/>
              <a:gd name="connsiteX6" fmla="*/ 2562559 w 3097752"/>
              <a:gd name="connsiteY6" fmla="*/ 1680432 h 2105297"/>
              <a:gd name="connsiteX7" fmla="*/ 2676859 w 3097752"/>
              <a:gd name="connsiteY7" fmla="*/ 1604232 h 2105297"/>
              <a:gd name="connsiteX8" fmla="*/ 2737819 w 3097752"/>
              <a:gd name="connsiteY8" fmla="*/ 1497552 h 2105297"/>
              <a:gd name="connsiteX9" fmla="*/ 2722579 w 3097752"/>
              <a:gd name="connsiteY9" fmla="*/ 415512 h 2105297"/>
              <a:gd name="connsiteX10" fmla="*/ 2699719 w 3097752"/>
              <a:gd name="connsiteY10" fmla="*/ 270732 h 2105297"/>
              <a:gd name="connsiteX11" fmla="*/ 2509219 w 3097752"/>
              <a:gd name="connsiteY11" fmla="*/ 179292 h 2105297"/>
              <a:gd name="connsiteX12" fmla="*/ 284179 w 3097752"/>
              <a:gd name="connsiteY12" fmla="*/ 186912 h 2105297"/>
              <a:gd name="connsiteX13" fmla="*/ 147019 w 3097752"/>
              <a:gd name="connsiteY13" fmla="*/ 232632 h 2105297"/>
              <a:gd name="connsiteX14" fmla="*/ 55579 w 3097752"/>
              <a:gd name="connsiteY14" fmla="*/ 385032 h 2105297"/>
              <a:gd name="connsiteX15" fmla="*/ 63199 w 3097752"/>
              <a:gd name="connsiteY15" fmla="*/ 1459452 h 2105297"/>
              <a:gd name="connsiteX16" fmla="*/ 93679 w 3097752"/>
              <a:gd name="connsiteY16" fmla="*/ 1566132 h 2105297"/>
              <a:gd name="connsiteX17" fmla="*/ 139399 w 3097752"/>
              <a:gd name="connsiteY17" fmla="*/ 1642332 h 2105297"/>
              <a:gd name="connsiteX18" fmla="*/ 268939 w 3097752"/>
              <a:gd name="connsiteY18" fmla="*/ 1695672 h 2105297"/>
              <a:gd name="connsiteX19" fmla="*/ 1602439 w 3097752"/>
              <a:gd name="connsiteY19" fmla="*/ 1688052 h 2105297"/>
              <a:gd name="connsiteX20" fmla="*/ 1423358 w 3097752"/>
              <a:gd name="connsiteY20" fmla="*/ 1923268 h 2105297"/>
              <a:gd name="connsiteX21" fmla="*/ 1303337 w 3097752"/>
              <a:gd name="connsiteY21" fmla="*/ 2105297 h 2105297"/>
              <a:gd name="connsiteX22" fmla="*/ 1030939 w 3097752"/>
              <a:gd name="connsiteY22" fmla="*/ 2091912 h 2105297"/>
              <a:gd name="connsiteX23" fmla="*/ 1030939 w 3097752"/>
              <a:gd name="connsiteY23" fmla="*/ 1756632 h 2105297"/>
              <a:gd name="connsiteX24" fmla="*/ 817579 w 3097752"/>
              <a:gd name="connsiteY24" fmla="*/ 1954752 h 2105297"/>
              <a:gd name="connsiteX25" fmla="*/ 665179 w 3097752"/>
              <a:gd name="connsiteY25" fmla="*/ 1954752 h 2105297"/>
              <a:gd name="connsiteX26" fmla="*/ 672799 w 3097752"/>
              <a:gd name="connsiteY26" fmla="*/ 2099532 h 2105297"/>
              <a:gd name="connsiteX27" fmla="*/ 2239 w 3097752"/>
              <a:gd name="connsiteY27" fmla="*/ 2099532 h 2105297"/>
              <a:gd name="connsiteX28" fmla="*/ 0 w 3097752"/>
              <a:gd name="connsiteY28" fmla="*/ 7621 h 210529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097752" h="2105297">
                <a:moveTo>
                  <a:pt x="0" y="7621"/>
                </a:moveTo>
                <a:lnTo>
                  <a:pt x="3097752" y="0"/>
                </a:lnTo>
                <a:cubicBezTo>
                  <a:pt x="3094614" y="687144"/>
                  <a:pt x="3091477" y="1397160"/>
                  <a:pt x="3088339" y="2084304"/>
                </a:cubicBezTo>
                <a:lnTo>
                  <a:pt x="1276573" y="2074878"/>
                </a:lnTo>
                <a:lnTo>
                  <a:pt x="1427179" y="1924272"/>
                </a:lnTo>
                <a:lnTo>
                  <a:pt x="2295859" y="1695672"/>
                </a:lnTo>
                <a:lnTo>
                  <a:pt x="2562559" y="1680432"/>
                </a:lnTo>
                <a:lnTo>
                  <a:pt x="2676859" y="1604232"/>
                </a:lnTo>
                <a:lnTo>
                  <a:pt x="2737819" y="1497552"/>
                </a:lnTo>
                <a:lnTo>
                  <a:pt x="2722579" y="415512"/>
                </a:lnTo>
                <a:lnTo>
                  <a:pt x="2699719" y="270732"/>
                </a:lnTo>
                <a:lnTo>
                  <a:pt x="2509219" y="179292"/>
                </a:lnTo>
                <a:lnTo>
                  <a:pt x="284179" y="186912"/>
                </a:lnTo>
                <a:lnTo>
                  <a:pt x="147019" y="232632"/>
                </a:lnTo>
                <a:lnTo>
                  <a:pt x="55579" y="385032"/>
                </a:lnTo>
                <a:lnTo>
                  <a:pt x="63199" y="1459452"/>
                </a:lnTo>
                <a:lnTo>
                  <a:pt x="93679" y="1566132"/>
                </a:lnTo>
                <a:lnTo>
                  <a:pt x="139399" y="1642332"/>
                </a:lnTo>
                <a:lnTo>
                  <a:pt x="268939" y="1695672"/>
                </a:lnTo>
                <a:lnTo>
                  <a:pt x="1602439" y="1688052"/>
                </a:lnTo>
                <a:lnTo>
                  <a:pt x="1423358" y="1923268"/>
                </a:lnTo>
                <a:lnTo>
                  <a:pt x="1303337" y="2105297"/>
                </a:lnTo>
                <a:lnTo>
                  <a:pt x="1030939" y="2091912"/>
                </a:lnTo>
                <a:lnTo>
                  <a:pt x="1030939" y="1756632"/>
                </a:lnTo>
                <a:lnTo>
                  <a:pt x="817579" y="1954752"/>
                </a:lnTo>
                <a:lnTo>
                  <a:pt x="665179" y="1954752"/>
                </a:lnTo>
                <a:lnTo>
                  <a:pt x="672799" y="2099532"/>
                </a:lnTo>
                <a:lnTo>
                  <a:pt x="2239" y="2099532"/>
                </a:lnTo>
                <a:cubicBezTo>
                  <a:pt x="1493" y="1402228"/>
                  <a:pt x="746" y="704925"/>
                  <a:pt x="0" y="7621"/>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55" name="Freeform: Shape 2154">
            <a:extLst>
              <a:ext uri="{FF2B5EF4-FFF2-40B4-BE49-F238E27FC236}">
                <a16:creationId xmlns:a16="http://schemas.microsoft.com/office/drawing/2014/main" id="{00000000-0008-0000-0200-00006B080000}"/>
              </a:ext>
            </a:extLst>
          </xdr:cNvPr>
          <xdr:cNvSpPr/>
        </xdr:nvSpPr>
        <xdr:spPr>
          <a:xfrm flipV="1">
            <a:off x="6185188" y="89533241"/>
            <a:ext cx="3096462" cy="2097823"/>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18598 w 3097752"/>
              <a:gd name="connsiteY20" fmla="*/ 1918479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18598 w 3097752"/>
              <a:gd name="connsiteY20" fmla="*/ 1918479 h 2099532"/>
              <a:gd name="connsiteX21" fmla="*/ 1272857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0 h 2091911"/>
              <a:gd name="connsiteX1" fmla="*/ 3097752 w 3097752"/>
              <a:gd name="connsiteY1" fmla="*/ 37804 h 2091911"/>
              <a:gd name="connsiteX2" fmla="*/ 3088339 w 3097752"/>
              <a:gd name="connsiteY2" fmla="*/ 2053811 h 2091911"/>
              <a:gd name="connsiteX3" fmla="*/ 1276573 w 3097752"/>
              <a:gd name="connsiteY3" fmla="*/ 2067257 h 2091911"/>
              <a:gd name="connsiteX4" fmla="*/ 1427179 w 3097752"/>
              <a:gd name="connsiteY4" fmla="*/ 1916651 h 2091911"/>
              <a:gd name="connsiteX5" fmla="*/ 2295859 w 3097752"/>
              <a:gd name="connsiteY5" fmla="*/ 1688051 h 2091911"/>
              <a:gd name="connsiteX6" fmla="*/ 2562559 w 3097752"/>
              <a:gd name="connsiteY6" fmla="*/ 1672811 h 2091911"/>
              <a:gd name="connsiteX7" fmla="*/ 2676859 w 3097752"/>
              <a:gd name="connsiteY7" fmla="*/ 1596611 h 2091911"/>
              <a:gd name="connsiteX8" fmla="*/ 2737819 w 3097752"/>
              <a:gd name="connsiteY8" fmla="*/ 1489931 h 2091911"/>
              <a:gd name="connsiteX9" fmla="*/ 2722579 w 3097752"/>
              <a:gd name="connsiteY9" fmla="*/ 407891 h 2091911"/>
              <a:gd name="connsiteX10" fmla="*/ 2699719 w 3097752"/>
              <a:gd name="connsiteY10" fmla="*/ 263111 h 2091911"/>
              <a:gd name="connsiteX11" fmla="*/ 2509219 w 3097752"/>
              <a:gd name="connsiteY11" fmla="*/ 171671 h 2091911"/>
              <a:gd name="connsiteX12" fmla="*/ 284179 w 3097752"/>
              <a:gd name="connsiteY12" fmla="*/ 179291 h 2091911"/>
              <a:gd name="connsiteX13" fmla="*/ 147019 w 3097752"/>
              <a:gd name="connsiteY13" fmla="*/ 225011 h 2091911"/>
              <a:gd name="connsiteX14" fmla="*/ 55579 w 3097752"/>
              <a:gd name="connsiteY14" fmla="*/ 377411 h 2091911"/>
              <a:gd name="connsiteX15" fmla="*/ 63199 w 3097752"/>
              <a:gd name="connsiteY15" fmla="*/ 1451831 h 2091911"/>
              <a:gd name="connsiteX16" fmla="*/ 93679 w 3097752"/>
              <a:gd name="connsiteY16" fmla="*/ 1558511 h 2091911"/>
              <a:gd name="connsiteX17" fmla="*/ 139399 w 3097752"/>
              <a:gd name="connsiteY17" fmla="*/ 1634711 h 2091911"/>
              <a:gd name="connsiteX18" fmla="*/ 268939 w 3097752"/>
              <a:gd name="connsiteY18" fmla="*/ 1688051 h 2091911"/>
              <a:gd name="connsiteX19" fmla="*/ 1602439 w 3097752"/>
              <a:gd name="connsiteY19" fmla="*/ 1680431 h 2091911"/>
              <a:gd name="connsiteX20" fmla="*/ 1418598 w 3097752"/>
              <a:gd name="connsiteY20" fmla="*/ 1910858 h 2091911"/>
              <a:gd name="connsiteX21" fmla="*/ 1272857 w 3097752"/>
              <a:gd name="connsiteY21" fmla="*/ 2076671 h 2091911"/>
              <a:gd name="connsiteX22" fmla="*/ 1030939 w 3097752"/>
              <a:gd name="connsiteY22" fmla="*/ 2084291 h 2091911"/>
              <a:gd name="connsiteX23" fmla="*/ 1030939 w 3097752"/>
              <a:gd name="connsiteY23" fmla="*/ 1749011 h 2091911"/>
              <a:gd name="connsiteX24" fmla="*/ 817579 w 3097752"/>
              <a:gd name="connsiteY24" fmla="*/ 1947131 h 2091911"/>
              <a:gd name="connsiteX25" fmla="*/ 665179 w 3097752"/>
              <a:gd name="connsiteY25" fmla="*/ 1947131 h 2091911"/>
              <a:gd name="connsiteX26" fmla="*/ 672799 w 3097752"/>
              <a:gd name="connsiteY26" fmla="*/ 2091911 h 2091911"/>
              <a:gd name="connsiteX27" fmla="*/ 2239 w 3097752"/>
              <a:gd name="connsiteY27" fmla="*/ 2091911 h 2091911"/>
              <a:gd name="connsiteX28" fmla="*/ 0 w 3097752"/>
              <a:gd name="connsiteY28" fmla="*/ 0 h 2091911"/>
              <a:gd name="connsiteX0" fmla="*/ 0 w 3097752"/>
              <a:gd name="connsiteY0" fmla="*/ 50 h 2054107"/>
              <a:gd name="connsiteX1" fmla="*/ 3097752 w 3097752"/>
              <a:gd name="connsiteY1" fmla="*/ 0 h 2054107"/>
              <a:gd name="connsiteX2" fmla="*/ 3088339 w 3097752"/>
              <a:gd name="connsiteY2" fmla="*/ 2016007 h 2054107"/>
              <a:gd name="connsiteX3" fmla="*/ 1276573 w 3097752"/>
              <a:gd name="connsiteY3" fmla="*/ 2029453 h 2054107"/>
              <a:gd name="connsiteX4" fmla="*/ 1427179 w 3097752"/>
              <a:gd name="connsiteY4" fmla="*/ 1878847 h 2054107"/>
              <a:gd name="connsiteX5" fmla="*/ 2295859 w 3097752"/>
              <a:gd name="connsiteY5" fmla="*/ 1650247 h 2054107"/>
              <a:gd name="connsiteX6" fmla="*/ 2562559 w 3097752"/>
              <a:gd name="connsiteY6" fmla="*/ 1635007 h 2054107"/>
              <a:gd name="connsiteX7" fmla="*/ 2676859 w 3097752"/>
              <a:gd name="connsiteY7" fmla="*/ 1558807 h 2054107"/>
              <a:gd name="connsiteX8" fmla="*/ 2737819 w 3097752"/>
              <a:gd name="connsiteY8" fmla="*/ 1452127 h 2054107"/>
              <a:gd name="connsiteX9" fmla="*/ 2722579 w 3097752"/>
              <a:gd name="connsiteY9" fmla="*/ 370087 h 2054107"/>
              <a:gd name="connsiteX10" fmla="*/ 2699719 w 3097752"/>
              <a:gd name="connsiteY10" fmla="*/ 225307 h 2054107"/>
              <a:gd name="connsiteX11" fmla="*/ 2509219 w 3097752"/>
              <a:gd name="connsiteY11" fmla="*/ 133867 h 2054107"/>
              <a:gd name="connsiteX12" fmla="*/ 284179 w 3097752"/>
              <a:gd name="connsiteY12" fmla="*/ 141487 h 2054107"/>
              <a:gd name="connsiteX13" fmla="*/ 147019 w 3097752"/>
              <a:gd name="connsiteY13" fmla="*/ 187207 h 2054107"/>
              <a:gd name="connsiteX14" fmla="*/ 55579 w 3097752"/>
              <a:gd name="connsiteY14" fmla="*/ 339607 h 2054107"/>
              <a:gd name="connsiteX15" fmla="*/ 63199 w 3097752"/>
              <a:gd name="connsiteY15" fmla="*/ 1414027 h 2054107"/>
              <a:gd name="connsiteX16" fmla="*/ 93679 w 3097752"/>
              <a:gd name="connsiteY16" fmla="*/ 1520707 h 2054107"/>
              <a:gd name="connsiteX17" fmla="*/ 139399 w 3097752"/>
              <a:gd name="connsiteY17" fmla="*/ 1596907 h 2054107"/>
              <a:gd name="connsiteX18" fmla="*/ 268939 w 3097752"/>
              <a:gd name="connsiteY18" fmla="*/ 1650247 h 2054107"/>
              <a:gd name="connsiteX19" fmla="*/ 1602439 w 3097752"/>
              <a:gd name="connsiteY19" fmla="*/ 1642627 h 2054107"/>
              <a:gd name="connsiteX20" fmla="*/ 1418598 w 3097752"/>
              <a:gd name="connsiteY20" fmla="*/ 1873054 h 2054107"/>
              <a:gd name="connsiteX21" fmla="*/ 1272857 w 3097752"/>
              <a:gd name="connsiteY21" fmla="*/ 2038867 h 2054107"/>
              <a:gd name="connsiteX22" fmla="*/ 1030939 w 3097752"/>
              <a:gd name="connsiteY22" fmla="*/ 2046487 h 2054107"/>
              <a:gd name="connsiteX23" fmla="*/ 1030939 w 3097752"/>
              <a:gd name="connsiteY23" fmla="*/ 1711207 h 2054107"/>
              <a:gd name="connsiteX24" fmla="*/ 817579 w 3097752"/>
              <a:gd name="connsiteY24" fmla="*/ 1909327 h 2054107"/>
              <a:gd name="connsiteX25" fmla="*/ 665179 w 3097752"/>
              <a:gd name="connsiteY25" fmla="*/ 1909327 h 2054107"/>
              <a:gd name="connsiteX26" fmla="*/ 672799 w 3097752"/>
              <a:gd name="connsiteY26" fmla="*/ 2054107 h 2054107"/>
              <a:gd name="connsiteX27" fmla="*/ 2239 w 3097752"/>
              <a:gd name="connsiteY27" fmla="*/ 2054107 h 2054107"/>
              <a:gd name="connsiteX28" fmla="*/ 0 w 3097752"/>
              <a:gd name="connsiteY28" fmla="*/ 50 h 2054107"/>
              <a:gd name="connsiteX0" fmla="*/ 0 w 3112992"/>
              <a:gd name="connsiteY0" fmla="*/ 15192 h 2069249"/>
              <a:gd name="connsiteX1" fmla="*/ 3112992 w 3112992"/>
              <a:gd name="connsiteY1" fmla="*/ 0 h 2069249"/>
              <a:gd name="connsiteX2" fmla="*/ 3088339 w 3112992"/>
              <a:gd name="connsiteY2" fmla="*/ 2031149 h 2069249"/>
              <a:gd name="connsiteX3" fmla="*/ 1276573 w 3112992"/>
              <a:gd name="connsiteY3" fmla="*/ 2044595 h 2069249"/>
              <a:gd name="connsiteX4" fmla="*/ 1427179 w 3112992"/>
              <a:gd name="connsiteY4" fmla="*/ 1893989 h 2069249"/>
              <a:gd name="connsiteX5" fmla="*/ 2295859 w 3112992"/>
              <a:gd name="connsiteY5" fmla="*/ 1665389 h 2069249"/>
              <a:gd name="connsiteX6" fmla="*/ 2562559 w 3112992"/>
              <a:gd name="connsiteY6" fmla="*/ 1650149 h 2069249"/>
              <a:gd name="connsiteX7" fmla="*/ 2676859 w 3112992"/>
              <a:gd name="connsiteY7" fmla="*/ 1573949 h 2069249"/>
              <a:gd name="connsiteX8" fmla="*/ 2737819 w 3112992"/>
              <a:gd name="connsiteY8" fmla="*/ 1467269 h 2069249"/>
              <a:gd name="connsiteX9" fmla="*/ 2722579 w 3112992"/>
              <a:gd name="connsiteY9" fmla="*/ 385229 h 2069249"/>
              <a:gd name="connsiteX10" fmla="*/ 2699719 w 3112992"/>
              <a:gd name="connsiteY10" fmla="*/ 240449 h 2069249"/>
              <a:gd name="connsiteX11" fmla="*/ 2509219 w 3112992"/>
              <a:gd name="connsiteY11" fmla="*/ 149009 h 2069249"/>
              <a:gd name="connsiteX12" fmla="*/ 284179 w 3112992"/>
              <a:gd name="connsiteY12" fmla="*/ 156629 h 2069249"/>
              <a:gd name="connsiteX13" fmla="*/ 147019 w 3112992"/>
              <a:gd name="connsiteY13" fmla="*/ 202349 h 2069249"/>
              <a:gd name="connsiteX14" fmla="*/ 55579 w 3112992"/>
              <a:gd name="connsiteY14" fmla="*/ 354749 h 2069249"/>
              <a:gd name="connsiteX15" fmla="*/ 63199 w 3112992"/>
              <a:gd name="connsiteY15" fmla="*/ 1429169 h 2069249"/>
              <a:gd name="connsiteX16" fmla="*/ 93679 w 3112992"/>
              <a:gd name="connsiteY16" fmla="*/ 1535849 h 2069249"/>
              <a:gd name="connsiteX17" fmla="*/ 139399 w 3112992"/>
              <a:gd name="connsiteY17" fmla="*/ 1612049 h 2069249"/>
              <a:gd name="connsiteX18" fmla="*/ 268939 w 3112992"/>
              <a:gd name="connsiteY18" fmla="*/ 1665389 h 2069249"/>
              <a:gd name="connsiteX19" fmla="*/ 1602439 w 3112992"/>
              <a:gd name="connsiteY19" fmla="*/ 1657769 h 2069249"/>
              <a:gd name="connsiteX20" fmla="*/ 1418598 w 3112992"/>
              <a:gd name="connsiteY20" fmla="*/ 1888196 h 2069249"/>
              <a:gd name="connsiteX21" fmla="*/ 1272857 w 3112992"/>
              <a:gd name="connsiteY21" fmla="*/ 2054009 h 2069249"/>
              <a:gd name="connsiteX22" fmla="*/ 1030939 w 3112992"/>
              <a:gd name="connsiteY22" fmla="*/ 2061629 h 2069249"/>
              <a:gd name="connsiteX23" fmla="*/ 1030939 w 3112992"/>
              <a:gd name="connsiteY23" fmla="*/ 1726349 h 2069249"/>
              <a:gd name="connsiteX24" fmla="*/ 817579 w 3112992"/>
              <a:gd name="connsiteY24" fmla="*/ 1924469 h 2069249"/>
              <a:gd name="connsiteX25" fmla="*/ 665179 w 3112992"/>
              <a:gd name="connsiteY25" fmla="*/ 1924469 h 2069249"/>
              <a:gd name="connsiteX26" fmla="*/ 672799 w 3112992"/>
              <a:gd name="connsiteY26" fmla="*/ 2069249 h 2069249"/>
              <a:gd name="connsiteX27" fmla="*/ 2239 w 3112992"/>
              <a:gd name="connsiteY27" fmla="*/ 2069249 h 2069249"/>
              <a:gd name="connsiteX28" fmla="*/ 0 w 3112992"/>
              <a:gd name="connsiteY28" fmla="*/ 15192 h 2069249"/>
              <a:gd name="connsiteX0" fmla="*/ 0 w 3112992"/>
              <a:gd name="connsiteY0" fmla="*/ 51 h 2069249"/>
              <a:gd name="connsiteX1" fmla="*/ 3112992 w 3112992"/>
              <a:gd name="connsiteY1" fmla="*/ 0 h 2069249"/>
              <a:gd name="connsiteX2" fmla="*/ 3088339 w 3112992"/>
              <a:gd name="connsiteY2" fmla="*/ 2031149 h 2069249"/>
              <a:gd name="connsiteX3" fmla="*/ 1276573 w 3112992"/>
              <a:gd name="connsiteY3" fmla="*/ 2044595 h 2069249"/>
              <a:gd name="connsiteX4" fmla="*/ 1427179 w 3112992"/>
              <a:gd name="connsiteY4" fmla="*/ 1893989 h 2069249"/>
              <a:gd name="connsiteX5" fmla="*/ 2295859 w 3112992"/>
              <a:gd name="connsiteY5" fmla="*/ 1665389 h 2069249"/>
              <a:gd name="connsiteX6" fmla="*/ 2562559 w 3112992"/>
              <a:gd name="connsiteY6" fmla="*/ 1650149 h 2069249"/>
              <a:gd name="connsiteX7" fmla="*/ 2676859 w 3112992"/>
              <a:gd name="connsiteY7" fmla="*/ 1573949 h 2069249"/>
              <a:gd name="connsiteX8" fmla="*/ 2737819 w 3112992"/>
              <a:gd name="connsiteY8" fmla="*/ 1467269 h 2069249"/>
              <a:gd name="connsiteX9" fmla="*/ 2722579 w 3112992"/>
              <a:gd name="connsiteY9" fmla="*/ 385229 h 2069249"/>
              <a:gd name="connsiteX10" fmla="*/ 2699719 w 3112992"/>
              <a:gd name="connsiteY10" fmla="*/ 240449 h 2069249"/>
              <a:gd name="connsiteX11" fmla="*/ 2509219 w 3112992"/>
              <a:gd name="connsiteY11" fmla="*/ 149009 h 2069249"/>
              <a:gd name="connsiteX12" fmla="*/ 284179 w 3112992"/>
              <a:gd name="connsiteY12" fmla="*/ 156629 h 2069249"/>
              <a:gd name="connsiteX13" fmla="*/ 147019 w 3112992"/>
              <a:gd name="connsiteY13" fmla="*/ 202349 h 2069249"/>
              <a:gd name="connsiteX14" fmla="*/ 55579 w 3112992"/>
              <a:gd name="connsiteY14" fmla="*/ 354749 h 2069249"/>
              <a:gd name="connsiteX15" fmla="*/ 63199 w 3112992"/>
              <a:gd name="connsiteY15" fmla="*/ 1429169 h 2069249"/>
              <a:gd name="connsiteX16" fmla="*/ 93679 w 3112992"/>
              <a:gd name="connsiteY16" fmla="*/ 1535849 h 2069249"/>
              <a:gd name="connsiteX17" fmla="*/ 139399 w 3112992"/>
              <a:gd name="connsiteY17" fmla="*/ 1612049 h 2069249"/>
              <a:gd name="connsiteX18" fmla="*/ 268939 w 3112992"/>
              <a:gd name="connsiteY18" fmla="*/ 1665389 h 2069249"/>
              <a:gd name="connsiteX19" fmla="*/ 1602439 w 3112992"/>
              <a:gd name="connsiteY19" fmla="*/ 1657769 h 2069249"/>
              <a:gd name="connsiteX20" fmla="*/ 1418598 w 3112992"/>
              <a:gd name="connsiteY20" fmla="*/ 1888196 h 2069249"/>
              <a:gd name="connsiteX21" fmla="*/ 1272857 w 3112992"/>
              <a:gd name="connsiteY21" fmla="*/ 2054009 h 2069249"/>
              <a:gd name="connsiteX22" fmla="*/ 1030939 w 3112992"/>
              <a:gd name="connsiteY22" fmla="*/ 2061629 h 2069249"/>
              <a:gd name="connsiteX23" fmla="*/ 1030939 w 3112992"/>
              <a:gd name="connsiteY23" fmla="*/ 1726349 h 2069249"/>
              <a:gd name="connsiteX24" fmla="*/ 817579 w 3112992"/>
              <a:gd name="connsiteY24" fmla="*/ 1924469 h 2069249"/>
              <a:gd name="connsiteX25" fmla="*/ 665179 w 3112992"/>
              <a:gd name="connsiteY25" fmla="*/ 1924469 h 2069249"/>
              <a:gd name="connsiteX26" fmla="*/ 672799 w 3112992"/>
              <a:gd name="connsiteY26" fmla="*/ 2069249 h 2069249"/>
              <a:gd name="connsiteX27" fmla="*/ 2239 w 3112992"/>
              <a:gd name="connsiteY27" fmla="*/ 2069249 h 2069249"/>
              <a:gd name="connsiteX28" fmla="*/ 0 w 3112992"/>
              <a:gd name="connsiteY28" fmla="*/ 51 h 2069249"/>
              <a:gd name="connsiteX0" fmla="*/ 0 w 3090132"/>
              <a:gd name="connsiteY0" fmla="*/ 51 h 2069249"/>
              <a:gd name="connsiteX1" fmla="*/ 3090132 w 3090132"/>
              <a:gd name="connsiteY1" fmla="*/ 0 h 2069249"/>
              <a:gd name="connsiteX2" fmla="*/ 3088339 w 3090132"/>
              <a:gd name="connsiteY2" fmla="*/ 2031149 h 2069249"/>
              <a:gd name="connsiteX3" fmla="*/ 1276573 w 3090132"/>
              <a:gd name="connsiteY3" fmla="*/ 2044595 h 2069249"/>
              <a:gd name="connsiteX4" fmla="*/ 1427179 w 3090132"/>
              <a:gd name="connsiteY4" fmla="*/ 1893989 h 2069249"/>
              <a:gd name="connsiteX5" fmla="*/ 2295859 w 3090132"/>
              <a:gd name="connsiteY5" fmla="*/ 1665389 h 2069249"/>
              <a:gd name="connsiteX6" fmla="*/ 2562559 w 3090132"/>
              <a:gd name="connsiteY6" fmla="*/ 1650149 h 2069249"/>
              <a:gd name="connsiteX7" fmla="*/ 2676859 w 3090132"/>
              <a:gd name="connsiteY7" fmla="*/ 1573949 h 2069249"/>
              <a:gd name="connsiteX8" fmla="*/ 2737819 w 3090132"/>
              <a:gd name="connsiteY8" fmla="*/ 1467269 h 2069249"/>
              <a:gd name="connsiteX9" fmla="*/ 2722579 w 3090132"/>
              <a:gd name="connsiteY9" fmla="*/ 385229 h 2069249"/>
              <a:gd name="connsiteX10" fmla="*/ 2699719 w 3090132"/>
              <a:gd name="connsiteY10" fmla="*/ 240449 h 2069249"/>
              <a:gd name="connsiteX11" fmla="*/ 2509219 w 3090132"/>
              <a:gd name="connsiteY11" fmla="*/ 149009 h 2069249"/>
              <a:gd name="connsiteX12" fmla="*/ 284179 w 3090132"/>
              <a:gd name="connsiteY12" fmla="*/ 156629 h 2069249"/>
              <a:gd name="connsiteX13" fmla="*/ 147019 w 3090132"/>
              <a:gd name="connsiteY13" fmla="*/ 202349 h 2069249"/>
              <a:gd name="connsiteX14" fmla="*/ 55579 w 3090132"/>
              <a:gd name="connsiteY14" fmla="*/ 354749 h 2069249"/>
              <a:gd name="connsiteX15" fmla="*/ 63199 w 3090132"/>
              <a:gd name="connsiteY15" fmla="*/ 1429169 h 2069249"/>
              <a:gd name="connsiteX16" fmla="*/ 93679 w 3090132"/>
              <a:gd name="connsiteY16" fmla="*/ 1535849 h 2069249"/>
              <a:gd name="connsiteX17" fmla="*/ 139399 w 3090132"/>
              <a:gd name="connsiteY17" fmla="*/ 1612049 h 2069249"/>
              <a:gd name="connsiteX18" fmla="*/ 268939 w 3090132"/>
              <a:gd name="connsiteY18" fmla="*/ 1665389 h 2069249"/>
              <a:gd name="connsiteX19" fmla="*/ 1602439 w 3090132"/>
              <a:gd name="connsiteY19" fmla="*/ 1657769 h 2069249"/>
              <a:gd name="connsiteX20" fmla="*/ 1418598 w 3090132"/>
              <a:gd name="connsiteY20" fmla="*/ 1888196 h 2069249"/>
              <a:gd name="connsiteX21" fmla="*/ 1272857 w 3090132"/>
              <a:gd name="connsiteY21" fmla="*/ 2054009 h 2069249"/>
              <a:gd name="connsiteX22" fmla="*/ 1030939 w 3090132"/>
              <a:gd name="connsiteY22" fmla="*/ 2061629 h 2069249"/>
              <a:gd name="connsiteX23" fmla="*/ 1030939 w 3090132"/>
              <a:gd name="connsiteY23" fmla="*/ 1726349 h 2069249"/>
              <a:gd name="connsiteX24" fmla="*/ 817579 w 3090132"/>
              <a:gd name="connsiteY24" fmla="*/ 1924469 h 2069249"/>
              <a:gd name="connsiteX25" fmla="*/ 665179 w 3090132"/>
              <a:gd name="connsiteY25" fmla="*/ 1924469 h 2069249"/>
              <a:gd name="connsiteX26" fmla="*/ 672799 w 3090132"/>
              <a:gd name="connsiteY26" fmla="*/ 2069249 h 2069249"/>
              <a:gd name="connsiteX27" fmla="*/ 2239 w 3090132"/>
              <a:gd name="connsiteY27" fmla="*/ 2069249 h 2069249"/>
              <a:gd name="connsiteX28" fmla="*/ 0 w 3090132"/>
              <a:gd name="connsiteY28" fmla="*/ 51 h 2069249"/>
              <a:gd name="connsiteX0" fmla="*/ 0 w 3097752"/>
              <a:gd name="connsiteY0" fmla="*/ 0 h 2091911"/>
              <a:gd name="connsiteX1" fmla="*/ 3097752 w 3097752"/>
              <a:gd name="connsiteY1" fmla="*/ 22662 h 2091911"/>
              <a:gd name="connsiteX2" fmla="*/ 3095959 w 3097752"/>
              <a:gd name="connsiteY2" fmla="*/ 2053811 h 2091911"/>
              <a:gd name="connsiteX3" fmla="*/ 1284193 w 3097752"/>
              <a:gd name="connsiteY3" fmla="*/ 2067257 h 2091911"/>
              <a:gd name="connsiteX4" fmla="*/ 1434799 w 3097752"/>
              <a:gd name="connsiteY4" fmla="*/ 1916651 h 2091911"/>
              <a:gd name="connsiteX5" fmla="*/ 2303479 w 3097752"/>
              <a:gd name="connsiteY5" fmla="*/ 1688051 h 2091911"/>
              <a:gd name="connsiteX6" fmla="*/ 2570179 w 3097752"/>
              <a:gd name="connsiteY6" fmla="*/ 1672811 h 2091911"/>
              <a:gd name="connsiteX7" fmla="*/ 2684479 w 3097752"/>
              <a:gd name="connsiteY7" fmla="*/ 1596611 h 2091911"/>
              <a:gd name="connsiteX8" fmla="*/ 2745439 w 3097752"/>
              <a:gd name="connsiteY8" fmla="*/ 1489931 h 2091911"/>
              <a:gd name="connsiteX9" fmla="*/ 2730199 w 3097752"/>
              <a:gd name="connsiteY9" fmla="*/ 407891 h 2091911"/>
              <a:gd name="connsiteX10" fmla="*/ 2707339 w 3097752"/>
              <a:gd name="connsiteY10" fmla="*/ 263111 h 2091911"/>
              <a:gd name="connsiteX11" fmla="*/ 2516839 w 3097752"/>
              <a:gd name="connsiteY11" fmla="*/ 171671 h 2091911"/>
              <a:gd name="connsiteX12" fmla="*/ 291799 w 3097752"/>
              <a:gd name="connsiteY12" fmla="*/ 179291 h 2091911"/>
              <a:gd name="connsiteX13" fmla="*/ 154639 w 3097752"/>
              <a:gd name="connsiteY13" fmla="*/ 225011 h 2091911"/>
              <a:gd name="connsiteX14" fmla="*/ 63199 w 3097752"/>
              <a:gd name="connsiteY14" fmla="*/ 377411 h 2091911"/>
              <a:gd name="connsiteX15" fmla="*/ 70819 w 3097752"/>
              <a:gd name="connsiteY15" fmla="*/ 1451831 h 2091911"/>
              <a:gd name="connsiteX16" fmla="*/ 101299 w 3097752"/>
              <a:gd name="connsiteY16" fmla="*/ 1558511 h 2091911"/>
              <a:gd name="connsiteX17" fmla="*/ 147019 w 3097752"/>
              <a:gd name="connsiteY17" fmla="*/ 1634711 h 2091911"/>
              <a:gd name="connsiteX18" fmla="*/ 276559 w 3097752"/>
              <a:gd name="connsiteY18" fmla="*/ 1688051 h 2091911"/>
              <a:gd name="connsiteX19" fmla="*/ 1610059 w 3097752"/>
              <a:gd name="connsiteY19" fmla="*/ 1680431 h 2091911"/>
              <a:gd name="connsiteX20" fmla="*/ 1426218 w 3097752"/>
              <a:gd name="connsiteY20" fmla="*/ 1910858 h 2091911"/>
              <a:gd name="connsiteX21" fmla="*/ 1280477 w 3097752"/>
              <a:gd name="connsiteY21" fmla="*/ 2076671 h 2091911"/>
              <a:gd name="connsiteX22" fmla="*/ 1038559 w 3097752"/>
              <a:gd name="connsiteY22" fmla="*/ 2084291 h 2091911"/>
              <a:gd name="connsiteX23" fmla="*/ 1038559 w 3097752"/>
              <a:gd name="connsiteY23" fmla="*/ 1749011 h 2091911"/>
              <a:gd name="connsiteX24" fmla="*/ 825199 w 3097752"/>
              <a:gd name="connsiteY24" fmla="*/ 1947131 h 2091911"/>
              <a:gd name="connsiteX25" fmla="*/ 672799 w 3097752"/>
              <a:gd name="connsiteY25" fmla="*/ 1947131 h 2091911"/>
              <a:gd name="connsiteX26" fmla="*/ 680419 w 3097752"/>
              <a:gd name="connsiteY26" fmla="*/ 2091911 h 2091911"/>
              <a:gd name="connsiteX27" fmla="*/ 9859 w 3097752"/>
              <a:gd name="connsiteY27" fmla="*/ 2091911 h 2091911"/>
              <a:gd name="connsiteX28" fmla="*/ 0 w 3097752"/>
              <a:gd name="connsiteY28" fmla="*/ 0 h 2091911"/>
              <a:gd name="connsiteX0" fmla="*/ 0 w 3096298"/>
              <a:gd name="connsiteY0" fmla="*/ 0 h 2091911"/>
              <a:gd name="connsiteX1" fmla="*/ 3082512 w 3096298"/>
              <a:gd name="connsiteY1" fmla="*/ 7520 h 2091911"/>
              <a:gd name="connsiteX2" fmla="*/ 3095959 w 3096298"/>
              <a:gd name="connsiteY2" fmla="*/ 2053811 h 2091911"/>
              <a:gd name="connsiteX3" fmla="*/ 1284193 w 3096298"/>
              <a:gd name="connsiteY3" fmla="*/ 2067257 h 2091911"/>
              <a:gd name="connsiteX4" fmla="*/ 1434799 w 3096298"/>
              <a:gd name="connsiteY4" fmla="*/ 1916651 h 2091911"/>
              <a:gd name="connsiteX5" fmla="*/ 2303479 w 3096298"/>
              <a:gd name="connsiteY5" fmla="*/ 1688051 h 2091911"/>
              <a:gd name="connsiteX6" fmla="*/ 2570179 w 3096298"/>
              <a:gd name="connsiteY6" fmla="*/ 1672811 h 2091911"/>
              <a:gd name="connsiteX7" fmla="*/ 2684479 w 3096298"/>
              <a:gd name="connsiteY7" fmla="*/ 1596611 h 2091911"/>
              <a:gd name="connsiteX8" fmla="*/ 2745439 w 3096298"/>
              <a:gd name="connsiteY8" fmla="*/ 1489931 h 2091911"/>
              <a:gd name="connsiteX9" fmla="*/ 2730199 w 3096298"/>
              <a:gd name="connsiteY9" fmla="*/ 407891 h 2091911"/>
              <a:gd name="connsiteX10" fmla="*/ 2707339 w 3096298"/>
              <a:gd name="connsiteY10" fmla="*/ 263111 h 2091911"/>
              <a:gd name="connsiteX11" fmla="*/ 2516839 w 3096298"/>
              <a:gd name="connsiteY11" fmla="*/ 171671 h 2091911"/>
              <a:gd name="connsiteX12" fmla="*/ 291799 w 3096298"/>
              <a:gd name="connsiteY12" fmla="*/ 179291 h 2091911"/>
              <a:gd name="connsiteX13" fmla="*/ 154639 w 3096298"/>
              <a:gd name="connsiteY13" fmla="*/ 225011 h 2091911"/>
              <a:gd name="connsiteX14" fmla="*/ 63199 w 3096298"/>
              <a:gd name="connsiteY14" fmla="*/ 377411 h 2091911"/>
              <a:gd name="connsiteX15" fmla="*/ 70819 w 3096298"/>
              <a:gd name="connsiteY15" fmla="*/ 1451831 h 2091911"/>
              <a:gd name="connsiteX16" fmla="*/ 101299 w 3096298"/>
              <a:gd name="connsiteY16" fmla="*/ 1558511 h 2091911"/>
              <a:gd name="connsiteX17" fmla="*/ 147019 w 3096298"/>
              <a:gd name="connsiteY17" fmla="*/ 1634711 h 2091911"/>
              <a:gd name="connsiteX18" fmla="*/ 276559 w 3096298"/>
              <a:gd name="connsiteY18" fmla="*/ 1688051 h 2091911"/>
              <a:gd name="connsiteX19" fmla="*/ 1610059 w 3096298"/>
              <a:gd name="connsiteY19" fmla="*/ 1680431 h 2091911"/>
              <a:gd name="connsiteX20" fmla="*/ 1426218 w 3096298"/>
              <a:gd name="connsiteY20" fmla="*/ 1910858 h 2091911"/>
              <a:gd name="connsiteX21" fmla="*/ 1280477 w 3096298"/>
              <a:gd name="connsiteY21" fmla="*/ 2076671 h 2091911"/>
              <a:gd name="connsiteX22" fmla="*/ 1038559 w 3096298"/>
              <a:gd name="connsiteY22" fmla="*/ 2084291 h 2091911"/>
              <a:gd name="connsiteX23" fmla="*/ 1038559 w 3096298"/>
              <a:gd name="connsiteY23" fmla="*/ 1749011 h 2091911"/>
              <a:gd name="connsiteX24" fmla="*/ 825199 w 3096298"/>
              <a:gd name="connsiteY24" fmla="*/ 1947131 h 2091911"/>
              <a:gd name="connsiteX25" fmla="*/ 672799 w 3096298"/>
              <a:gd name="connsiteY25" fmla="*/ 1947131 h 2091911"/>
              <a:gd name="connsiteX26" fmla="*/ 680419 w 3096298"/>
              <a:gd name="connsiteY26" fmla="*/ 2091911 h 2091911"/>
              <a:gd name="connsiteX27" fmla="*/ 9859 w 3096298"/>
              <a:gd name="connsiteY27" fmla="*/ 2091911 h 2091911"/>
              <a:gd name="connsiteX28" fmla="*/ 0 w 3096298"/>
              <a:gd name="connsiteY28" fmla="*/ 0 h 2091911"/>
              <a:gd name="connsiteX0" fmla="*/ 0 w 3096483"/>
              <a:gd name="connsiteY0" fmla="*/ 0 h 2091911"/>
              <a:gd name="connsiteX1" fmla="*/ 3090132 w 3096483"/>
              <a:gd name="connsiteY1" fmla="*/ 7520 h 2091911"/>
              <a:gd name="connsiteX2" fmla="*/ 3095959 w 3096483"/>
              <a:gd name="connsiteY2" fmla="*/ 2053811 h 2091911"/>
              <a:gd name="connsiteX3" fmla="*/ 1284193 w 3096483"/>
              <a:gd name="connsiteY3" fmla="*/ 2067257 h 2091911"/>
              <a:gd name="connsiteX4" fmla="*/ 1434799 w 3096483"/>
              <a:gd name="connsiteY4" fmla="*/ 1916651 h 2091911"/>
              <a:gd name="connsiteX5" fmla="*/ 2303479 w 3096483"/>
              <a:gd name="connsiteY5" fmla="*/ 1688051 h 2091911"/>
              <a:gd name="connsiteX6" fmla="*/ 2570179 w 3096483"/>
              <a:gd name="connsiteY6" fmla="*/ 1672811 h 2091911"/>
              <a:gd name="connsiteX7" fmla="*/ 2684479 w 3096483"/>
              <a:gd name="connsiteY7" fmla="*/ 1596611 h 2091911"/>
              <a:gd name="connsiteX8" fmla="*/ 2745439 w 3096483"/>
              <a:gd name="connsiteY8" fmla="*/ 1489931 h 2091911"/>
              <a:gd name="connsiteX9" fmla="*/ 2730199 w 3096483"/>
              <a:gd name="connsiteY9" fmla="*/ 407891 h 2091911"/>
              <a:gd name="connsiteX10" fmla="*/ 2707339 w 3096483"/>
              <a:gd name="connsiteY10" fmla="*/ 263111 h 2091911"/>
              <a:gd name="connsiteX11" fmla="*/ 2516839 w 3096483"/>
              <a:gd name="connsiteY11" fmla="*/ 171671 h 2091911"/>
              <a:gd name="connsiteX12" fmla="*/ 291799 w 3096483"/>
              <a:gd name="connsiteY12" fmla="*/ 179291 h 2091911"/>
              <a:gd name="connsiteX13" fmla="*/ 154639 w 3096483"/>
              <a:gd name="connsiteY13" fmla="*/ 225011 h 2091911"/>
              <a:gd name="connsiteX14" fmla="*/ 63199 w 3096483"/>
              <a:gd name="connsiteY14" fmla="*/ 377411 h 2091911"/>
              <a:gd name="connsiteX15" fmla="*/ 70819 w 3096483"/>
              <a:gd name="connsiteY15" fmla="*/ 1451831 h 2091911"/>
              <a:gd name="connsiteX16" fmla="*/ 101299 w 3096483"/>
              <a:gd name="connsiteY16" fmla="*/ 1558511 h 2091911"/>
              <a:gd name="connsiteX17" fmla="*/ 147019 w 3096483"/>
              <a:gd name="connsiteY17" fmla="*/ 1634711 h 2091911"/>
              <a:gd name="connsiteX18" fmla="*/ 276559 w 3096483"/>
              <a:gd name="connsiteY18" fmla="*/ 1688051 h 2091911"/>
              <a:gd name="connsiteX19" fmla="*/ 1610059 w 3096483"/>
              <a:gd name="connsiteY19" fmla="*/ 1680431 h 2091911"/>
              <a:gd name="connsiteX20" fmla="*/ 1426218 w 3096483"/>
              <a:gd name="connsiteY20" fmla="*/ 1910858 h 2091911"/>
              <a:gd name="connsiteX21" fmla="*/ 1280477 w 3096483"/>
              <a:gd name="connsiteY21" fmla="*/ 2076671 h 2091911"/>
              <a:gd name="connsiteX22" fmla="*/ 1038559 w 3096483"/>
              <a:gd name="connsiteY22" fmla="*/ 2084291 h 2091911"/>
              <a:gd name="connsiteX23" fmla="*/ 1038559 w 3096483"/>
              <a:gd name="connsiteY23" fmla="*/ 1749011 h 2091911"/>
              <a:gd name="connsiteX24" fmla="*/ 825199 w 3096483"/>
              <a:gd name="connsiteY24" fmla="*/ 1947131 h 2091911"/>
              <a:gd name="connsiteX25" fmla="*/ 672799 w 3096483"/>
              <a:gd name="connsiteY25" fmla="*/ 1947131 h 2091911"/>
              <a:gd name="connsiteX26" fmla="*/ 680419 w 3096483"/>
              <a:gd name="connsiteY26" fmla="*/ 2091911 h 2091911"/>
              <a:gd name="connsiteX27" fmla="*/ 9859 w 3096483"/>
              <a:gd name="connsiteY27" fmla="*/ 2091911 h 2091911"/>
              <a:gd name="connsiteX28" fmla="*/ 0 w 3096483"/>
              <a:gd name="connsiteY28" fmla="*/ 0 h 209191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096483" h="2091911">
                <a:moveTo>
                  <a:pt x="0" y="0"/>
                </a:moveTo>
                <a:lnTo>
                  <a:pt x="3090132" y="7520"/>
                </a:lnTo>
                <a:cubicBezTo>
                  <a:pt x="3086994" y="694664"/>
                  <a:pt x="3099097" y="1366667"/>
                  <a:pt x="3095959" y="2053811"/>
                </a:cubicBezTo>
                <a:lnTo>
                  <a:pt x="1284193" y="2067257"/>
                </a:lnTo>
                <a:lnTo>
                  <a:pt x="1434799" y="1916651"/>
                </a:lnTo>
                <a:lnTo>
                  <a:pt x="2303479" y="1688051"/>
                </a:lnTo>
                <a:lnTo>
                  <a:pt x="2570179" y="1672811"/>
                </a:lnTo>
                <a:lnTo>
                  <a:pt x="2684479" y="1596611"/>
                </a:lnTo>
                <a:lnTo>
                  <a:pt x="2745439" y="1489931"/>
                </a:lnTo>
                <a:lnTo>
                  <a:pt x="2730199" y="407891"/>
                </a:lnTo>
                <a:lnTo>
                  <a:pt x="2707339" y="263111"/>
                </a:lnTo>
                <a:lnTo>
                  <a:pt x="2516839" y="171671"/>
                </a:lnTo>
                <a:lnTo>
                  <a:pt x="291799" y="179291"/>
                </a:lnTo>
                <a:lnTo>
                  <a:pt x="154639" y="225011"/>
                </a:lnTo>
                <a:lnTo>
                  <a:pt x="63199" y="377411"/>
                </a:lnTo>
                <a:lnTo>
                  <a:pt x="70819" y="1451831"/>
                </a:lnTo>
                <a:lnTo>
                  <a:pt x="101299" y="1558511"/>
                </a:lnTo>
                <a:lnTo>
                  <a:pt x="147019" y="1634711"/>
                </a:lnTo>
                <a:lnTo>
                  <a:pt x="276559" y="1688051"/>
                </a:lnTo>
                <a:lnTo>
                  <a:pt x="1610059" y="1680431"/>
                </a:lnTo>
                <a:lnTo>
                  <a:pt x="1426218" y="1910858"/>
                </a:lnTo>
                <a:lnTo>
                  <a:pt x="1280477" y="2076671"/>
                </a:lnTo>
                <a:lnTo>
                  <a:pt x="1038559" y="2084291"/>
                </a:lnTo>
                <a:lnTo>
                  <a:pt x="1038559" y="1749011"/>
                </a:lnTo>
                <a:lnTo>
                  <a:pt x="825199" y="1947131"/>
                </a:lnTo>
                <a:lnTo>
                  <a:pt x="672799" y="1947131"/>
                </a:lnTo>
                <a:lnTo>
                  <a:pt x="680419" y="2091911"/>
                </a:lnTo>
                <a:lnTo>
                  <a:pt x="9859" y="2091911"/>
                </a:lnTo>
                <a:cubicBezTo>
                  <a:pt x="9113" y="1394607"/>
                  <a:pt x="746" y="697304"/>
                  <a:pt x="0" y="0"/>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56" name="Freeform: Shape 2155">
            <a:extLst>
              <a:ext uri="{FF2B5EF4-FFF2-40B4-BE49-F238E27FC236}">
                <a16:creationId xmlns:a16="http://schemas.microsoft.com/office/drawing/2014/main" id="{00000000-0008-0000-0200-00006C080000}"/>
              </a:ext>
            </a:extLst>
          </xdr:cNvPr>
          <xdr:cNvSpPr/>
        </xdr:nvSpPr>
        <xdr:spPr>
          <a:xfrm flipH="1">
            <a:off x="9279183" y="87475841"/>
            <a:ext cx="3086905" cy="2122464"/>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25238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77656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40 w 3097752"/>
              <a:gd name="connsiteY2" fmla="*/ 207667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77656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0 h 2122390"/>
              <a:gd name="connsiteX1" fmla="*/ 3097752 w 3097752"/>
              <a:gd name="connsiteY1" fmla="*/ 22858 h 2122390"/>
              <a:gd name="connsiteX2" fmla="*/ 3088340 w 3097752"/>
              <a:gd name="connsiteY2" fmla="*/ 2099530 h 2122390"/>
              <a:gd name="connsiteX3" fmla="*/ 1276573 w 3097752"/>
              <a:gd name="connsiteY3" fmla="*/ 2097736 h 2122390"/>
              <a:gd name="connsiteX4" fmla="*/ 1379526 w 3097752"/>
              <a:gd name="connsiteY4" fmla="*/ 1947130 h 2122390"/>
              <a:gd name="connsiteX5" fmla="*/ 2295859 w 3097752"/>
              <a:gd name="connsiteY5" fmla="*/ 1718530 h 2122390"/>
              <a:gd name="connsiteX6" fmla="*/ 2562559 w 3097752"/>
              <a:gd name="connsiteY6" fmla="*/ 1703290 h 2122390"/>
              <a:gd name="connsiteX7" fmla="*/ 2676859 w 3097752"/>
              <a:gd name="connsiteY7" fmla="*/ 1627090 h 2122390"/>
              <a:gd name="connsiteX8" fmla="*/ 2737819 w 3097752"/>
              <a:gd name="connsiteY8" fmla="*/ 1520410 h 2122390"/>
              <a:gd name="connsiteX9" fmla="*/ 2722579 w 3097752"/>
              <a:gd name="connsiteY9" fmla="*/ 438370 h 2122390"/>
              <a:gd name="connsiteX10" fmla="*/ 2699719 w 3097752"/>
              <a:gd name="connsiteY10" fmla="*/ 293590 h 2122390"/>
              <a:gd name="connsiteX11" fmla="*/ 2509219 w 3097752"/>
              <a:gd name="connsiteY11" fmla="*/ 202150 h 2122390"/>
              <a:gd name="connsiteX12" fmla="*/ 284179 w 3097752"/>
              <a:gd name="connsiteY12" fmla="*/ 209770 h 2122390"/>
              <a:gd name="connsiteX13" fmla="*/ 147019 w 3097752"/>
              <a:gd name="connsiteY13" fmla="*/ 255490 h 2122390"/>
              <a:gd name="connsiteX14" fmla="*/ 55579 w 3097752"/>
              <a:gd name="connsiteY14" fmla="*/ 407890 h 2122390"/>
              <a:gd name="connsiteX15" fmla="*/ 63199 w 3097752"/>
              <a:gd name="connsiteY15" fmla="*/ 1482310 h 2122390"/>
              <a:gd name="connsiteX16" fmla="*/ 93679 w 3097752"/>
              <a:gd name="connsiteY16" fmla="*/ 1588990 h 2122390"/>
              <a:gd name="connsiteX17" fmla="*/ 139399 w 3097752"/>
              <a:gd name="connsiteY17" fmla="*/ 1665190 h 2122390"/>
              <a:gd name="connsiteX18" fmla="*/ 268939 w 3097752"/>
              <a:gd name="connsiteY18" fmla="*/ 1718530 h 2122390"/>
              <a:gd name="connsiteX19" fmla="*/ 1602439 w 3097752"/>
              <a:gd name="connsiteY19" fmla="*/ 1710910 h 2122390"/>
              <a:gd name="connsiteX20" fmla="*/ 1394789 w 3097752"/>
              <a:gd name="connsiteY20" fmla="*/ 1936637 h 2122390"/>
              <a:gd name="connsiteX21" fmla="*/ 1277656 w 3097752"/>
              <a:gd name="connsiteY21" fmla="*/ 2107150 h 2122390"/>
              <a:gd name="connsiteX22" fmla="*/ 1030939 w 3097752"/>
              <a:gd name="connsiteY22" fmla="*/ 2114770 h 2122390"/>
              <a:gd name="connsiteX23" fmla="*/ 1030939 w 3097752"/>
              <a:gd name="connsiteY23" fmla="*/ 1779490 h 2122390"/>
              <a:gd name="connsiteX24" fmla="*/ 817579 w 3097752"/>
              <a:gd name="connsiteY24" fmla="*/ 1977610 h 2122390"/>
              <a:gd name="connsiteX25" fmla="*/ 688484 w 3097752"/>
              <a:gd name="connsiteY25" fmla="*/ 1977610 h 2122390"/>
              <a:gd name="connsiteX26" fmla="*/ 690278 w 3097752"/>
              <a:gd name="connsiteY26" fmla="*/ 2122390 h 2122390"/>
              <a:gd name="connsiteX27" fmla="*/ 2239 w 3097752"/>
              <a:gd name="connsiteY27" fmla="*/ 2122390 h 2122390"/>
              <a:gd name="connsiteX28" fmla="*/ 0 w 3097752"/>
              <a:gd name="connsiteY28" fmla="*/ 0 h 2122390"/>
              <a:gd name="connsiteX0" fmla="*/ 0 w 3088679"/>
              <a:gd name="connsiteY0" fmla="*/ 1 h 2122391"/>
              <a:gd name="connsiteX1" fmla="*/ 3074879 w 3088679"/>
              <a:gd name="connsiteY1" fmla="*/ 0 h 2122391"/>
              <a:gd name="connsiteX2" fmla="*/ 3088340 w 3088679"/>
              <a:gd name="connsiteY2" fmla="*/ 2099531 h 2122391"/>
              <a:gd name="connsiteX3" fmla="*/ 1276573 w 3088679"/>
              <a:gd name="connsiteY3" fmla="*/ 2097737 h 2122391"/>
              <a:gd name="connsiteX4" fmla="*/ 1379526 w 3088679"/>
              <a:gd name="connsiteY4" fmla="*/ 1947131 h 2122391"/>
              <a:gd name="connsiteX5" fmla="*/ 2295859 w 3088679"/>
              <a:gd name="connsiteY5" fmla="*/ 1718531 h 2122391"/>
              <a:gd name="connsiteX6" fmla="*/ 2562559 w 3088679"/>
              <a:gd name="connsiteY6" fmla="*/ 1703291 h 2122391"/>
              <a:gd name="connsiteX7" fmla="*/ 2676859 w 3088679"/>
              <a:gd name="connsiteY7" fmla="*/ 1627091 h 2122391"/>
              <a:gd name="connsiteX8" fmla="*/ 2737819 w 3088679"/>
              <a:gd name="connsiteY8" fmla="*/ 1520411 h 2122391"/>
              <a:gd name="connsiteX9" fmla="*/ 2722579 w 3088679"/>
              <a:gd name="connsiteY9" fmla="*/ 438371 h 2122391"/>
              <a:gd name="connsiteX10" fmla="*/ 2699719 w 3088679"/>
              <a:gd name="connsiteY10" fmla="*/ 293591 h 2122391"/>
              <a:gd name="connsiteX11" fmla="*/ 2509219 w 3088679"/>
              <a:gd name="connsiteY11" fmla="*/ 202151 h 2122391"/>
              <a:gd name="connsiteX12" fmla="*/ 284179 w 3088679"/>
              <a:gd name="connsiteY12" fmla="*/ 209771 h 2122391"/>
              <a:gd name="connsiteX13" fmla="*/ 147019 w 3088679"/>
              <a:gd name="connsiteY13" fmla="*/ 255491 h 2122391"/>
              <a:gd name="connsiteX14" fmla="*/ 55579 w 3088679"/>
              <a:gd name="connsiteY14" fmla="*/ 407891 h 2122391"/>
              <a:gd name="connsiteX15" fmla="*/ 63199 w 3088679"/>
              <a:gd name="connsiteY15" fmla="*/ 1482311 h 2122391"/>
              <a:gd name="connsiteX16" fmla="*/ 93679 w 3088679"/>
              <a:gd name="connsiteY16" fmla="*/ 1588991 h 2122391"/>
              <a:gd name="connsiteX17" fmla="*/ 139399 w 3088679"/>
              <a:gd name="connsiteY17" fmla="*/ 1665191 h 2122391"/>
              <a:gd name="connsiteX18" fmla="*/ 268939 w 3088679"/>
              <a:gd name="connsiteY18" fmla="*/ 1718531 h 2122391"/>
              <a:gd name="connsiteX19" fmla="*/ 1602439 w 3088679"/>
              <a:gd name="connsiteY19" fmla="*/ 1710911 h 2122391"/>
              <a:gd name="connsiteX20" fmla="*/ 1394789 w 3088679"/>
              <a:gd name="connsiteY20" fmla="*/ 1936638 h 2122391"/>
              <a:gd name="connsiteX21" fmla="*/ 1277656 w 3088679"/>
              <a:gd name="connsiteY21" fmla="*/ 2107151 h 2122391"/>
              <a:gd name="connsiteX22" fmla="*/ 1030939 w 3088679"/>
              <a:gd name="connsiteY22" fmla="*/ 2114771 h 2122391"/>
              <a:gd name="connsiteX23" fmla="*/ 1030939 w 3088679"/>
              <a:gd name="connsiteY23" fmla="*/ 1779491 h 2122391"/>
              <a:gd name="connsiteX24" fmla="*/ 817579 w 3088679"/>
              <a:gd name="connsiteY24" fmla="*/ 1977611 h 2122391"/>
              <a:gd name="connsiteX25" fmla="*/ 688484 w 3088679"/>
              <a:gd name="connsiteY25" fmla="*/ 1977611 h 2122391"/>
              <a:gd name="connsiteX26" fmla="*/ 690278 w 3088679"/>
              <a:gd name="connsiteY26" fmla="*/ 2122391 h 2122391"/>
              <a:gd name="connsiteX27" fmla="*/ 2239 w 3088679"/>
              <a:gd name="connsiteY27" fmla="*/ 2122391 h 2122391"/>
              <a:gd name="connsiteX28" fmla="*/ 0 w 3088679"/>
              <a:gd name="connsiteY28" fmla="*/ 1 h 212239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088679" h="2122391">
                <a:moveTo>
                  <a:pt x="0" y="1"/>
                </a:moveTo>
                <a:lnTo>
                  <a:pt x="3074879" y="0"/>
                </a:lnTo>
                <a:cubicBezTo>
                  <a:pt x="3071741" y="687144"/>
                  <a:pt x="3091478" y="1412387"/>
                  <a:pt x="3088340" y="2099531"/>
                </a:cubicBezTo>
                <a:lnTo>
                  <a:pt x="1276573" y="2097737"/>
                </a:lnTo>
                <a:lnTo>
                  <a:pt x="1379526" y="1947131"/>
                </a:lnTo>
                <a:lnTo>
                  <a:pt x="2295859" y="1718531"/>
                </a:lnTo>
                <a:lnTo>
                  <a:pt x="2562559" y="1703291"/>
                </a:lnTo>
                <a:lnTo>
                  <a:pt x="2676859" y="1627091"/>
                </a:lnTo>
                <a:lnTo>
                  <a:pt x="2737819" y="1520411"/>
                </a:lnTo>
                <a:lnTo>
                  <a:pt x="2722579" y="438371"/>
                </a:lnTo>
                <a:lnTo>
                  <a:pt x="2699719" y="293591"/>
                </a:lnTo>
                <a:lnTo>
                  <a:pt x="2509219" y="202151"/>
                </a:lnTo>
                <a:lnTo>
                  <a:pt x="284179" y="209771"/>
                </a:lnTo>
                <a:lnTo>
                  <a:pt x="147019" y="255491"/>
                </a:lnTo>
                <a:lnTo>
                  <a:pt x="55579" y="407891"/>
                </a:lnTo>
                <a:lnTo>
                  <a:pt x="63199" y="1482311"/>
                </a:lnTo>
                <a:lnTo>
                  <a:pt x="93679" y="1588991"/>
                </a:lnTo>
                <a:lnTo>
                  <a:pt x="139399" y="1665191"/>
                </a:lnTo>
                <a:lnTo>
                  <a:pt x="268939" y="1718531"/>
                </a:lnTo>
                <a:lnTo>
                  <a:pt x="1602439" y="1710911"/>
                </a:lnTo>
                <a:lnTo>
                  <a:pt x="1394789" y="1936638"/>
                </a:lnTo>
                <a:lnTo>
                  <a:pt x="1277656" y="2107151"/>
                </a:lnTo>
                <a:lnTo>
                  <a:pt x="1030939" y="2114771"/>
                </a:lnTo>
                <a:lnTo>
                  <a:pt x="1030939" y="1779491"/>
                </a:lnTo>
                <a:lnTo>
                  <a:pt x="817579" y="1977611"/>
                </a:lnTo>
                <a:lnTo>
                  <a:pt x="688484" y="1977611"/>
                </a:lnTo>
                <a:lnTo>
                  <a:pt x="690278" y="2122391"/>
                </a:lnTo>
                <a:lnTo>
                  <a:pt x="2239" y="2122391"/>
                </a:lnTo>
                <a:cubicBezTo>
                  <a:pt x="1493" y="1425087"/>
                  <a:pt x="746" y="697305"/>
                  <a:pt x="0" y="1"/>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57" name="Freeform: Shape 2156">
            <a:extLst>
              <a:ext uri="{FF2B5EF4-FFF2-40B4-BE49-F238E27FC236}">
                <a16:creationId xmlns:a16="http://schemas.microsoft.com/office/drawing/2014/main" id="{00000000-0008-0000-0200-00006D080000}"/>
              </a:ext>
            </a:extLst>
          </xdr:cNvPr>
          <xdr:cNvSpPr/>
        </xdr:nvSpPr>
        <xdr:spPr>
          <a:xfrm flipH="1" flipV="1">
            <a:off x="9277735" y="89539103"/>
            <a:ext cx="3103593" cy="2075096"/>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6104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0024 w 3097752"/>
              <a:gd name="connsiteY20" fmla="*/ 1946820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6104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0024 w 3097752"/>
              <a:gd name="connsiteY20" fmla="*/ 1946820 h 2099532"/>
              <a:gd name="connsiteX21" fmla="*/ 1268124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6104 w 3097752"/>
              <a:gd name="connsiteY26" fmla="*/ 2099532 h 2099532"/>
              <a:gd name="connsiteX27" fmla="*/ 2239 w 3097752"/>
              <a:gd name="connsiteY27" fmla="*/ 2099532 h 2099532"/>
              <a:gd name="connsiteX28" fmla="*/ 0 w 3097752"/>
              <a:gd name="connsiteY28" fmla="*/ 7621 h 2099532"/>
              <a:gd name="connsiteX0" fmla="*/ 0 w 3097752"/>
              <a:gd name="connsiteY0" fmla="*/ 0 h 2091911"/>
              <a:gd name="connsiteX1" fmla="*/ 3097752 w 3097752"/>
              <a:gd name="connsiteY1" fmla="*/ 15092 h 2091911"/>
              <a:gd name="connsiteX2" fmla="*/ 3088339 w 3097752"/>
              <a:gd name="connsiteY2" fmla="*/ 2053811 h 2091911"/>
              <a:gd name="connsiteX3" fmla="*/ 1276573 w 3097752"/>
              <a:gd name="connsiteY3" fmla="*/ 2067257 h 2091911"/>
              <a:gd name="connsiteX4" fmla="*/ 1427179 w 3097752"/>
              <a:gd name="connsiteY4" fmla="*/ 1916651 h 2091911"/>
              <a:gd name="connsiteX5" fmla="*/ 2295859 w 3097752"/>
              <a:gd name="connsiteY5" fmla="*/ 1688051 h 2091911"/>
              <a:gd name="connsiteX6" fmla="*/ 2562559 w 3097752"/>
              <a:gd name="connsiteY6" fmla="*/ 1672811 h 2091911"/>
              <a:gd name="connsiteX7" fmla="*/ 2676859 w 3097752"/>
              <a:gd name="connsiteY7" fmla="*/ 1596611 h 2091911"/>
              <a:gd name="connsiteX8" fmla="*/ 2737819 w 3097752"/>
              <a:gd name="connsiteY8" fmla="*/ 1489931 h 2091911"/>
              <a:gd name="connsiteX9" fmla="*/ 2722579 w 3097752"/>
              <a:gd name="connsiteY9" fmla="*/ 407891 h 2091911"/>
              <a:gd name="connsiteX10" fmla="*/ 2699719 w 3097752"/>
              <a:gd name="connsiteY10" fmla="*/ 263111 h 2091911"/>
              <a:gd name="connsiteX11" fmla="*/ 2509219 w 3097752"/>
              <a:gd name="connsiteY11" fmla="*/ 171671 h 2091911"/>
              <a:gd name="connsiteX12" fmla="*/ 284179 w 3097752"/>
              <a:gd name="connsiteY12" fmla="*/ 179291 h 2091911"/>
              <a:gd name="connsiteX13" fmla="*/ 147019 w 3097752"/>
              <a:gd name="connsiteY13" fmla="*/ 225011 h 2091911"/>
              <a:gd name="connsiteX14" fmla="*/ 55579 w 3097752"/>
              <a:gd name="connsiteY14" fmla="*/ 377411 h 2091911"/>
              <a:gd name="connsiteX15" fmla="*/ 63199 w 3097752"/>
              <a:gd name="connsiteY15" fmla="*/ 1451831 h 2091911"/>
              <a:gd name="connsiteX16" fmla="*/ 93679 w 3097752"/>
              <a:gd name="connsiteY16" fmla="*/ 1558511 h 2091911"/>
              <a:gd name="connsiteX17" fmla="*/ 139399 w 3097752"/>
              <a:gd name="connsiteY17" fmla="*/ 1634711 h 2091911"/>
              <a:gd name="connsiteX18" fmla="*/ 268939 w 3097752"/>
              <a:gd name="connsiteY18" fmla="*/ 1688051 h 2091911"/>
              <a:gd name="connsiteX19" fmla="*/ 1602439 w 3097752"/>
              <a:gd name="connsiteY19" fmla="*/ 1680431 h 2091911"/>
              <a:gd name="connsiteX20" fmla="*/ 1390024 w 3097752"/>
              <a:gd name="connsiteY20" fmla="*/ 1939199 h 2091911"/>
              <a:gd name="connsiteX21" fmla="*/ 1268124 w 3097752"/>
              <a:gd name="connsiteY21" fmla="*/ 2076671 h 2091911"/>
              <a:gd name="connsiteX22" fmla="*/ 1030939 w 3097752"/>
              <a:gd name="connsiteY22" fmla="*/ 2084291 h 2091911"/>
              <a:gd name="connsiteX23" fmla="*/ 1030939 w 3097752"/>
              <a:gd name="connsiteY23" fmla="*/ 1749011 h 2091911"/>
              <a:gd name="connsiteX24" fmla="*/ 817579 w 3097752"/>
              <a:gd name="connsiteY24" fmla="*/ 1947131 h 2091911"/>
              <a:gd name="connsiteX25" fmla="*/ 688484 w 3097752"/>
              <a:gd name="connsiteY25" fmla="*/ 1947131 h 2091911"/>
              <a:gd name="connsiteX26" fmla="*/ 696104 w 3097752"/>
              <a:gd name="connsiteY26" fmla="*/ 2091911 h 2091911"/>
              <a:gd name="connsiteX27" fmla="*/ 2239 w 3097752"/>
              <a:gd name="connsiteY27" fmla="*/ 2091911 h 2091911"/>
              <a:gd name="connsiteX28" fmla="*/ 0 w 3097752"/>
              <a:gd name="connsiteY28" fmla="*/ 0 h 2091911"/>
              <a:gd name="connsiteX0" fmla="*/ 0 w 3105376"/>
              <a:gd name="connsiteY0" fmla="*/ 7621 h 2076819"/>
              <a:gd name="connsiteX1" fmla="*/ 3105376 w 3105376"/>
              <a:gd name="connsiteY1" fmla="*/ 0 h 2076819"/>
              <a:gd name="connsiteX2" fmla="*/ 3095963 w 3105376"/>
              <a:gd name="connsiteY2" fmla="*/ 2038719 h 2076819"/>
              <a:gd name="connsiteX3" fmla="*/ 1284197 w 3105376"/>
              <a:gd name="connsiteY3" fmla="*/ 2052165 h 2076819"/>
              <a:gd name="connsiteX4" fmla="*/ 1434803 w 3105376"/>
              <a:gd name="connsiteY4" fmla="*/ 1901559 h 2076819"/>
              <a:gd name="connsiteX5" fmla="*/ 2303483 w 3105376"/>
              <a:gd name="connsiteY5" fmla="*/ 1672959 h 2076819"/>
              <a:gd name="connsiteX6" fmla="*/ 2570183 w 3105376"/>
              <a:gd name="connsiteY6" fmla="*/ 1657719 h 2076819"/>
              <a:gd name="connsiteX7" fmla="*/ 2684483 w 3105376"/>
              <a:gd name="connsiteY7" fmla="*/ 1581519 h 2076819"/>
              <a:gd name="connsiteX8" fmla="*/ 2745443 w 3105376"/>
              <a:gd name="connsiteY8" fmla="*/ 1474839 h 2076819"/>
              <a:gd name="connsiteX9" fmla="*/ 2730203 w 3105376"/>
              <a:gd name="connsiteY9" fmla="*/ 392799 h 2076819"/>
              <a:gd name="connsiteX10" fmla="*/ 2707343 w 3105376"/>
              <a:gd name="connsiteY10" fmla="*/ 248019 h 2076819"/>
              <a:gd name="connsiteX11" fmla="*/ 2516843 w 3105376"/>
              <a:gd name="connsiteY11" fmla="*/ 156579 h 2076819"/>
              <a:gd name="connsiteX12" fmla="*/ 291803 w 3105376"/>
              <a:gd name="connsiteY12" fmla="*/ 164199 h 2076819"/>
              <a:gd name="connsiteX13" fmla="*/ 154643 w 3105376"/>
              <a:gd name="connsiteY13" fmla="*/ 209919 h 2076819"/>
              <a:gd name="connsiteX14" fmla="*/ 63203 w 3105376"/>
              <a:gd name="connsiteY14" fmla="*/ 362319 h 2076819"/>
              <a:gd name="connsiteX15" fmla="*/ 70823 w 3105376"/>
              <a:gd name="connsiteY15" fmla="*/ 1436739 h 2076819"/>
              <a:gd name="connsiteX16" fmla="*/ 101303 w 3105376"/>
              <a:gd name="connsiteY16" fmla="*/ 1543419 h 2076819"/>
              <a:gd name="connsiteX17" fmla="*/ 147023 w 3105376"/>
              <a:gd name="connsiteY17" fmla="*/ 1619619 h 2076819"/>
              <a:gd name="connsiteX18" fmla="*/ 276563 w 3105376"/>
              <a:gd name="connsiteY18" fmla="*/ 1672959 h 2076819"/>
              <a:gd name="connsiteX19" fmla="*/ 1610063 w 3105376"/>
              <a:gd name="connsiteY19" fmla="*/ 1665339 h 2076819"/>
              <a:gd name="connsiteX20" fmla="*/ 1397648 w 3105376"/>
              <a:gd name="connsiteY20" fmla="*/ 1924107 h 2076819"/>
              <a:gd name="connsiteX21" fmla="*/ 1275748 w 3105376"/>
              <a:gd name="connsiteY21" fmla="*/ 2061579 h 2076819"/>
              <a:gd name="connsiteX22" fmla="*/ 1038563 w 3105376"/>
              <a:gd name="connsiteY22" fmla="*/ 2069199 h 2076819"/>
              <a:gd name="connsiteX23" fmla="*/ 1038563 w 3105376"/>
              <a:gd name="connsiteY23" fmla="*/ 1733919 h 2076819"/>
              <a:gd name="connsiteX24" fmla="*/ 825203 w 3105376"/>
              <a:gd name="connsiteY24" fmla="*/ 1932039 h 2076819"/>
              <a:gd name="connsiteX25" fmla="*/ 696108 w 3105376"/>
              <a:gd name="connsiteY25" fmla="*/ 1932039 h 2076819"/>
              <a:gd name="connsiteX26" fmla="*/ 703728 w 3105376"/>
              <a:gd name="connsiteY26" fmla="*/ 2076819 h 2076819"/>
              <a:gd name="connsiteX27" fmla="*/ 9863 w 3105376"/>
              <a:gd name="connsiteY27" fmla="*/ 2076819 h 2076819"/>
              <a:gd name="connsiteX28" fmla="*/ 0 w 3105376"/>
              <a:gd name="connsiteY28" fmla="*/ 7621 h 2076819"/>
              <a:gd name="connsiteX0" fmla="*/ 0 w 3105376"/>
              <a:gd name="connsiteY0" fmla="*/ 50 h 2069248"/>
              <a:gd name="connsiteX1" fmla="*/ 3105376 w 3105376"/>
              <a:gd name="connsiteY1" fmla="*/ 0 h 2069248"/>
              <a:gd name="connsiteX2" fmla="*/ 3095963 w 3105376"/>
              <a:gd name="connsiteY2" fmla="*/ 2031148 h 2069248"/>
              <a:gd name="connsiteX3" fmla="*/ 1284197 w 3105376"/>
              <a:gd name="connsiteY3" fmla="*/ 2044594 h 2069248"/>
              <a:gd name="connsiteX4" fmla="*/ 1434803 w 3105376"/>
              <a:gd name="connsiteY4" fmla="*/ 1893988 h 2069248"/>
              <a:gd name="connsiteX5" fmla="*/ 2303483 w 3105376"/>
              <a:gd name="connsiteY5" fmla="*/ 1665388 h 2069248"/>
              <a:gd name="connsiteX6" fmla="*/ 2570183 w 3105376"/>
              <a:gd name="connsiteY6" fmla="*/ 1650148 h 2069248"/>
              <a:gd name="connsiteX7" fmla="*/ 2684483 w 3105376"/>
              <a:gd name="connsiteY7" fmla="*/ 1573948 h 2069248"/>
              <a:gd name="connsiteX8" fmla="*/ 2745443 w 3105376"/>
              <a:gd name="connsiteY8" fmla="*/ 1467268 h 2069248"/>
              <a:gd name="connsiteX9" fmla="*/ 2730203 w 3105376"/>
              <a:gd name="connsiteY9" fmla="*/ 385228 h 2069248"/>
              <a:gd name="connsiteX10" fmla="*/ 2707343 w 3105376"/>
              <a:gd name="connsiteY10" fmla="*/ 240448 h 2069248"/>
              <a:gd name="connsiteX11" fmla="*/ 2516843 w 3105376"/>
              <a:gd name="connsiteY11" fmla="*/ 149008 h 2069248"/>
              <a:gd name="connsiteX12" fmla="*/ 291803 w 3105376"/>
              <a:gd name="connsiteY12" fmla="*/ 156628 h 2069248"/>
              <a:gd name="connsiteX13" fmla="*/ 154643 w 3105376"/>
              <a:gd name="connsiteY13" fmla="*/ 202348 h 2069248"/>
              <a:gd name="connsiteX14" fmla="*/ 63203 w 3105376"/>
              <a:gd name="connsiteY14" fmla="*/ 354748 h 2069248"/>
              <a:gd name="connsiteX15" fmla="*/ 70823 w 3105376"/>
              <a:gd name="connsiteY15" fmla="*/ 1429168 h 2069248"/>
              <a:gd name="connsiteX16" fmla="*/ 101303 w 3105376"/>
              <a:gd name="connsiteY16" fmla="*/ 1535848 h 2069248"/>
              <a:gd name="connsiteX17" fmla="*/ 147023 w 3105376"/>
              <a:gd name="connsiteY17" fmla="*/ 1612048 h 2069248"/>
              <a:gd name="connsiteX18" fmla="*/ 276563 w 3105376"/>
              <a:gd name="connsiteY18" fmla="*/ 1665388 h 2069248"/>
              <a:gd name="connsiteX19" fmla="*/ 1610063 w 3105376"/>
              <a:gd name="connsiteY19" fmla="*/ 1657768 h 2069248"/>
              <a:gd name="connsiteX20" fmla="*/ 1397648 w 3105376"/>
              <a:gd name="connsiteY20" fmla="*/ 1916536 h 2069248"/>
              <a:gd name="connsiteX21" fmla="*/ 1275748 w 3105376"/>
              <a:gd name="connsiteY21" fmla="*/ 2054008 h 2069248"/>
              <a:gd name="connsiteX22" fmla="*/ 1038563 w 3105376"/>
              <a:gd name="connsiteY22" fmla="*/ 2061628 h 2069248"/>
              <a:gd name="connsiteX23" fmla="*/ 1038563 w 3105376"/>
              <a:gd name="connsiteY23" fmla="*/ 1726348 h 2069248"/>
              <a:gd name="connsiteX24" fmla="*/ 825203 w 3105376"/>
              <a:gd name="connsiteY24" fmla="*/ 1924468 h 2069248"/>
              <a:gd name="connsiteX25" fmla="*/ 696108 w 3105376"/>
              <a:gd name="connsiteY25" fmla="*/ 1924468 h 2069248"/>
              <a:gd name="connsiteX26" fmla="*/ 703728 w 3105376"/>
              <a:gd name="connsiteY26" fmla="*/ 2069248 h 2069248"/>
              <a:gd name="connsiteX27" fmla="*/ 9863 w 3105376"/>
              <a:gd name="connsiteY27" fmla="*/ 2069248 h 2069248"/>
              <a:gd name="connsiteX28" fmla="*/ 0 w 3105376"/>
              <a:gd name="connsiteY28" fmla="*/ 50 h 206924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105376" h="2069248">
                <a:moveTo>
                  <a:pt x="0" y="50"/>
                </a:moveTo>
                <a:lnTo>
                  <a:pt x="3105376" y="0"/>
                </a:lnTo>
                <a:cubicBezTo>
                  <a:pt x="3102238" y="687144"/>
                  <a:pt x="3099101" y="1344004"/>
                  <a:pt x="3095963" y="2031148"/>
                </a:cubicBezTo>
                <a:lnTo>
                  <a:pt x="1284197" y="2044594"/>
                </a:lnTo>
                <a:lnTo>
                  <a:pt x="1434803" y="1893988"/>
                </a:lnTo>
                <a:lnTo>
                  <a:pt x="2303483" y="1665388"/>
                </a:lnTo>
                <a:lnTo>
                  <a:pt x="2570183" y="1650148"/>
                </a:lnTo>
                <a:lnTo>
                  <a:pt x="2684483" y="1573948"/>
                </a:lnTo>
                <a:lnTo>
                  <a:pt x="2745443" y="1467268"/>
                </a:lnTo>
                <a:lnTo>
                  <a:pt x="2730203" y="385228"/>
                </a:lnTo>
                <a:lnTo>
                  <a:pt x="2707343" y="240448"/>
                </a:lnTo>
                <a:lnTo>
                  <a:pt x="2516843" y="149008"/>
                </a:lnTo>
                <a:lnTo>
                  <a:pt x="291803" y="156628"/>
                </a:lnTo>
                <a:lnTo>
                  <a:pt x="154643" y="202348"/>
                </a:lnTo>
                <a:lnTo>
                  <a:pt x="63203" y="354748"/>
                </a:lnTo>
                <a:lnTo>
                  <a:pt x="70823" y="1429168"/>
                </a:lnTo>
                <a:lnTo>
                  <a:pt x="101303" y="1535848"/>
                </a:lnTo>
                <a:lnTo>
                  <a:pt x="147023" y="1612048"/>
                </a:lnTo>
                <a:lnTo>
                  <a:pt x="276563" y="1665388"/>
                </a:lnTo>
                <a:lnTo>
                  <a:pt x="1610063" y="1657768"/>
                </a:lnTo>
                <a:lnTo>
                  <a:pt x="1397648" y="1916536"/>
                </a:lnTo>
                <a:lnTo>
                  <a:pt x="1275748" y="2054008"/>
                </a:lnTo>
                <a:lnTo>
                  <a:pt x="1038563" y="2061628"/>
                </a:lnTo>
                <a:lnTo>
                  <a:pt x="1038563" y="1726348"/>
                </a:lnTo>
                <a:lnTo>
                  <a:pt x="825203" y="1924468"/>
                </a:lnTo>
                <a:lnTo>
                  <a:pt x="696108" y="1924468"/>
                </a:lnTo>
                <a:lnTo>
                  <a:pt x="703728" y="2069248"/>
                </a:lnTo>
                <a:lnTo>
                  <a:pt x="9863" y="2069248"/>
                </a:lnTo>
                <a:cubicBezTo>
                  <a:pt x="9117" y="1371944"/>
                  <a:pt x="746" y="697354"/>
                  <a:pt x="0" y="50"/>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xdr:col>
      <xdr:colOff>7620</xdr:colOff>
      <xdr:row>1210</xdr:row>
      <xdr:rowOff>38100</xdr:rowOff>
    </xdr:from>
    <xdr:to>
      <xdr:col>4</xdr:col>
      <xdr:colOff>350520</xdr:colOff>
      <xdr:row>1214</xdr:row>
      <xdr:rowOff>22860</xdr:rowOff>
    </xdr:to>
    <xdr:sp macro="" textlink="">
      <xdr:nvSpPr>
        <xdr:cNvPr id="2231" name="Rectangle: Beveled 2230">
          <a:hlinkClick xmlns:r="http://schemas.openxmlformats.org/officeDocument/2006/relationships" r:id="rId6" tooltip="to DEGENERALIZE section"/>
          <a:extLst>
            <a:ext uri="{FF2B5EF4-FFF2-40B4-BE49-F238E27FC236}">
              <a16:creationId xmlns:a16="http://schemas.microsoft.com/office/drawing/2014/main" id="{00000000-0008-0000-0200-0000B7080000}"/>
            </a:ext>
          </a:extLst>
        </xdr:cNvPr>
        <xdr:cNvSpPr/>
      </xdr:nvSpPr>
      <xdr:spPr>
        <a:xfrm>
          <a:off x="6408420" y="73525380"/>
          <a:ext cx="1851660" cy="716280"/>
        </a:xfrm>
        <a:prstGeom prst="bevel">
          <a:avLst>
            <a:gd name="adj" fmla="val 10253"/>
          </a:avLst>
        </a:prstGeom>
        <a:solidFill>
          <a:srgbClr val="5AFFA0"/>
        </a:solidFill>
        <a:scene3d>
          <a:camera prst="orthographicFront"/>
          <a:lightRig rig="threePt" dir="t"/>
        </a:scene3d>
        <a:sp3d>
          <a:bevelT w="165100" prst="coolSlant"/>
        </a:sp3d>
      </xdr:spPr>
      <xdr:style>
        <a:lnRef idx="1">
          <a:schemeClr val="accent6"/>
        </a:lnRef>
        <a:fillRef idx="2">
          <a:schemeClr val="accent6"/>
        </a:fillRef>
        <a:effectRef idx="1">
          <a:schemeClr val="accent6"/>
        </a:effectRef>
        <a:fontRef idx="minor">
          <a:schemeClr val="dk1"/>
        </a:fontRef>
      </xdr:style>
      <xdr:txBody>
        <a:bodyPr vertOverflow="overflow" horzOverflow="overflow" wrap="none"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spc="-50" baseline="0">
              <a:ln w="12700">
                <a:solidFill>
                  <a:schemeClr val="accent6">
                    <a:lumMod val="50000"/>
                  </a:schemeClr>
                </a:solidFill>
              </a:ln>
              <a:solidFill>
                <a:srgbClr val="A0FF64"/>
              </a:solidFill>
              <a:effectLst>
                <a:outerShdw blurRad="50800" dist="38100" dir="5400000" algn="t" rotWithShape="0">
                  <a:prstClr val="black">
                    <a:alpha val="40000"/>
                  </a:prstClr>
                </a:outerShdw>
              </a:effectLst>
              <a:latin typeface="Arial Black" panose="020B0A04020102020204" pitchFamily="34" charset="0"/>
              <a:ea typeface="+mn-ea"/>
              <a:cs typeface="+mn-cs"/>
            </a:rPr>
            <a:t>DEGENERALIZE</a:t>
          </a:r>
        </a:p>
      </xdr:txBody>
    </xdr:sp>
    <xdr:clientData/>
  </xdr:twoCellAnchor>
  <xdr:twoCellAnchor>
    <xdr:from>
      <xdr:col>5</xdr:col>
      <xdr:colOff>22860</xdr:colOff>
      <xdr:row>1210</xdr:row>
      <xdr:rowOff>38100</xdr:rowOff>
    </xdr:from>
    <xdr:to>
      <xdr:col>8</xdr:col>
      <xdr:colOff>365760</xdr:colOff>
      <xdr:row>1214</xdr:row>
      <xdr:rowOff>22860</xdr:rowOff>
    </xdr:to>
    <xdr:sp macro="" textlink="">
      <xdr:nvSpPr>
        <xdr:cNvPr id="2232" name="Rectangle: Beveled 2231">
          <a:hlinkClick xmlns:r="http://schemas.openxmlformats.org/officeDocument/2006/relationships" r:id="rId7" tooltip="to DEALIENATE section"/>
          <a:extLst>
            <a:ext uri="{FF2B5EF4-FFF2-40B4-BE49-F238E27FC236}">
              <a16:creationId xmlns:a16="http://schemas.microsoft.com/office/drawing/2014/main" id="{00000000-0008-0000-0200-0000B8080000}"/>
            </a:ext>
          </a:extLst>
        </xdr:cNvPr>
        <xdr:cNvSpPr/>
      </xdr:nvSpPr>
      <xdr:spPr>
        <a:xfrm>
          <a:off x="8435340" y="73525380"/>
          <a:ext cx="1851660" cy="716280"/>
        </a:xfrm>
        <a:prstGeom prst="bevel">
          <a:avLst>
            <a:gd name="adj" fmla="val 10253"/>
          </a:avLst>
        </a:prstGeom>
        <a:solidFill>
          <a:srgbClr val="5AFFA0"/>
        </a:solidFill>
        <a:scene3d>
          <a:camera prst="orthographicFront"/>
          <a:lightRig rig="threePt" dir="t"/>
        </a:scene3d>
        <a:sp3d>
          <a:bevelT w="165100" prst="coolSlant"/>
        </a:sp3d>
      </xdr:spPr>
      <xdr:style>
        <a:lnRef idx="1">
          <a:schemeClr val="accent6"/>
        </a:lnRef>
        <a:fillRef idx="2">
          <a:schemeClr val="accent6"/>
        </a:fillRef>
        <a:effectRef idx="1">
          <a:schemeClr val="accent6"/>
        </a:effectRef>
        <a:fontRef idx="minor">
          <a:schemeClr val="dk1"/>
        </a:fontRef>
      </xdr:style>
      <xdr:txBody>
        <a:bodyPr vertOverflow="overflow" horzOverflow="overflow" wrap="none"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spc="-50" baseline="0">
              <a:ln w="12700">
                <a:solidFill>
                  <a:schemeClr val="accent6">
                    <a:lumMod val="50000"/>
                  </a:schemeClr>
                </a:solidFill>
              </a:ln>
              <a:solidFill>
                <a:srgbClr val="A0FF64"/>
              </a:solidFill>
              <a:effectLst>
                <a:outerShdw blurRad="50800" dist="38100" dir="5400000" algn="t" rotWithShape="0">
                  <a:prstClr val="black">
                    <a:alpha val="40000"/>
                  </a:prstClr>
                </a:outerShdw>
              </a:effectLst>
              <a:latin typeface="Arial Black" panose="020B0A04020102020204" pitchFamily="34" charset="0"/>
              <a:ea typeface="+mn-ea"/>
              <a:cs typeface="+mn-cs"/>
            </a:rPr>
            <a:t>DEALIENATE</a:t>
          </a:r>
        </a:p>
      </xdr:txBody>
    </xdr:sp>
    <xdr:clientData/>
  </xdr:twoCellAnchor>
  <xdr:twoCellAnchor>
    <xdr:from>
      <xdr:col>9</xdr:col>
      <xdr:colOff>22860</xdr:colOff>
      <xdr:row>1210</xdr:row>
      <xdr:rowOff>38100</xdr:rowOff>
    </xdr:from>
    <xdr:to>
      <xdr:col>12</xdr:col>
      <xdr:colOff>365760</xdr:colOff>
      <xdr:row>1214</xdr:row>
      <xdr:rowOff>22860</xdr:rowOff>
    </xdr:to>
    <xdr:sp macro="" textlink="">
      <xdr:nvSpPr>
        <xdr:cNvPr id="2233" name="Rectangle: Beveled 2232">
          <a:hlinkClick xmlns:r="http://schemas.openxmlformats.org/officeDocument/2006/relationships" r:id="rId8" tooltip="to DEPOLARIZE section"/>
          <a:extLst>
            <a:ext uri="{FF2B5EF4-FFF2-40B4-BE49-F238E27FC236}">
              <a16:creationId xmlns:a16="http://schemas.microsoft.com/office/drawing/2014/main" id="{00000000-0008-0000-0200-0000B9080000}"/>
            </a:ext>
          </a:extLst>
        </xdr:cNvPr>
        <xdr:cNvSpPr/>
      </xdr:nvSpPr>
      <xdr:spPr>
        <a:xfrm>
          <a:off x="10447020" y="73525380"/>
          <a:ext cx="1851660" cy="716280"/>
        </a:xfrm>
        <a:prstGeom prst="bevel">
          <a:avLst>
            <a:gd name="adj" fmla="val 10253"/>
          </a:avLst>
        </a:prstGeom>
        <a:solidFill>
          <a:srgbClr val="5AFFA0"/>
        </a:solidFill>
        <a:scene3d>
          <a:camera prst="orthographicFront"/>
          <a:lightRig rig="threePt" dir="t"/>
        </a:scene3d>
        <a:sp3d>
          <a:bevelT w="165100" prst="coolSlant"/>
        </a:sp3d>
      </xdr:spPr>
      <xdr:style>
        <a:lnRef idx="1">
          <a:schemeClr val="accent6"/>
        </a:lnRef>
        <a:fillRef idx="2">
          <a:schemeClr val="accent6"/>
        </a:fillRef>
        <a:effectRef idx="1">
          <a:schemeClr val="accent6"/>
        </a:effectRef>
        <a:fontRef idx="minor">
          <a:schemeClr val="dk1"/>
        </a:fontRef>
      </xdr:style>
      <xdr:txBody>
        <a:bodyPr vertOverflow="overflow" horzOverflow="overflow" wrap="none"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spc="-50" baseline="0">
              <a:ln w="12700">
                <a:solidFill>
                  <a:schemeClr val="accent6">
                    <a:lumMod val="50000"/>
                  </a:schemeClr>
                </a:solidFill>
              </a:ln>
              <a:solidFill>
                <a:srgbClr val="A0FF64"/>
              </a:solidFill>
              <a:effectLst>
                <a:outerShdw blurRad="50800" dist="38100" dir="5400000" algn="t" rotWithShape="0">
                  <a:prstClr val="black">
                    <a:alpha val="40000"/>
                  </a:prstClr>
                </a:outerShdw>
              </a:effectLst>
              <a:latin typeface="Arial Black" panose="020B0A04020102020204" pitchFamily="34" charset="0"/>
              <a:ea typeface="+mn-ea"/>
              <a:cs typeface="+mn-cs"/>
            </a:rPr>
            <a:t>DEPOLARIZE</a:t>
          </a:r>
        </a:p>
      </xdr:txBody>
    </xdr:sp>
    <xdr:clientData/>
  </xdr:twoCellAnchor>
  <xdr:twoCellAnchor>
    <xdr:from>
      <xdr:col>0</xdr:col>
      <xdr:colOff>107399</xdr:colOff>
      <xdr:row>1489</xdr:row>
      <xdr:rowOff>39882</xdr:rowOff>
    </xdr:from>
    <xdr:to>
      <xdr:col>2</xdr:col>
      <xdr:colOff>338680</xdr:colOff>
      <xdr:row>1493</xdr:row>
      <xdr:rowOff>89807</xdr:rowOff>
    </xdr:to>
    <xdr:grpSp>
      <xdr:nvGrpSpPr>
        <xdr:cNvPr id="2234" name="Group 2233">
          <a:extLst>
            <a:ext uri="{FF2B5EF4-FFF2-40B4-BE49-F238E27FC236}">
              <a16:creationId xmlns:a16="http://schemas.microsoft.com/office/drawing/2014/main" id="{00000000-0008-0000-0200-0000BA080000}"/>
            </a:ext>
          </a:extLst>
        </xdr:cNvPr>
        <xdr:cNvGrpSpPr/>
      </xdr:nvGrpSpPr>
      <xdr:grpSpPr>
        <a:xfrm>
          <a:off x="107399" y="292396422"/>
          <a:ext cx="848501" cy="750965"/>
          <a:chOff x="6361572" y="87885629"/>
          <a:chExt cx="851384" cy="836087"/>
        </a:xfrm>
        <a:gradFill>
          <a:gsLst>
            <a:gs pos="0">
              <a:srgbClr val="FF0000"/>
            </a:gs>
            <a:gs pos="50000">
              <a:srgbClr val="FF9999"/>
            </a:gs>
            <a:gs pos="100000">
              <a:srgbClr val="FFCCCC"/>
            </a:gs>
          </a:gsLst>
          <a:path path="circle">
            <a:fillToRect l="50000" t="50000" r="50000" b="50000"/>
          </a:path>
        </a:gradFill>
      </xdr:grpSpPr>
      <xdr:sp macro="" textlink="">
        <xdr:nvSpPr>
          <xdr:cNvPr id="2235" name="Oval 2234">
            <a:extLst>
              <a:ext uri="{FF2B5EF4-FFF2-40B4-BE49-F238E27FC236}">
                <a16:creationId xmlns:a16="http://schemas.microsoft.com/office/drawing/2014/main" id="{00000000-0008-0000-0200-0000BB080000}"/>
              </a:ext>
            </a:extLst>
          </xdr:cNvPr>
          <xdr:cNvSpPr>
            <a:spLocks noChangeAspect="1"/>
          </xdr:cNvSpPr>
        </xdr:nvSpPr>
        <xdr:spPr>
          <a:xfrm>
            <a:off x="6438900" y="88041480"/>
            <a:ext cx="458753" cy="514242"/>
          </a:xfrm>
          <a:prstGeom prst="ellipse">
            <a:avLst/>
          </a:prstGeom>
          <a:grp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236" name="Rectangle 2235">
            <a:extLst>
              <a:ext uri="{FF2B5EF4-FFF2-40B4-BE49-F238E27FC236}">
                <a16:creationId xmlns:a16="http://schemas.microsoft.com/office/drawing/2014/main" id="{00000000-0008-0000-0200-0000BC080000}"/>
              </a:ext>
            </a:extLst>
          </xdr:cNvPr>
          <xdr:cNvSpPr/>
        </xdr:nvSpPr>
        <xdr:spPr>
          <a:xfrm>
            <a:off x="6361572" y="87885629"/>
            <a:ext cx="851384" cy="836087"/>
          </a:xfrm>
          <a:prstGeom prst="rect">
            <a:avLst/>
          </a:prstGeom>
          <a:noFill/>
        </xdr:spPr>
        <xdr:txBody>
          <a:bodyPr wrap="none" lIns="91440" tIns="45720" rIns="91440" bIns="45720">
            <a:sp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0</xdr:col>
      <xdr:colOff>99476</xdr:colOff>
      <xdr:row>1492</xdr:row>
      <xdr:rowOff>123184</xdr:rowOff>
    </xdr:from>
    <xdr:to>
      <xdr:col>2</xdr:col>
      <xdr:colOff>327659</xdr:colOff>
      <xdr:row>1495</xdr:row>
      <xdr:rowOff>145481</xdr:rowOff>
    </xdr:to>
    <xdr:grpSp>
      <xdr:nvGrpSpPr>
        <xdr:cNvPr id="2237" name="Group 2236">
          <a:extLst>
            <a:ext uri="{FF2B5EF4-FFF2-40B4-BE49-F238E27FC236}">
              <a16:creationId xmlns:a16="http://schemas.microsoft.com/office/drawing/2014/main" id="{00000000-0008-0000-0200-0000BD080000}"/>
            </a:ext>
          </a:extLst>
        </xdr:cNvPr>
        <xdr:cNvGrpSpPr/>
      </xdr:nvGrpSpPr>
      <xdr:grpSpPr>
        <a:xfrm>
          <a:off x="99476" y="292990264"/>
          <a:ext cx="845403" cy="593797"/>
          <a:chOff x="6368955" y="87895955"/>
          <a:chExt cx="848276" cy="632607"/>
        </a:xfrm>
      </xdr:grpSpPr>
      <xdr:sp macro="" textlink="">
        <xdr:nvSpPr>
          <xdr:cNvPr id="2238" name="Oval 2237">
            <a:extLst>
              <a:ext uri="{FF2B5EF4-FFF2-40B4-BE49-F238E27FC236}">
                <a16:creationId xmlns:a16="http://schemas.microsoft.com/office/drawing/2014/main" id="{00000000-0008-0000-0200-0000BE080000}"/>
              </a:ext>
            </a:extLst>
          </xdr:cNvPr>
          <xdr:cNvSpPr>
            <a:spLocks noChangeAspect="1"/>
          </xdr:cNvSpPr>
        </xdr:nvSpPr>
        <xdr:spPr>
          <a:xfrm>
            <a:off x="6438900" y="88041480"/>
            <a:ext cx="458753" cy="487082"/>
          </a:xfrm>
          <a:prstGeom prst="ellipse">
            <a:avLst/>
          </a:prstGeom>
          <a:gradFill>
            <a:gsLst>
              <a:gs pos="0">
                <a:srgbClr val="FF0000"/>
              </a:gs>
              <a:gs pos="50000">
                <a:srgbClr val="FF9999"/>
              </a:gs>
              <a:gs pos="100000">
                <a:srgbClr val="FFCCCC"/>
              </a:gs>
            </a:gsLst>
            <a:path path="circle">
              <a:fillToRect l="50000" t="50000" r="50000" b="50000"/>
            </a:path>
          </a:grad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239" name="Rectangle 2238">
            <a:extLst>
              <a:ext uri="{FF2B5EF4-FFF2-40B4-BE49-F238E27FC236}">
                <a16:creationId xmlns:a16="http://schemas.microsoft.com/office/drawing/2014/main" id="{00000000-0008-0000-0200-0000BF080000}"/>
              </a:ext>
            </a:extLst>
          </xdr:cNvPr>
          <xdr:cNvSpPr/>
        </xdr:nvSpPr>
        <xdr:spPr>
          <a:xfrm>
            <a:off x="6368955" y="87895955"/>
            <a:ext cx="848276" cy="591235"/>
          </a:xfrm>
          <a:prstGeom prst="rect">
            <a:avLst/>
          </a:prstGeom>
          <a:noFill/>
        </xdr:spPr>
        <xdr:txBody>
          <a:bodyPr wrap="square" lIns="91440" tIns="45720" rIns="91440" bIns="45720">
            <a:noAutofit/>
          </a:bodyPr>
          <a:lstStyle/>
          <a:p>
            <a:pPr algn="ctr"/>
            <a:r>
              <a:rPr lang="en-US" sz="3600" b="0" cap="none" spc="0">
                <a:ln w="0"/>
                <a:solidFill>
                  <a:srgbClr val="D7B9FF"/>
                </a:solidFill>
                <a:effectLst>
                  <a:innerShdw blurRad="114300">
                    <a:prstClr val="black"/>
                  </a:innerShdw>
                </a:effectLst>
                <a:latin typeface="Arial Black" panose="020B0A04020102020204" pitchFamily="34" charset="0"/>
              </a:rPr>
              <a:t>V−</a:t>
            </a:r>
          </a:p>
        </xdr:txBody>
      </xdr:sp>
    </xdr:grpSp>
    <xdr:clientData/>
  </xdr:twoCellAnchor>
  <xdr:twoCellAnchor>
    <xdr:from>
      <xdr:col>0</xdr:col>
      <xdr:colOff>30480</xdr:colOff>
      <xdr:row>1238</xdr:row>
      <xdr:rowOff>7621</xdr:rowOff>
    </xdr:from>
    <xdr:to>
      <xdr:col>13</xdr:col>
      <xdr:colOff>91440</xdr:colOff>
      <xdr:row>1240</xdr:row>
      <xdr:rowOff>137160</xdr:rowOff>
    </xdr:to>
    <xdr:sp macro="" textlink="">
      <xdr:nvSpPr>
        <xdr:cNvPr id="2243" name="TextBox 2242">
          <a:extLst>
            <a:ext uri="{FF2B5EF4-FFF2-40B4-BE49-F238E27FC236}">
              <a16:creationId xmlns:a16="http://schemas.microsoft.com/office/drawing/2014/main" id="{00000000-0008-0000-0200-0000C3080000}"/>
            </a:ext>
          </a:extLst>
        </xdr:cNvPr>
        <xdr:cNvSpPr txBox="1"/>
      </xdr:nvSpPr>
      <xdr:spPr>
        <a:xfrm>
          <a:off x="6309360" y="78996541"/>
          <a:ext cx="6217920" cy="495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Arial Narrow" panose="020B0606020202030204" pitchFamily="34" charset="0"/>
            </a:rPr>
            <a:t>Generalizing can remain provisional, as a bridge to relevant specifics. Too often, we cling to our trusted generalizations for relief, letting them slip into obstructing over-generalizing. Let's dial them back.</a:t>
          </a:r>
        </a:p>
      </xdr:txBody>
    </xdr:sp>
    <xdr:clientData/>
  </xdr:twoCellAnchor>
  <xdr:twoCellAnchor>
    <xdr:from>
      <xdr:col>0</xdr:col>
      <xdr:colOff>60958</xdr:colOff>
      <xdr:row>1207</xdr:row>
      <xdr:rowOff>74506</xdr:rowOff>
    </xdr:from>
    <xdr:to>
      <xdr:col>12</xdr:col>
      <xdr:colOff>434338</xdr:colOff>
      <xdr:row>1210</xdr:row>
      <xdr:rowOff>5926</xdr:rowOff>
    </xdr:to>
    <xdr:sp macro="" textlink="">
      <xdr:nvSpPr>
        <xdr:cNvPr id="2244" name="TextBox 2243">
          <a:extLst>
            <a:ext uri="{FF2B5EF4-FFF2-40B4-BE49-F238E27FC236}">
              <a16:creationId xmlns:a16="http://schemas.microsoft.com/office/drawing/2014/main" id="{00000000-0008-0000-0200-0000C4080000}"/>
            </a:ext>
          </a:extLst>
        </xdr:cNvPr>
        <xdr:cNvSpPr txBox="1"/>
      </xdr:nvSpPr>
      <xdr:spPr>
        <a:xfrm>
          <a:off x="6339838" y="73013146"/>
          <a:ext cx="6027420" cy="480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aseline="0">
              <a:solidFill>
                <a:srgbClr val="007846"/>
              </a:solidFill>
              <a:latin typeface="Arial Black" panose="020B0A04020102020204" pitchFamily="34" charset="0"/>
            </a:rPr>
            <a:t>Harmony Politics</a:t>
          </a:r>
          <a:r>
            <a:rPr lang="en-US" sz="1100" baseline="0">
              <a:latin typeface="Arial Black" panose="020B0A04020102020204" pitchFamily="34" charset="0"/>
            </a:rPr>
            <a:t> </a:t>
          </a:r>
          <a:r>
            <a:rPr lang="en-US" sz="1100" baseline="0">
              <a:latin typeface="Arial Narrow" panose="020B0606020202030204" pitchFamily="34" charset="0"/>
            </a:rPr>
            <a:t>basically follows a three-step process based on this </a:t>
          </a:r>
          <a:r>
            <a:rPr lang="en-US" sz="1100" i="1" baseline="0">
              <a:latin typeface="Arial Narrow" panose="020B0606020202030204" pitchFamily="34" charset="0"/>
            </a:rPr>
            <a:t>anankelogical</a:t>
          </a:r>
          <a:r>
            <a:rPr lang="en-US" sz="1100" baseline="0">
              <a:latin typeface="Arial Narrow" panose="020B0606020202030204" pitchFamily="34" charset="0"/>
            </a:rPr>
            <a:t> definition of politics. Click on each or scroll down to learn and use these empowering steps.</a:t>
          </a:r>
        </a:p>
      </xdr:txBody>
    </xdr:sp>
    <xdr:clientData/>
  </xdr:twoCellAnchor>
  <xdr:twoCellAnchor>
    <xdr:from>
      <xdr:col>1</xdr:col>
      <xdr:colOff>7620</xdr:colOff>
      <xdr:row>1235</xdr:row>
      <xdr:rowOff>32075</xdr:rowOff>
    </xdr:from>
    <xdr:to>
      <xdr:col>13</xdr:col>
      <xdr:colOff>7620</xdr:colOff>
      <xdr:row>1236</xdr:row>
      <xdr:rowOff>107428</xdr:rowOff>
    </xdr:to>
    <xdr:sp macro="" textlink="">
      <xdr:nvSpPr>
        <xdr:cNvPr id="2252" name="TextBox 2251">
          <a:extLst>
            <a:ext uri="{FF2B5EF4-FFF2-40B4-BE49-F238E27FC236}">
              <a16:creationId xmlns:a16="http://schemas.microsoft.com/office/drawing/2014/main" id="{00000000-0008-0000-0200-0000CC080000}"/>
            </a:ext>
          </a:extLst>
        </xdr:cNvPr>
        <xdr:cNvSpPr txBox="1"/>
      </xdr:nvSpPr>
      <xdr:spPr>
        <a:xfrm>
          <a:off x="127149" y="176352899"/>
          <a:ext cx="5916706" cy="25464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000" b="1" baseline="0">
              <a:solidFill>
                <a:schemeClr val="accent4">
                  <a:lumMod val="50000"/>
                </a:schemeClr>
              </a:solidFill>
              <a:latin typeface="Arial Narrow" panose="020B0606020202030204" pitchFamily="34" charset="0"/>
              <a:ea typeface="Verdana" panose="020B0604030504040204" pitchFamily="34" charset="0"/>
            </a:rPr>
            <a:t>CHANGE ISSUE HERE OR ABOVE</a:t>
          </a:r>
          <a:endParaRPr lang="en-US" sz="900" b="1" baseline="0">
            <a:solidFill>
              <a:schemeClr val="accent4">
                <a:lumMod val="50000"/>
              </a:schemeClr>
            </a:solidFill>
            <a:latin typeface="Arial Narrow" panose="020B0606020202030204" pitchFamily="34" charset="0"/>
          </a:endParaRPr>
        </a:p>
      </xdr:txBody>
    </xdr:sp>
    <xdr:clientData/>
  </xdr:twoCellAnchor>
  <xdr:twoCellAnchor>
    <xdr:from>
      <xdr:col>0</xdr:col>
      <xdr:colOff>38845</xdr:colOff>
      <xdr:row>1386</xdr:row>
      <xdr:rowOff>106979</xdr:rowOff>
    </xdr:from>
    <xdr:to>
      <xdr:col>13</xdr:col>
      <xdr:colOff>76796</xdr:colOff>
      <xdr:row>1408</xdr:row>
      <xdr:rowOff>52442</xdr:rowOff>
    </xdr:to>
    <xdr:grpSp>
      <xdr:nvGrpSpPr>
        <xdr:cNvPr id="2660" name="Group 2659">
          <a:extLst>
            <a:ext uri="{FF2B5EF4-FFF2-40B4-BE49-F238E27FC236}">
              <a16:creationId xmlns:a16="http://schemas.microsoft.com/office/drawing/2014/main" id="{00000000-0008-0000-0200-0000640A0000}"/>
            </a:ext>
          </a:extLst>
        </xdr:cNvPr>
        <xdr:cNvGrpSpPr/>
      </xdr:nvGrpSpPr>
      <xdr:grpSpPr>
        <a:xfrm>
          <a:off x="38845" y="273451619"/>
          <a:ext cx="6187291" cy="3892623"/>
          <a:chOff x="6226105" y="104920177"/>
          <a:chExt cx="6103507" cy="3893266"/>
        </a:xfrm>
      </xdr:grpSpPr>
      <xdr:sp macro="" textlink="">
        <xdr:nvSpPr>
          <xdr:cNvPr id="2661" name="Frame 50">
            <a:extLst>
              <a:ext uri="{FF2B5EF4-FFF2-40B4-BE49-F238E27FC236}">
                <a16:creationId xmlns:a16="http://schemas.microsoft.com/office/drawing/2014/main" id="{00000000-0008-0000-0200-0000650A0000}"/>
              </a:ext>
            </a:extLst>
          </xdr:cNvPr>
          <xdr:cNvSpPr/>
        </xdr:nvSpPr>
        <xdr:spPr>
          <a:xfrm>
            <a:off x="6226105" y="104972961"/>
            <a:ext cx="264414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204788 w 2644140"/>
              <a:gd name="connsiteY15" fmla="*/ 212408 h 1592580"/>
              <a:gd name="connsiteX16" fmla="*/ 137227 w 2644140"/>
              <a:gd name="connsiteY16" fmla="*/ 1403006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114708 w 2644140"/>
              <a:gd name="connsiteY15" fmla="*/ 204815 h 1592580"/>
              <a:gd name="connsiteX16" fmla="*/ 137227 w 2644140"/>
              <a:gd name="connsiteY16" fmla="*/ 1403006 h 1592580"/>
              <a:gd name="connsiteX17" fmla="*/ 2446973 w 2644140"/>
              <a:gd name="connsiteY17" fmla="*/ 1395413 h 1592580"/>
              <a:gd name="connsiteX18" fmla="*/ 2446973 w 2644140"/>
              <a:gd name="connsiteY18" fmla="*/ 212408 h 1592580"/>
              <a:gd name="connsiteX19" fmla="*/ 114708 w 2644140"/>
              <a:gd name="connsiteY19" fmla="*/ 204815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114708 w 2644140"/>
              <a:gd name="connsiteY15" fmla="*/ 204815 h 1592580"/>
              <a:gd name="connsiteX16" fmla="*/ 114707 w 2644140"/>
              <a:gd name="connsiteY16" fmla="*/ 1403006 h 1592580"/>
              <a:gd name="connsiteX17" fmla="*/ 2446973 w 2644140"/>
              <a:gd name="connsiteY17" fmla="*/ 1395413 h 1592580"/>
              <a:gd name="connsiteX18" fmla="*/ 2446973 w 2644140"/>
              <a:gd name="connsiteY18" fmla="*/ 212408 h 1592580"/>
              <a:gd name="connsiteX19" fmla="*/ 114708 w 2644140"/>
              <a:gd name="connsiteY19" fmla="*/ 204815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Lst>
            <a:rect l="l" t="t" r="r" b="b"/>
            <a:pathLst>
              <a:path w="2644140" h="1592580">
                <a:moveTo>
                  <a:pt x="60960" y="53340"/>
                </a:moveTo>
                <a:lnTo>
                  <a:pt x="101474" y="30281"/>
                </a:lnTo>
                <a:lnTo>
                  <a:pt x="190500" y="0"/>
                </a:lnTo>
                <a:lnTo>
                  <a:pt x="2430780" y="15240"/>
                </a:lnTo>
                <a:lnTo>
                  <a:pt x="2575560" y="83820"/>
                </a:lnTo>
                <a:lnTo>
                  <a:pt x="2636520" y="228600"/>
                </a:lnTo>
                <a:lnTo>
                  <a:pt x="2644140" y="1394460"/>
                </a:lnTo>
                <a:lnTo>
                  <a:pt x="2583180" y="1531620"/>
                </a:lnTo>
                <a:lnTo>
                  <a:pt x="2438400" y="1584960"/>
                </a:lnTo>
                <a:lnTo>
                  <a:pt x="205740" y="1592580"/>
                </a:lnTo>
                <a:lnTo>
                  <a:pt x="60960" y="1554480"/>
                </a:lnTo>
                <a:lnTo>
                  <a:pt x="0" y="1371600"/>
                </a:lnTo>
                <a:lnTo>
                  <a:pt x="0" y="236220"/>
                </a:lnTo>
                <a:lnTo>
                  <a:pt x="10109" y="126536"/>
                </a:lnTo>
                <a:lnTo>
                  <a:pt x="60960" y="53340"/>
                </a:lnTo>
                <a:close/>
                <a:moveTo>
                  <a:pt x="114708" y="204815"/>
                </a:moveTo>
                <a:cubicBezTo>
                  <a:pt x="114708" y="604212"/>
                  <a:pt x="114707" y="1003609"/>
                  <a:pt x="114707" y="1403006"/>
                </a:cubicBezTo>
                <a:lnTo>
                  <a:pt x="2446973" y="1395413"/>
                </a:lnTo>
                <a:lnTo>
                  <a:pt x="2446973" y="212408"/>
                </a:lnTo>
                <a:lnTo>
                  <a:pt x="114708" y="204815"/>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62" name="Frame 50">
            <a:extLst>
              <a:ext uri="{FF2B5EF4-FFF2-40B4-BE49-F238E27FC236}">
                <a16:creationId xmlns:a16="http://schemas.microsoft.com/office/drawing/2014/main" id="{00000000-0008-0000-0200-0000660A0000}"/>
              </a:ext>
            </a:extLst>
          </xdr:cNvPr>
          <xdr:cNvSpPr/>
        </xdr:nvSpPr>
        <xdr:spPr>
          <a:xfrm>
            <a:off x="6226105" y="107220863"/>
            <a:ext cx="264414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114708 w 2644140"/>
              <a:gd name="connsiteY19" fmla="*/ 144066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107201 w 2644140"/>
              <a:gd name="connsiteY16" fmla="*/ 1365037 h 1592580"/>
              <a:gd name="connsiteX17" fmla="*/ 2446973 w 2644140"/>
              <a:gd name="connsiteY17" fmla="*/ 1395413 h 1592580"/>
              <a:gd name="connsiteX18" fmla="*/ 2446973 w 2644140"/>
              <a:gd name="connsiteY18" fmla="*/ 212408 h 1592580"/>
              <a:gd name="connsiteX19" fmla="*/ 114708 w 2644140"/>
              <a:gd name="connsiteY19" fmla="*/ 144066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107201 w 2644140"/>
              <a:gd name="connsiteY16" fmla="*/ 1365037 h 1592580"/>
              <a:gd name="connsiteX17" fmla="*/ 2499519 w 2644140"/>
              <a:gd name="connsiteY17" fmla="*/ 1365037 h 1592580"/>
              <a:gd name="connsiteX18" fmla="*/ 2446973 w 2644140"/>
              <a:gd name="connsiteY18" fmla="*/ 212408 h 1592580"/>
              <a:gd name="connsiteX19" fmla="*/ 114708 w 2644140"/>
              <a:gd name="connsiteY19" fmla="*/ 144066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107201 w 2644140"/>
              <a:gd name="connsiteY16" fmla="*/ 1365037 h 1592580"/>
              <a:gd name="connsiteX17" fmla="*/ 2484506 w 2644140"/>
              <a:gd name="connsiteY17" fmla="*/ 1365037 h 1592580"/>
              <a:gd name="connsiteX18" fmla="*/ 2446973 w 2644140"/>
              <a:gd name="connsiteY18" fmla="*/ 212408 h 1592580"/>
              <a:gd name="connsiteX19" fmla="*/ 114708 w 2644140"/>
              <a:gd name="connsiteY19" fmla="*/ 144066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Lst>
            <a:rect l="l" t="t" r="r" b="b"/>
            <a:pathLst>
              <a:path w="2644140" h="1592580">
                <a:moveTo>
                  <a:pt x="60960" y="53340"/>
                </a:moveTo>
                <a:lnTo>
                  <a:pt x="101474" y="20254"/>
                </a:lnTo>
                <a:lnTo>
                  <a:pt x="190500" y="0"/>
                </a:lnTo>
                <a:lnTo>
                  <a:pt x="2430780" y="15240"/>
                </a:lnTo>
                <a:lnTo>
                  <a:pt x="2575560" y="83820"/>
                </a:lnTo>
                <a:lnTo>
                  <a:pt x="2636520" y="228600"/>
                </a:lnTo>
                <a:lnTo>
                  <a:pt x="2644140" y="1394460"/>
                </a:lnTo>
                <a:lnTo>
                  <a:pt x="2583180" y="1531620"/>
                </a:lnTo>
                <a:lnTo>
                  <a:pt x="2438400" y="1584960"/>
                </a:lnTo>
                <a:lnTo>
                  <a:pt x="205740" y="1592580"/>
                </a:lnTo>
                <a:lnTo>
                  <a:pt x="60960" y="1554480"/>
                </a:lnTo>
                <a:lnTo>
                  <a:pt x="0" y="1371600"/>
                </a:lnTo>
                <a:lnTo>
                  <a:pt x="0" y="236220"/>
                </a:lnTo>
                <a:lnTo>
                  <a:pt x="15164" y="121523"/>
                </a:lnTo>
                <a:lnTo>
                  <a:pt x="60960" y="53340"/>
                </a:lnTo>
                <a:close/>
                <a:moveTo>
                  <a:pt x="114708" y="144066"/>
                </a:moveTo>
                <a:cubicBezTo>
                  <a:pt x="112206" y="551056"/>
                  <a:pt x="109703" y="958047"/>
                  <a:pt x="107201" y="1365037"/>
                </a:cubicBezTo>
                <a:lnTo>
                  <a:pt x="2484506" y="1365037"/>
                </a:lnTo>
                <a:lnTo>
                  <a:pt x="2446973" y="212408"/>
                </a:lnTo>
                <a:lnTo>
                  <a:pt x="114708" y="144066"/>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63" name="Frame 50">
            <a:extLst>
              <a:ext uri="{FF2B5EF4-FFF2-40B4-BE49-F238E27FC236}">
                <a16:creationId xmlns:a16="http://schemas.microsoft.com/office/drawing/2014/main" id="{00000000-0008-0000-0200-0000670A0000}"/>
              </a:ext>
            </a:extLst>
          </xdr:cNvPr>
          <xdr:cNvSpPr/>
        </xdr:nvSpPr>
        <xdr:spPr>
          <a:xfrm>
            <a:off x="9639638" y="107175101"/>
            <a:ext cx="268224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1080 w 2644140"/>
              <a:gd name="connsiteY1" fmla="*/ 25268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1080 w 2644140"/>
              <a:gd name="connsiteY1" fmla="*/ 25268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4 w 2644140"/>
              <a:gd name="connsiteY17" fmla="*/ 1405640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1080 w 2644140"/>
              <a:gd name="connsiteY1" fmla="*/ 25268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18192 w 2644140"/>
              <a:gd name="connsiteY17" fmla="*/ 1385585 h 1592580"/>
              <a:gd name="connsiteX18" fmla="*/ 2530793 w 2644140"/>
              <a:gd name="connsiteY18" fmla="*/ 204788 h 1592580"/>
              <a:gd name="connsiteX19" fmla="*/ 204788 w 2644140"/>
              <a:gd name="connsiteY19" fmla="*/ 212408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Lst>
            <a:rect l="l" t="t" r="r" b="b"/>
            <a:pathLst>
              <a:path w="2644140" h="1592580">
                <a:moveTo>
                  <a:pt x="60960" y="53340"/>
                </a:moveTo>
                <a:lnTo>
                  <a:pt x="111080" y="25268"/>
                </a:lnTo>
                <a:lnTo>
                  <a:pt x="190500" y="0"/>
                </a:lnTo>
                <a:lnTo>
                  <a:pt x="2430780" y="15240"/>
                </a:lnTo>
                <a:lnTo>
                  <a:pt x="2575560" y="83820"/>
                </a:lnTo>
                <a:lnTo>
                  <a:pt x="2636520" y="228600"/>
                </a:lnTo>
                <a:lnTo>
                  <a:pt x="2644140" y="1394460"/>
                </a:lnTo>
                <a:lnTo>
                  <a:pt x="2583180" y="1531620"/>
                </a:lnTo>
                <a:lnTo>
                  <a:pt x="2438400" y="1584960"/>
                </a:lnTo>
                <a:lnTo>
                  <a:pt x="205740" y="1592580"/>
                </a:lnTo>
                <a:lnTo>
                  <a:pt x="60960" y="1554480"/>
                </a:lnTo>
                <a:lnTo>
                  <a:pt x="0" y="1371600"/>
                </a:lnTo>
                <a:lnTo>
                  <a:pt x="0" y="236220"/>
                </a:lnTo>
                <a:lnTo>
                  <a:pt x="0" y="141577"/>
                </a:lnTo>
                <a:lnTo>
                  <a:pt x="60960" y="53340"/>
                </a:lnTo>
                <a:close/>
                <a:moveTo>
                  <a:pt x="204788" y="212408"/>
                </a:moveTo>
                <a:lnTo>
                  <a:pt x="204788" y="1395413"/>
                </a:lnTo>
                <a:lnTo>
                  <a:pt x="2518192" y="1385585"/>
                </a:lnTo>
                <a:cubicBezTo>
                  <a:pt x="2520732" y="985301"/>
                  <a:pt x="2528253" y="605072"/>
                  <a:pt x="2530793" y="204788"/>
                </a:cubicBezTo>
                <a:lnTo>
                  <a:pt x="204788" y="212408"/>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64" name="Frame 50">
            <a:extLst>
              <a:ext uri="{FF2B5EF4-FFF2-40B4-BE49-F238E27FC236}">
                <a16:creationId xmlns:a16="http://schemas.microsoft.com/office/drawing/2014/main" id="{00000000-0008-0000-0200-0000680A0000}"/>
              </a:ext>
            </a:extLst>
          </xdr:cNvPr>
          <xdr:cNvSpPr/>
        </xdr:nvSpPr>
        <xdr:spPr>
          <a:xfrm>
            <a:off x="9632132" y="104920177"/>
            <a:ext cx="269748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8429 w 2651609"/>
              <a:gd name="connsiteY0" fmla="*/ 53340 h 1592580"/>
              <a:gd name="connsiteX1" fmla="*/ 83669 w 2651609"/>
              <a:gd name="connsiteY1" fmla="*/ 15240 h 1592580"/>
              <a:gd name="connsiteX2" fmla="*/ 197969 w 2651609"/>
              <a:gd name="connsiteY2" fmla="*/ 0 h 1592580"/>
              <a:gd name="connsiteX3" fmla="*/ 2438249 w 2651609"/>
              <a:gd name="connsiteY3" fmla="*/ 15240 h 1592580"/>
              <a:gd name="connsiteX4" fmla="*/ 2583029 w 2651609"/>
              <a:gd name="connsiteY4" fmla="*/ 83820 h 1592580"/>
              <a:gd name="connsiteX5" fmla="*/ 2643989 w 2651609"/>
              <a:gd name="connsiteY5" fmla="*/ 228600 h 1592580"/>
              <a:gd name="connsiteX6" fmla="*/ 2651609 w 2651609"/>
              <a:gd name="connsiteY6" fmla="*/ 1394460 h 1592580"/>
              <a:gd name="connsiteX7" fmla="*/ 2590649 w 2651609"/>
              <a:gd name="connsiteY7" fmla="*/ 1531620 h 1592580"/>
              <a:gd name="connsiteX8" fmla="*/ 2445869 w 2651609"/>
              <a:gd name="connsiteY8" fmla="*/ 1584960 h 1592580"/>
              <a:gd name="connsiteX9" fmla="*/ 213209 w 2651609"/>
              <a:gd name="connsiteY9" fmla="*/ 1592580 h 1592580"/>
              <a:gd name="connsiteX10" fmla="*/ 68429 w 2651609"/>
              <a:gd name="connsiteY10" fmla="*/ 1554480 h 1592580"/>
              <a:gd name="connsiteX11" fmla="*/ 7469 w 2651609"/>
              <a:gd name="connsiteY11" fmla="*/ 1371600 h 1592580"/>
              <a:gd name="connsiteX12" fmla="*/ 7469 w 2651609"/>
              <a:gd name="connsiteY12" fmla="*/ 236220 h 1592580"/>
              <a:gd name="connsiteX13" fmla="*/ 0 w 2651609"/>
              <a:gd name="connsiteY13" fmla="*/ 114300 h 1592580"/>
              <a:gd name="connsiteX14" fmla="*/ 68429 w 2651609"/>
              <a:gd name="connsiteY14" fmla="*/ 53340 h 1592580"/>
              <a:gd name="connsiteX15" fmla="*/ 212257 w 2651609"/>
              <a:gd name="connsiteY15" fmla="*/ 212408 h 1592580"/>
              <a:gd name="connsiteX16" fmla="*/ 212257 w 2651609"/>
              <a:gd name="connsiteY16" fmla="*/ 1395413 h 1592580"/>
              <a:gd name="connsiteX17" fmla="*/ 2530642 w 2651609"/>
              <a:gd name="connsiteY17" fmla="*/ 1410653 h 1592580"/>
              <a:gd name="connsiteX18" fmla="*/ 2538262 w 2651609"/>
              <a:gd name="connsiteY18" fmla="*/ 204788 h 1592580"/>
              <a:gd name="connsiteX19" fmla="*/ 212257 w 2651609"/>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7395 w 2644140"/>
              <a:gd name="connsiteY13" fmla="*/ 14939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5838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7395 w 2644140"/>
              <a:gd name="connsiteY13" fmla="*/ 14939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5838 w 2644140"/>
              <a:gd name="connsiteY1" fmla="*/ 20254 h 1592580"/>
              <a:gd name="connsiteX2" fmla="*/ 190500 w 2644140"/>
              <a:gd name="connsiteY2" fmla="*/ 0 h 1592580"/>
              <a:gd name="connsiteX3" fmla="*/ 2430780 w 2644140"/>
              <a:gd name="connsiteY3" fmla="*/ 15240 h 1592580"/>
              <a:gd name="connsiteX4" fmla="*/ 2510361 w 2644140"/>
              <a:gd name="connsiteY4" fmla="*/ 47332 h 1592580"/>
              <a:gd name="connsiteX5" fmla="*/ 2575560 w 2644140"/>
              <a:gd name="connsiteY5" fmla="*/ 83820 h 1592580"/>
              <a:gd name="connsiteX6" fmla="*/ 2636520 w 2644140"/>
              <a:gd name="connsiteY6" fmla="*/ 228600 h 1592580"/>
              <a:gd name="connsiteX7" fmla="*/ 2644140 w 2644140"/>
              <a:gd name="connsiteY7" fmla="*/ 1394460 h 1592580"/>
              <a:gd name="connsiteX8" fmla="*/ 2583180 w 2644140"/>
              <a:gd name="connsiteY8" fmla="*/ 1531620 h 1592580"/>
              <a:gd name="connsiteX9" fmla="*/ 2438400 w 2644140"/>
              <a:gd name="connsiteY9" fmla="*/ 1584960 h 1592580"/>
              <a:gd name="connsiteX10" fmla="*/ 205740 w 2644140"/>
              <a:gd name="connsiteY10" fmla="*/ 1592580 h 1592580"/>
              <a:gd name="connsiteX11" fmla="*/ 60960 w 2644140"/>
              <a:gd name="connsiteY11" fmla="*/ 1554480 h 1592580"/>
              <a:gd name="connsiteX12" fmla="*/ 0 w 2644140"/>
              <a:gd name="connsiteY12" fmla="*/ 1371600 h 1592580"/>
              <a:gd name="connsiteX13" fmla="*/ 0 w 2644140"/>
              <a:gd name="connsiteY13" fmla="*/ 236220 h 1592580"/>
              <a:gd name="connsiteX14" fmla="*/ 7395 w 2644140"/>
              <a:gd name="connsiteY14" fmla="*/ 149396 h 1592580"/>
              <a:gd name="connsiteX15" fmla="*/ 60960 w 2644140"/>
              <a:gd name="connsiteY15" fmla="*/ 53340 h 1592580"/>
              <a:gd name="connsiteX16" fmla="*/ 204788 w 2644140"/>
              <a:gd name="connsiteY16" fmla="*/ 212408 h 1592580"/>
              <a:gd name="connsiteX17" fmla="*/ 204788 w 2644140"/>
              <a:gd name="connsiteY17" fmla="*/ 1395413 h 1592580"/>
              <a:gd name="connsiteX18" fmla="*/ 2523173 w 2644140"/>
              <a:gd name="connsiteY18" fmla="*/ 1410653 h 1592580"/>
              <a:gd name="connsiteX19" fmla="*/ 2530793 w 2644140"/>
              <a:gd name="connsiteY19" fmla="*/ 204788 h 1592580"/>
              <a:gd name="connsiteX20" fmla="*/ 204788 w 2644140"/>
              <a:gd name="connsiteY20" fmla="*/ 212408 h 1592580"/>
              <a:gd name="connsiteX0" fmla="*/ 60960 w 2644140"/>
              <a:gd name="connsiteY0" fmla="*/ 53340 h 1592580"/>
              <a:gd name="connsiteX1" fmla="*/ 115838 w 2644140"/>
              <a:gd name="connsiteY1" fmla="*/ 20254 h 1592580"/>
              <a:gd name="connsiteX2" fmla="*/ 190500 w 2644140"/>
              <a:gd name="connsiteY2" fmla="*/ 0 h 1592580"/>
              <a:gd name="connsiteX3" fmla="*/ 2430780 w 2644140"/>
              <a:gd name="connsiteY3" fmla="*/ 15240 h 1592580"/>
              <a:gd name="connsiteX4" fmla="*/ 2510361 w 2644140"/>
              <a:gd name="connsiteY4" fmla="*/ 47332 h 1592580"/>
              <a:gd name="connsiteX5" fmla="*/ 2575560 w 2644140"/>
              <a:gd name="connsiteY5" fmla="*/ 83820 h 1592580"/>
              <a:gd name="connsiteX6" fmla="*/ 2604502 w 2644140"/>
              <a:gd name="connsiteY6" fmla="*/ 147606 h 1592580"/>
              <a:gd name="connsiteX7" fmla="*/ 2636520 w 2644140"/>
              <a:gd name="connsiteY7" fmla="*/ 228600 h 1592580"/>
              <a:gd name="connsiteX8" fmla="*/ 2644140 w 2644140"/>
              <a:gd name="connsiteY8" fmla="*/ 1394460 h 1592580"/>
              <a:gd name="connsiteX9" fmla="*/ 2583180 w 2644140"/>
              <a:gd name="connsiteY9" fmla="*/ 1531620 h 1592580"/>
              <a:gd name="connsiteX10" fmla="*/ 2438400 w 2644140"/>
              <a:gd name="connsiteY10" fmla="*/ 1584960 h 1592580"/>
              <a:gd name="connsiteX11" fmla="*/ 205740 w 2644140"/>
              <a:gd name="connsiteY11" fmla="*/ 1592580 h 1592580"/>
              <a:gd name="connsiteX12" fmla="*/ 60960 w 2644140"/>
              <a:gd name="connsiteY12" fmla="*/ 1554480 h 1592580"/>
              <a:gd name="connsiteX13" fmla="*/ 0 w 2644140"/>
              <a:gd name="connsiteY13" fmla="*/ 1371600 h 1592580"/>
              <a:gd name="connsiteX14" fmla="*/ 0 w 2644140"/>
              <a:gd name="connsiteY14" fmla="*/ 236220 h 1592580"/>
              <a:gd name="connsiteX15" fmla="*/ 7395 w 2644140"/>
              <a:gd name="connsiteY15" fmla="*/ 149396 h 1592580"/>
              <a:gd name="connsiteX16" fmla="*/ 60960 w 2644140"/>
              <a:gd name="connsiteY16" fmla="*/ 53340 h 1592580"/>
              <a:gd name="connsiteX17" fmla="*/ 204788 w 2644140"/>
              <a:gd name="connsiteY17" fmla="*/ 212408 h 1592580"/>
              <a:gd name="connsiteX18" fmla="*/ 204788 w 2644140"/>
              <a:gd name="connsiteY18" fmla="*/ 1395413 h 1592580"/>
              <a:gd name="connsiteX19" fmla="*/ 2523173 w 2644140"/>
              <a:gd name="connsiteY19" fmla="*/ 1410653 h 1592580"/>
              <a:gd name="connsiteX20" fmla="*/ 2530793 w 2644140"/>
              <a:gd name="connsiteY20" fmla="*/ 204788 h 1592580"/>
              <a:gd name="connsiteX21" fmla="*/ 204788 w 2644140"/>
              <a:gd name="connsiteY21" fmla="*/ 212408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Lst>
            <a:rect l="l" t="t" r="r" b="b"/>
            <a:pathLst>
              <a:path w="2644140" h="1592580">
                <a:moveTo>
                  <a:pt x="60960" y="53340"/>
                </a:moveTo>
                <a:lnTo>
                  <a:pt x="115838" y="20254"/>
                </a:lnTo>
                <a:lnTo>
                  <a:pt x="190500" y="0"/>
                </a:lnTo>
                <a:lnTo>
                  <a:pt x="2430780" y="15240"/>
                </a:lnTo>
                <a:lnTo>
                  <a:pt x="2510361" y="47332"/>
                </a:lnTo>
                <a:lnTo>
                  <a:pt x="2575560" y="83820"/>
                </a:lnTo>
                <a:lnTo>
                  <a:pt x="2604502" y="147606"/>
                </a:lnTo>
                <a:lnTo>
                  <a:pt x="2636520" y="228600"/>
                </a:lnTo>
                <a:lnTo>
                  <a:pt x="2644140" y="1394460"/>
                </a:lnTo>
                <a:lnTo>
                  <a:pt x="2583180" y="1531620"/>
                </a:lnTo>
                <a:lnTo>
                  <a:pt x="2438400" y="1584960"/>
                </a:lnTo>
                <a:lnTo>
                  <a:pt x="205740" y="1592580"/>
                </a:lnTo>
                <a:lnTo>
                  <a:pt x="60960" y="1554480"/>
                </a:lnTo>
                <a:lnTo>
                  <a:pt x="0" y="1371600"/>
                </a:lnTo>
                <a:lnTo>
                  <a:pt x="0" y="236220"/>
                </a:lnTo>
                <a:lnTo>
                  <a:pt x="7395" y="149396"/>
                </a:lnTo>
                <a:lnTo>
                  <a:pt x="60960" y="53340"/>
                </a:lnTo>
                <a:close/>
                <a:moveTo>
                  <a:pt x="204788" y="212408"/>
                </a:moveTo>
                <a:lnTo>
                  <a:pt x="204788" y="1395413"/>
                </a:lnTo>
                <a:lnTo>
                  <a:pt x="2523173" y="1410653"/>
                </a:lnTo>
                <a:lnTo>
                  <a:pt x="2530793" y="204788"/>
                </a:lnTo>
                <a:lnTo>
                  <a:pt x="204788" y="212408"/>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100">
                <a:solidFill>
                  <a:schemeClr val="tx1"/>
                </a:solidFill>
              </a:rPr>
              <a:t> </a:t>
            </a:r>
          </a:p>
        </xdr:txBody>
      </xdr:sp>
      <xdr:sp macro="" textlink="">
        <xdr:nvSpPr>
          <xdr:cNvPr id="2665" name="Freeform: Shape 2664">
            <a:extLst>
              <a:ext uri="{FF2B5EF4-FFF2-40B4-BE49-F238E27FC236}">
                <a16:creationId xmlns:a16="http://schemas.microsoft.com/office/drawing/2014/main" id="{00000000-0008-0000-0200-0000690A0000}"/>
              </a:ext>
            </a:extLst>
          </xdr:cNvPr>
          <xdr:cNvSpPr/>
        </xdr:nvSpPr>
        <xdr:spPr>
          <a:xfrm>
            <a:off x="7871460" y="10651236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666" name="Freeform: Shape 2665">
            <a:extLst>
              <a:ext uri="{FF2B5EF4-FFF2-40B4-BE49-F238E27FC236}">
                <a16:creationId xmlns:a16="http://schemas.microsoft.com/office/drawing/2014/main" id="{00000000-0008-0000-0200-00006A0A0000}"/>
              </a:ext>
            </a:extLst>
          </xdr:cNvPr>
          <xdr:cNvSpPr/>
        </xdr:nvSpPr>
        <xdr:spPr>
          <a:xfrm flipH="1">
            <a:off x="9806940" y="10650474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667" name="Freeform: Shape 2666">
            <a:extLst>
              <a:ext uri="{FF2B5EF4-FFF2-40B4-BE49-F238E27FC236}">
                <a16:creationId xmlns:a16="http://schemas.microsoft.com/office/drawing/2014/main" id="{00000000-0008-0000-0200-00006B0A0000}"/>
              </a:ext>
            </a:extLst>
          </xdr:cNvPr>
          <xdr:cNvSpPr/>
        </xdr:nvSpPr>
        <xdr:spPr>
          <a:xfrm flipV="1">
            <a:off x="7871460" y="10689336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668" name="Freeform: Shape 2667">
            <a:extLst>
              <a:ext uri="{FF2B5EF4-FFF2-40B4-BE49-F238E27FC236}">
                <a16:creationId xmlns:a16="http://schemas.microsoft.com/office/drawing/2014/main" id="{00000000-0008-0000-0200-00006C0A0000}"/>
              </a:ext>
            </a:extLst>
          </xdr:cNvPr>
          <xdr:cNvSpPr/>
        </xdr:nvSpPr>
        <xdr:spPr>
          <a:xfrm flipH="1" flipV="1">
            <a:off x="9806940" y="10688574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0</xdr:col>
      <xdr:colOff>38100</xdr:colOff>
      <xdr:row>1331</xdr:row>
      <xdr:rowOff>0</xdr:rowOff>
    </xdr:from>
    <xdr:to>
      <xdr:col>13</xdr:col>
      <xdr:colOff>99060</xdr:colOff>
      <xdr:row>1333</xdr:row>
      <xdr:rowOff>129539</xdr:rowOff>
    </xdr:to>
    <xdr:sp macro="" textlink="">
      <xdr:nvSpPr>
        <xdr:cNvPr id="2673" name="TextBox 2672">
          <a:extLst>
            <a:ext uri="{FF2B5EF4-FFF2-40B4-BE49-F238E27FC236}">
              <a16:creationId xmlns:a16="http://schemas.microsoft.com/office/drawing/2014/main" id="{00000000-0008-0000-0200-0000710A0000}"/>
            </a:ext>
          </a:extLst>
        </xdr:cNvPr>
        <xdr:cNvSpPr txBox="1"/>
      </xdr:nvSpPr>
      <xdr:spPr>
        <a:xfrm>
          <a:off x="6316980" y="96697800"/>
          <a:ext cx="6217920" cy="495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Arial Narrow" panose="020B0606020202030204" pitchFamily="34" charset="0"/>
            </a:rPr>
            <a:t>Alienation is normal for larger "secondary" societies like ours. We typically we remain estranged, so rely on impersonal laws to guide a minimal standard for treating each other. Let's engage each other more.</a:t>
          </a:r>
        </a:p>
      </xdr:txBody>
    </xdr:sp>
    <xdr:clientData/>
  </xdr:twoCellAnchor>
  <xdr:twoCellAnchor>
    <xdr:from>
      <xdr:col>0</xdr:col>
      <xdr:colOff>30480</xdr:colOff>
      <xdr:row>1425</xdr:row>
      <xdr:rowOff>0</xdr:rowOff>
    </xdr:from>
    <xdr:to>
      <xdr:col>13</xdr:col>
      <xdr:colOff>91440</xdr:colOff>
      <xdr:row>1427</xdr:row>
      <xdr:rowOff>129539</xdr:rowOff>
    </xdr:to>
    <xdr:sp macro="" textlink="">
      <xdr:nvSpPr>
        <xdr:cNvPr id="2674" name="TextBox 2673">
          <a:extLst>
            <a:ext uri="{FF2B5EF4-FFF2-40B4-BE49-F238E27FC236}">
              <a16:creationId xmlns:a16="http://schemas.microsoft.com/office/drawing/2014/main" id="{00000000-0008-0000-0200-0000720A0000}"/>
            </a:ext>
          </a:extLst>
        </xdr:cNvPr>
        <xdr:cNvSpPr txBox="1"/>
      </xdr:nvSpPr>
      <xdr:spPr>
        <a:xfrm>
          <a:off x="6309360" y="114406680"/>
          <a:ext cx="6217920" cy="495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spc="-10" baseline="0">
              <a:latin typeface="Arial Narrow" panose="020B0606020202030204" pitchFamily="34" charset="0"/>
            </a:rPr>
            <a:t>Polarization crops up between extreme positions. Conflict loves extremes. Exaggerations kill conversations. Let's look for and appreciate the value in each other.</a:t>
          </a:r>
        </a:p>
      </xdr:txBody>
    </xdr:sp>
    <xdr:clientData/>
  </xdr:twoCellAnchor>
  <xdr:twoCellAnchor>
    <xdr:from>
      <xdr:col>1</xdr:col>
      <xdr:colOff>7620</xdr:colOff>
      <xdr:row>1302</xdr:row>
      <xdr:rowOff>99907</xdr:rowOff>
    </xdr:from>
    <xdr:to>
      <xdr:col>13</xdr:col>
      <xdr:colOff>7620</xdr:colOff>
      <xdr:row>1304</xdr:row>
      <xdr:rowOff>7620</xdr:rowOff>
    </xdr:to>
    <xdr:sp macro="" textlink="">
      <xdr:nvSpPr>
        <xdr:cNvPr id="2675" name="TextBox 2674">
          <a:extLst>
            <a:ext uri="{FF2B5EF4-FFF2-40B4-BE49-F238E27FC236}">
              <a16:creationId xmlns:a16="http://schemas.microsoft.com/office/drawing/2014/main" id="{00000000-0008-0000-0200-0000730A0000}"/>
            </a:ext>
          </a:extLst>
        </xdr:cNvPr>
        <xdr:cNvSpPr txBox="1"/>
      </xdr:nvSpPr>
      <xdr:spPr>
        <a:xfrm>
          <a:off x="6408420" y="91296067"/>
          <a:ext cx="6035040" cy="2734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000" b="1" baseline="0">
              <a:solidFill>
                <a:schemeClr val="accent4">
                  <a:lumMod val="50000"/>
                </a:schemeClr>
              </a:solidFill>
              <a:latin typeface="Arial Narrow" panose="020B0606020202030204" pitchFamily="34" charset="0"/>
              <a:ea typeface="Verdana" panose="020B0604030504040204" pitchFamily="34" charset="0"/>
            </a:rPr>
            <a:t>CHANGE ISSUE ABOVE TO CHANGE IT HERE</a:t>
          </a:r>
          <a:endParaRPr lang="en-US" sz="900" b="1" baseline="0">
            <a:solidFill>
              <a:schemeClr val="accent4">
                <a:lumMod val="50000"/>
              </a:schemeClr>
            </a:solidFill>
            <a:latin typeface="Arial Narrow" panose="020B0606020202030204" pitchFamily="34" charset="0"/>
          </a:endParaRPr>
        </a:p>
      </xdr:txBody>
    </xdr:sp>
    <xdr:clientData/>
  </xdr:twoCellAnchor>
  <xdr:twoCellAnchor>
    <xdr:from>
      <xdr:col>1</xdr:col>
      <xdr:colOff>38100</xdr:colOff>
      <xdr:row>1124</xdr:row>
      <xdr:rowOff>106680</xdr:rowOff>
    </xdr:from>
    <xdr:to>
      <xdr:col>12</xdr:col>
      <xdr:colOff>457200</xdr:colOff>
      <xdr:row>1124</xdr:row>
      <xdr:rowOff>349504</xdr:rowOff>
    </xdr:to>
    <xdr:grpSp>
      <xdr:nvGrpSpPr>
        <xdr:cNvPr id="2683" name="Group 2682">
          <a:extLst>
            <a:ext uri="{FF2B5EF4-FFF2-40B4-BE49-F238E27FC236}">
              <a16:creationId xmlns:a16="http://schemas.microsoft.com/office/drawing/2014/main" id="{00000000-0008-0000-0200-00007B0A0000}"/>
            </a:ext>
          </a:extLst>
        </xdr:cNvPr>
        <xdr:cNvGrpSpPr/>
      </xdr:nvGrpSpPr>
      <xdr:grpSpPr>
        <a:xfrm>
          <a:off x="152400" y="223867980"/>
          <a:ext cx="5951220" cy="242824"/>
          <a:chOff x="6347220" y="28404120"/>
          <a:chExt cx="5867400" cy="242824"/>
        </a:xfrm>
      </xdr:grpSpPr>
      <xdr:grpSp>
        <xdr:nvGrpSpPr>
          <xdr:cNvPr id="2684" name="wide-yet-shallow scale">
            <a:extLst>
              <a:ext uri="{FF2B5EF4-FFF2-40B4-BE49-F238E27FC236}">
                <a16:creationId xmlns:a16="http://schemas.microsoft.com/office/drawing/2014/main" id="{00000000-0008-0000-0200-00007C0A0000}"/>
              </a:ext>
            </a:extLst>
          </xdr:cNvPr>
          <xdr:cNvGrpSpPr>
            <a:grpSpLocks noChangeAspect="1"/>
          </xdr:cNvGrpSpPr>
        </xdr:nvGrpSpPr>
        <xdr:grpSpPr>
          <a:xfrm>
            <a:off x="6347220" y="28404120"/>
            <a:ext cx="914400" cy="242824"/>
            <a:chOff x="6434667" y="11251493"/>
            <a:chExt cx="2726265" cy="722264"/>
          </a:xfrm>
          <a:effectLst>
            <a:outerShdw blurRad="63500" sx="102000" sy="102000" algn="ctr" rotWithShape="0">
              <a:prstClr val="black">
                <a:alpha val="40000"/>
              </a:prstClr>
            </a:outerShdw>
          </a:effectLst>
        </xdr:grpSpPr>
        <xdr:sp macro="" textlink="">
          <xdr:nvSpPr>
            <xdr:cNvPr id="2710" name="Right Brace 2709">
              <a:extLst>
                <a:ext uri="{FF2B5EF4-FFF2-40B4-BE49-F238E27FC236}">
                  <a16:creationId xmlns:a16="http://schemas.microsoft.com/office/drawing/2014/main" id="{00000000-0008-0000-0200-0000960A0000}"/>
                </a:ext>
              </a:extLst>
            </xdr:cNvPr>
            <xdr:cNvSpPr/>
          </xdr:nvSpPr>
          <xdr:spPr>
            <a:xfrm rot="63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711" name="Right Bracket 2710">
              <a:extLst>
                <a:ext uri="{FF2B5EF4-FFF2-40B4-BE49-F238E27FC236}">
                  <a16:creationId xmlns:a16="http://schemas.microsoft.com/office/drawing/2014/main" id="{00000000-0008-0000-0200-0000970A0000}"/>
                </a:ext>
              </a:extLst>
            </xdr:cNvPr>
            <xdr:cNvSpPr/>
          </xdr:nvSpPr>
          <xdr:spPr>
            <a:xfrm rot="5400000">
              <a:off x="6850803" y="10835357"/>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12" name="Right Bracket 2711">
              <a:extLst>
                <a:ext uri="{FF2B5EF4-FFF2-40B4-BE49-F238E27FC236}">
                  <a16:creationId xmlns:a16="http://schemas.microsoft.com/office/drawing/2014/main" id="{00000000-0008-0000-0200-0000980A0000}"/>
                </a:ext>
              </a:extLst>
            </xdr:cNvPr>
            <xdr:cNvSpPr/>
          </xdr:nvSpPr>
          <xdr:spPr>
            <a:xfrm rot="5400000">
              <a:off x="8662669" y="1129331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13" name="Flowchart: Delay 2712">
              <a:extLst>
                <a:ext uri="{FF2B5EF4-FFF2-40B4-BE49-F238E27FC236}">
                  <a16:creationId xmlns:a16="http://schemas.microsoft.com/office/drawing/2014/main" id="{00000000-0008-0000-0200-000099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5" name="wide-then-deep scale">
            <a:extLst>
              <a:ext uri="{FF2B5EF4-FFF2-40B4-BE49-F238E27FC236}">
                <a16:creationId xmlns:a16="http://schemas.microsoft.com/office/drawing/2014/main" id="{00000000-0008-0000-0200-00007D0A0000}"/>
              </a:ext>
            </a:extLst>
          </xdr:cNvPr>
          <xdr:cNvGrpSpPr>
            <a:grpSpLocks noChangeAspect="1"/>
          </xdr:cNvGrpSpPr>
        </xdr:nvGrpSpPr>
        <xdr:grpSpPr>
          <a:xfrm>
            <a:off x="7337820" y="28442199"/>
            <a:ext cx="914400" cy="204724"/>
            <a:chOff x="6434667" y="11364816"/>
            <a:chExt cx="2726265" cy="608941"/>
          </a:xfrm>
          <a:effectLst>
            <a:outerShdw blurRad="63500" sx="102000" sy="102000" algn="ctr" rotWithShape="0">
              <a:prstClr val="black">
                <a:alpha val="40000"/>
              </a:prstClr>
            </a:outerShdw>
          </a:effectLst>
        </xdr:grpSpPr>
        <xdr:sp macro="" textlink="">
          <xdr:nvSpPr>
            <xdr:cNvPr id="2706" name="Right Brace 2705">
              <a:extLst>
                <a:ext uri="{FF2B5EF4-FFF2-40B4-BE49-F238E27FC236}">
                  <a16:creationId xmlns:a16="http://schemas.microsoft.com/office/drawing/2014/main" id="{00000000-0008-0000-0200-0000920A0000}"/>
                </a:ext>
              </a:extLst>
            </xdr:cNvPr>
            <xdr:cNvSpPr/>
          </xdr:nvSpPr>
          <xdr:spPr>
            <a:xfrm rot="60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707" name="Right Bracket 2706">
              <a:extLst>
                <a:ext uri="{FF2B5EF4-FFF2-40B4-BE49-F238E27FC236}">
                  <a16:creationId xmlns:a16="http://schemas.microsoft.com/office/drawing/2014/main" id="{00000000-0008-0000-0200-0000930A0000}"/>
                </a:ext>
              </a:extLst>
            </xdr:cNvPr>
            <xdr:cNvSpPr/>
          </xdr:nvSpPr>
          <xdr:spPr>
            <a:xfrm rot="5400000">
              <a:off x="6850803" y="10948680"/>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8" name="Right Bracket 2707">
              <a:extLst>
                <a:ext uri="{FF2B5EF4-FFF2-40B4-BE49-F238E27FC236}">
                  <a16:creationId xmlns:a16="http://schemas.microsoft.com/office/drawing/2014/main" id="{00000000-0008-0000-0200-0000940A0000}"/>
                </a:ext>
              </a:extLst>
            </xdr:cNvPr>
            <xdr:cNvSpPr/>
          </xdr:nvSpPr>
          <xdr:spPr>
            <a:xfrm rot="5400000">
              <a:off x="8662668" y="11202661"/>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9" name="Flowchart: Delay 2708">
              <a:extLst>
                <a:ext uri="{FF2B5EF4-FFF2-40B4-BE49-F238E27FC236}">
                  <a16:creationId xmlns:a16="http://schemas.microsoft.com/office/drawing/2014/main" id="{00000000-0008-0000-0200-000095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6" name="wide-and-deep scale">
            <a:extLst>
              <a:ext uri="{FF2B5EF4-FFF2-40B4-BE49-F238E27FC236}">
                <a16:creationId xmlns:a16="http://schemas.microsoft.com/office/drawing/2014/main" id="{00000000-0008-0000-0200-00007E0A0000}"/>
              </a:ext>
            </a:extLst>
          </xdr:cNvPr>
          <xdr:cNvGrpSpPr>
            <a:grpSpLocks noChangeAspect="1"/>
          </xdr:cNvGrpSpPr>
        </xdr:nvGrpSpPr>
        <xdr:grpSpPr>
          <a:xfrm>
            <a:off x="8326242" y="28453636"/>
            <a:ext cx="914400" cy="193294"/>
            <a:chOff x="6434667" y="11398815"/>
            <a:chExt cx="2726265" cy="574942"/>
          </a:xfrm>
          <a:effectLst>
            <a:outerShdw blurRad="63500" sx="102000" sy="102000" algn="ctr" rotWithShape="0">
              <a:prstClr val="black">
                <a:alpha val="40000"/>
              </a:prstClr>
            </a:outerShdw>
          </a:effectLst>
        </xdr:grpSpPr>
        <xdr:sp macro="" textlink="">
          <xdr:nvSpPr>
            <xdr:cNvPr id="2702" name="Right Brace 2701">
              <a:extLst>
                <a:ext uri="{FF2B5EF4-FFF2-40B4-BE49-F238E27FC236}">
                  <a16:creationId xmlns:a16="http://schemas.microsoft.com/office/drawing/2014/main" id="{00000000-0008-0000-0200-00008E0A0000}"/>
                </a:ext>
              </a:extLst>
            </xdr:cNvPr>
            <xdr:cNvSpPr/>
          </xdr:nvSpPr>
          <xdr:spPr>
            <a:xfrm rot="57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703" name="Right Bracket 2702">
              <a:extLst>
                <a:ext uri="{FF2B5EF4-FFF2-40B4-BE49-F238E27FC236}">
                  <a16:creationId xmlns:a16="http://schemas.microsoft.com/office/drawing/2014/main" id="{00000000-0008-0000-0200-00008F0A0000}"/>
                </a:ext>
              </a:extLst>
            </xdr:cNvPr>
            <xdr:cNvSpPr/>
          </xdr:nvSpPr>
          <xdr:spPr>
            <a:xfrm rot="5400000">
              <a:off x="6850803" y="1098267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4" name="Right Bracket 2703">
              <a:extLst>
                <a:ext uri="{FF2B5EF4-FFF2-40B4-BE49-F238E27FC236}">
                  <a16:creationId xmlns:a16="http://schemas.microsoft.com/office/drawing/2014/main" id="{00000000-0008-0000-0200-0000900A0000}"/>
                </a:ext>
              </a:extLst>
            </xdr:cNvPr>
            <xdr:cNvSpPr/>
          </xdr:nvSpPr>
          <xdr:spPr>
            <a:xfrm rot="5400000">
              <a:off x="8662669" y="1115732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5" name="Flowchart: Delay 2704">
              <a:extLst>
                <a:ext uri="{FF2B5EF4-FFF2-40B4-BE49-F238E27FC236}">
                  <a16:creationId xmlns:a16="http://schemas.microsoft.com/office/drawing/2014/main" id="{00000000-0008-0000-0200-000091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7" name="deep-and-wide scale">
            <a:extLst>
              <a:ext uri="{FF2B5EF4-FFF2-40B4-BE49-F238E27FC236}">
                <a16:creationId xmlns:a16="http://schemas.microsoft.com/office/drawing/2014/main" id="{00000000-0008-0000-0200-00007F0A0000}"/>
              </a:ext>
            </a:extLst>
          </xdr:cNvPr>
          <xdr:cNvGrpSpPr>
            <a:grpSpLocks noChangeAspect="1"/>
          </xdr:cNvGrpSpPr>
        </xdr:nvGrpSpPr>
        <xdr:grpSpPr>
          <a:xfrm flipH="1">
            <a:off x="9320652" y="28453636"/>
            <a:ext cx="914400" cy="193294"/>
            <a:chOff x="6434667" y="11398815"/>
            <a:chExt cx="2726265" cy="574942"/>
          </a:xfrm>
          <a:effectLst>
            <a:outerShdw blurRad="63500" sx="102000" sy="102000" algn="ctr" rotWithShape="0">
              <a:prstClr val="black">
                <a:alpha val="40000"/>
              </a:prstClr>
            </a:outerShdw>
          </a:effectLst>
        </xdr:grpSpPr>
        <xdr:sp macro="" textlink="">
          <xdr:nvSpPr>
            <xdr:cNvPr id="2698" name="Right Brace 2697">
              <a:extLst>
                <a:ext uri="{FF2B5EF4-FFF2-40B4-BE49-F238E27FC236}">
                  <a16:creationId xmlns:a16="http://schemas.microsoft.com/office/drawing/2014/main" id="{00000000-0008-0000-0200-00008A0A0000}"/>
                </a:ext>
              </a:extLst>
            </xdr:cNvPr>
            <xdr:cNvSpPr/>
          </xdr:nvSpPr>
          <xdr:spPr>
            <a:xfrm rot="57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699" name="Right Bracket 2698">
              <a:extLst>
                <a:ext uri="{FF2B5EF4-FFF2-40B4-BE49-F238E27FC236}">
                  <a16:creationId xmlns:a16="http://schemas.microsoft.com/office/drawing/2014/main" id="{00000000-0008-0000-0200-00008B0A0000}"/>
                </a:ext>
              </a:extLst>
            </xdr:cNvPr>
            <xdr:cNvSpPr/>
          </xdr:nvSpPr>
          <xdr:spPr>
            <a:xfrm rot="5400000">
              <a:off x="6850803" y="1098267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0" name="Right Bracket 2699">
              <a:extLst>
                <a:ext uri="{FF2B5EF4-FFF2-40B4-BE49-F238E27FC236}">
                  <a16:creationId xmlns:a16="http://schemas.microsoft.com/office/drawing/2014/main" id="{00000000-0008-0000-0200-00008C0A0000}"/>
                </a:ext>
              </a:extLst>
            </xdr:cNvPr>
            <xdr:cNvSpPr/>
          </xdr:nvSpPr>
          <xdr:spPr>
            <a:xfrm rot="5400000">
              <a:off x="8662669" y="1115732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1" name="Flowchart: Delay 2700">
              <a:extLst>
                <a:ext uri="{FF2B5EF4-FFF2-40B4-BE49-F238E27FC236}">
                  <a16:creationId xmlns:a16="http://schemas.microsoft.com/office/drawing/2014/main" id="{00000000-0008-0000-0200-00008D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8" name="deep-then-wide scale">
            <a:extLst>
              <a:ext uri="{FF2B5EF4-FFF2-40B4-BE49-F238E27FC236}">
                <a16:creationId xmlns:a16="http://schemas.microsoft.com/office/drawing/2014/main" id="{00000000-0008-0000-0200-0000800A0000}"/>
              </a:ext>
            </a:extLst>
          </xdr:cNvPr>
          <xdr:cNvGrpSpPr>
            <a:grpSpLocks noChangeAspect="1"/>
          </xdr:cNvGrpSpPr>
        </xdr:nvGrpSpPr>
        <xdr:grpSpPr>
          <a:xfrm flipH="1">
            <a:off x="10309620" y="28442199"/>
            <a:ext cx="914400" cy="204724"/>
            <a:chOff x="6434667" y="11364816"/>
            <a:chExt cx="2726265" cy="608941"/>
          </a:xfrm>
          <a:effectLst>
            <a:outerShdw blurRad="63500" sx="102000" sy="102000" algn="ctr" rotWithShape="0">
              <a:prstClr val="black">
                <a:alpha val="40000"/>
              </a:prstClr>
            </a:outerShdw>
          </a:effectLst>
        </xdr:grpSpPr>
        <xdr:sp macro="" textlink="">
          <xdr:nvSpPr>
            <xdr:cNvPr id="2694" name="Right Brace 2693">
              <a:extLst>
                <a:ext uri="{FF2B5EF4-FFF2-40B4-BE49-F238E27FC236}">
                  <a16:creationId xmlns:a16="http://schemas.microsoft.com/office/drawing/2014/main" id="{00000000-0008-0000-0200-0000860A0000}"/>
                </a:ext>
              </a:extLst>
            </xdr:cNvPr>
            <xdr:cNvSpPr/>
          </xdr:nvSpPr>
          <xdr:spPr>
            <a:xfrm rot="60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695" name="Right Bracket 2694">
              <a:extLst>
                <a:ext uri="{FF2B5EF4-FFF2-40B4-BE49-F238E27FC236}">
                  <a16:creationId xmlns:a16="http://schemas.microsoft.com/office/drawing/2014/main" id="{00000000-0008-0000-0200-0000870A0000}"/>
                </a:ext>
              </a:extLst>
            </xdr:cNvPr>
            <xdr:cNvSpPr/>
          </xdr:nvSpPr>
          <xdr:spPr>
            <a:xfrm rot="5400000">
              <a:off x="6850803" y="10948680"/>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6" name="Right Bracket 2695">
              <a:extLst>
                <a:ext uri="{FF2B5EF4-FFF2-40B4-BE49-F238E27FC236}">
                  <a16:creationId xmlns:a16="http://schemas.microsoft.com/office/drawing/2014/main" id="{00000000-0008-0000-0200-0000880A0000}"/>
                </a:ext>
              </a:extLst>
            </xdr:cNvPr>
            <xdr:cNvSpPr/>
          </xdr:nvSpPr>
          <xdr:spPr>
            <a:xfrm rot="5400000">
              <a:off x="8662668" y="11202661"/>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7" name="Flowchart: Delay 2696">
              <a:extLst>
                <a:ext uri="{FF2B5EF4-FFF2-40B4-BE49-F238E27FC236}">
                  <a16:creationId xmlns:a16="http://schemas.microsoft.com/office/drawing/2014/main" id="{00000000-0008-0000-0200-000089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9" name="deep-yet-narrow scale">
            <a:extLst>
              <a:ext uri="{FF2B5EF4-FFF2-40B4-BE49-F238E27FC236}">
                <a16:creationId xmlns:a16="http://schemas.microsoft.com/office/drawing/2014/main" id="{00000000-0008-0000-0200-0000810A0000}"/>
              </a:ext>
            </a:extLst>
          </xdr:cNvPr>
          <xdr:cNvGrpSpPr>
            <a:grpSpLocks noChangeAspect="1"/>
          </xdr:cNvGrpSpPr>
        </xdr:nvGrpSpPr>
        <xdr:grpSpPr>
          <a:xfrm flipH="1">
            <a:off x="11300220" y="28404120"/>
            <a:ext cx="914400" cy="242824"/>
            <a:chOff x="6434667" y="11251493"/>
            <a:chExt cx="2726265" cy="722264"/>
          </a:xfrm>
          <a:effectLst>
            <a:outerShdw blurRad="63500" sx="102000" sy="102000" algn="ctr" rotWithShape="0">
              <a:prstClr val="black">
                <a:alpha val="40000"/>
              </a:prstClr>
            </a:outerShdw>
          </a:effectLst>
        </xdr:grpSpPr>
        <xdr:sp macro="" textlink="">
          <xdr:nvSpPr>
            <xdr:cNvPr id="2690" name="Right Brace 2689">
              <a:extLst>
                <a:ext uri="{FF2B5EF4-FFF2-40B4-BE49-F238E27FC236}">
                  <a16:creationId xmlns:a16="http://schemas.microsoft.com/office/drawing/2014/main" id="{00000000-0008-0000-0200-0000820A0000}"/>
                </a:ext>
              </a:extLst>
            </xdr:cNvPr>
            <xdr:cNvSpPr/>
          </xdr:nvSpPr>
          <xdr:spPr>
            <a:xfrm rot="63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691" name="Right Bracket 2690">
              <a:extLst>
                <a:ext uri="{FF2B5EF4-FFF2-40B4-BE49-F238E27FC236}">
                  <a16:creationId xmlns:a16="http://schemas.microsoft.com/office/drawing/2014/main" id="{00000000-0008-0000-0200-0000830A0000}"/>
                </a:ext>
              </a:extLst>
            </xdr:cNvPr>
            <xdr:cNvSpPr/>
          </xdr:nvSpPr>
          <xdr:spPr>
            <a:xfrm rot="5400000">
              <a:off x="6850803" y="10835357"/>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2" name="Right Bracket 2691">
              <a:extLst>
                <a:ext uri="{FF2B5EF4-FFF2-40B4-BE49-F238E27FC236}">
                  <a16:creationId xmlns:a16="http://schemas.microsoft.com/office/drawing/2014/main" id="{00000000-0008-0000-0200-0000840A0000}"/>
                </a:ext>
              </a:extLst>
            </xdr:cNvPr>
            <xdr:cNvSpPr/>
          </xdr:nvSpPr>
          <xdr:spPr>
            <a:xfrm rot="5400000">
              <a:off x="8662669" y="1129331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3" name="Flowchart: Delay 2692">
              <a:extLst>
                <a:ext uri="{FF2B5EF4-FFF2-40B4-BE49-F238E27FC236}">
                  <a16:creationId xmlns:a16="http://schemas.microsoft.com/office/drawing/2014/main" id="{00000000-0008-0000-0200-000085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clientData/>
  </xdr:twoCellAnchor>
  <xdr:twoCellAnchor>
    <xdr:from>
      <xdr:col>7</xdr:col>
      <xdr:colOff>482235</xdr:colOff>
      <xdr:row>462</xdr:row>
      <xdr:rowOff>16371</xdr:rowOff>
    </xdr:from>
    <xdr:to>
      <xdr:col>12</xdr:col>
      <xdr:colOff>474615</xdr:colOff>
      <xdr:row>465</xdr:row>
      <xdr:rowOff>107811</xdr:rowOff>
    </xdr:to>
    <xdr:sp macro="" textlink="">
      <xdr:nvSpPr>
        <xdr:cNvPr id="2716" name="Government serves best when it serves least.">
          <a:extLst>
            <a:ext uri="{FF2B5EF4-FFF2-40B4-BE49-F238E27FC236}">
              <a16:creationId xmlns:a16="http://schemas.microsoft.com/office/drawing/2014/main" id="{00000000-0008-0000-0200-00009C0A0000}"/>
            </a:ext>
          </a:extLst>
        </xdr:cNvPr>
        <xdr:cNvSpPr txBox="1">
          <a:spLocks/>
        </xdr:cNvSpPr>
      </xdr:nvSpPr>
      <xdr:spPr>
        <a:xfrm>
          <a:off x="3575955" y="93871911"/>
          <a:ext cx="2468880" cy="6172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buNone/>
          </a:pPr>
          <a:r>
            <a:rPr lang="en-US" sz="2000" b="1" spc="-100" baseline="0">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rPr>
            <a:t>TITLE</a:t>
          </a:r>
          <a:endParaRPr lang="en-US" sz="2000" b="1">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endParaRPr>
        </a:p>
      </xdr:txBody>
    </xdr:sp>
    <xdr:clientData/>
  </xdr:twoCellAnchor>
  <xdr:twoCellAnchor>
    <xdr:from>
      <xdr:col>0</xdr:col>
      <xdr:colOff>106680</xdr:colOff>
      <xdr:row>462</xdr:row>
      <xdr:rowOff>15240</xdr:rowOff>
    </xdr:from>
    <xdr:to>
      <xdr:col>5</xdr:col>
      <xdr:colOff>219301</xdr:colOff>
      <xdr:row>465</xdr:row>
      <xdr:rowOff>130670</xdr:rowOff>
    </xdr:to>
    <xdr:sp macro="" textlink="">
      <xdr:nvSpPr>
        <xdr:cNvPr id="2717" name="Government exists as a force for good.">
          <a:extLst>
            <a:ext uri="{FF2B5EF4-FFF2-40B4-BE49-F238E27FC236}">
              <a16:creationId xmlns:a16="http://schemas.microsoft.com/office/drawing/2014/main" id="{00000000-0008-0000-0200-00009D0A0000}"/>
            </a:ext>
          </a:extLst>
        </xdr:cNvPr>
        <xdr:cNvSpPr txBox="1">
          <a:spLocks/>
        </xdr:cNvSpPr>
      </xdr:nvSpPr>
      <xdr:spPr>
        <a:xfrm>
          <a:off x="106680" y="93870780"/>
          <a:ext cx="2215741" cy="64121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2000" b="1">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rPr>
            <a:t>TITLE</a:t>
          </a:r>
        </a:p>
      </xdr:txBody>
    </xdr:sp>
    <xdr:clientData/>
  </xdr:twoCellAnchor>
  <xdr:twoCellAnchor>
    <xdr:from>
      <xdr:col>0</xdr:col>
      <xdr:colOff>0</xdr:colOff>
      <xdr:row>335</xdr:row>
      <xdr:rowOff>76200</xdr:rowOff>
    </xdr:from>
    <xdr:to>
      <xdr:col>5</xdr:col>
      <xdr:colOff>182880</xdr:colOff>
      <xdr:row>342</xdr:row>
      <xdr:rowOff>129540</xdr:rowOff>
    </xdr:to>
    <xdr:sp macro="" textlink="">
      <xdr:nvSpPr>
        <xdr:cNvPr id="2720" name="You believe whatever serves your needs.">
          <a:extLst>
            <a:ext uri="{FF2B5EF4-FFF2-40B4-BE49-F238E27FC236}">
              <a16:creationId xmlns:a16="http://schemas.microsoft.com/office/drawing/2014/main" id="{00000000-0008-0000-0200-0000A00A0000}"/>
            </a:ext>
          </a:extLst>
        </xdr:cNvPr>
        <xdr:cNvSpPr txBox="1">
          <a:spLocks/>
        </xdr:cNvSpPr>
      </xdr:nvSpPr>
      <xdr:spPr>
        <a:xfrm>
          <a:off x="0" y="62484000"/>
          <a:ext cx="2286000" cy="12801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400"/>
            </a:lnSpc>
            <a:buNone/>
          </a:pP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Left pulling needs</a:t>
          </a:r>
          <a:endParaRPr lang="en-US" sz="14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Be authentic without </a:t>
          </a:r>
          <a:r>
            <a:rPr lang="en-US" sz="1200" i="1"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exclusion</a:t>
          </a: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Is</a:t>
          </a:r>
          <a:r>
            <a:rPr lang="en-US" sz="120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it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effective</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for the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many</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t>
          </a: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Is </a:t>
          </a:r>
          <a:r>
            <a:rPr lang="en-US" sz="1200" i="1"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everyone </a:t>
          </a: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equally included?</a:t>
          </a:r>
        </a:p>
        <a:p>
          <a:pPr marL="0" indent="0" algn="ctr">
            <a:lnSpc>
              <a:spcPts val="1200"/>
            </a:lnSpc>
            <a:buNone/>
          </a:pP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Prioritize most </a:t>
          </a:r>
          <a:r>
            <a:rPr lang="en-US" sz="1200" i="1"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vulnerable</a:t>
          </a: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t>
          </a:r>
        </a:p>
        <a:p>
          <a:pPr marL="0" indent="0" algn="ctr">
            <a:lnSpc>
              <a:spcPts val="1200"/>
            </a:lnSpc>
            <a:buNone/>
          </a:pP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Rely</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on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public </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goods</a:t>
          </a:r>
        </a:p>
        <a:p>
          <a:pPr marL="0" indent="0" algn="ctr">
            <a:lnSpc>
              <a:spcPts val="1200"/>
            </a:lnSpc>
            <a:buNone/>
          </a:pP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Improve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collective </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capacity</a:t>
          </a: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289560</xdr:colOff>
      <xdr:row>335</xdr:row>
      <xdr:rowOff>38100</xdr:rowOff>
    </xdr:from>
    <xdr:to>
      <xdr:col>13</xdr:col>
      <xdr:colOff>99060</xdr:colOff>
      <xdr:row>342</xdr:row>
      <xdr:rowOff>91440</xdr:rowOff>
    </xdr:to>
    <xdr:sp macro="" textlink="">
      <xdr:nvSpPr>
        <xdr:cNvPr id="2721" name="You believe whatever serves your needs.">
          <a:extLst>
            <a:ext uri="{FF2B5EF4-FFF2-40B4-BE49-F238E27FC236}">
              <a16:creationId xmlns:a16="http://schemas.microsoft.com/office/drawing/2014/main" id="{00000000-0008-0000-0200-0000A10A0000}"/>
            </a:ext>
          </a:extLst>
        </xdr:cNvPr>
        <xdr:cNvSpPr txBox="1">
          <a:spLocks/>
        </xdr:cNvSpPr>
      </xdr:nvSpPr>
      <xdr:spPr>
        <a:xfrm>
          <a:off x="3878580" y="62445900"/>
          <a:ext cx="2286000" cy="12801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400"/>
            </a:lnSpc>
            <a:buNone/>
          </a:pPr>
          <a:r>
            <a:rPr lang="en-US" sz="1400" b="1"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Right pulling needs</a:t>
          </a:r>
          <a:endParaRPr lang="en-US" sz="14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Guard traditional </a:t>
          </a:r>
          <a:r>
            <a:rPr lang="en-US" sz="1200" i="1"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cohesion</a:t>
          </a: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Is</a:t>
          </a:r>
          <a:r>
            <a:rPr lang="en-US" sz="120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it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effectient</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for the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few</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t>
          </a: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Is </a:t>
          </a:r>
          <a:r>
            <a:rPr lang="en-US" sz="1200" i="1"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individuals </a:t>
          </a: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live freely?</a:t>
          </a:r>
        </a:p>
        <a:p>
          <a:pPr marL="0" indent="0" algn="ctr">
            <a:lnSpc>
              <a:spcPts val="1200"/>
            </a:lnSpc>
            <a:buNone/>
          </a:pP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Prioritize most </a:t>
          </a:r>
          <a:r>
            <a:rPr lang="en-US" sz="1200" i="1"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vulnerable</a:t>
          </a: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t>
          </a:r>
        </a:p>
        <a:p>
          <a:pPr marL="0" indent="0" algn="ctr">
            <a:lnSpc>
              <a:spcPts val="1200"/>
            </a:lnSpc>
            <a:buNone/>
          </a:pP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Rely</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on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private </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goods</a:t>
          </a:r>
        </a:p>
        <a:p>
          <a:pPr marL="0" indent="0" algn="ctr">
            <a:lnSpc>
              <a:spcPts val="1200"/>
            </a:lnSpc>
            <a:buNone/>
          </a:pP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Improve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individual </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capacity</a:t>
          </a: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30480</xdr:colOff>
      <xdr:row>345</xdr:row>
      <xdr:rowOff>91440</xdr:rowOff>
    </xdr:from>
    <xdr:to>
      <xdr:col>5</xdr:col>
      <xdr:colOff>335280</xdr:colOff>
      <xdr:row>349</xdr:row>
      <xdr:rowOff>30480</xdr:rowOff>
    </xdr:to>
    <xdr:sp macro="" textlink="">
      <xdr:nvSpPr>
        <xdr:cNvPr id="2724" name="You believe whatever serves your needs.">
          <a:extLst>
            <a:ext uri="{FF2B5EF4-FFF2-40B4-BE49-F238E27FC236}">
              <a16:creationId xmlns:a16="http://schemas.microsoft.com/office/drawing/2014/main" id="{00000000-0008-0000-0200-0000A40A0000}"/>
            </a:ext>
          </a:extLst>
        </xdr:cNvPr>
        <xdr:cNvSpPr txBox="1">
          <a:spLocks/>
        </xdr:cNvSpPr>
      </xdr:nvSpPr>
      <xdr:spPr>
        <a:xfrm>
          <a:off x="152400" y="64251840"/>
          <a:ext cx="2286000" cy="6400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ts val="1400"/>
            </a:lnSpc>
            <a:buNone/>
          </a:pP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Because your life situation impacts</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your psychosocial needs in an opposite way.</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endParaRPr lang="en-US" sz="14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114300</xdr:colOff>
      <xdr:row>345</xdr:row>
      <xdr:rowOff>76200</xdr:rowOff>
    </xdr:from>
    <xdr:to>
      <xdr:col>12</xdr:col>
      <xdr:colOff>419100</xdr:colOff>
      <xdr:row>349</xdr:row>
      <xdr:rowOff>15240</xdr:rowOff>
    </xdr:to>
    <xdr:sp macro="" textlink="">
      <xdr:nvSpPr>
        <xdr:cNvPr id="2725" name="You believe whatever serves your needs.">
          <a:extLst>
            <a:ext uri="{FF2B5EF4-FFF2-40B4-BE49-F238E27FC236}">
              <a16:creationId xmlns:a16="http://schemas.microsoft.com/office/drawing/2014/main" id="{00000000-0008-0000-0200-0000A50A0000}"/>
            </a:ext>
          </a:extLst>
        </xdr:cNvPr>
        <xdr:cNvSpPr txBox="1">
          <a:spLocks/>
        </xdr:cNvSpPr>
      </xdr:nvSpPr>
      <xdr:spPr>
        <a:xfrm>
          <a:off x="3703320" y="64236600"/>
          <a:ext cx="2286000" cy="6400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ts val="1400"/>
            </a:lnSpc>
            <a:buNone/>
          </a:pPr>
          <a:r>
            <a:rPr lang="en-US" sz="1400" b="1"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Because </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your life situation impacts your psychosocial needs in an opposite way. </a:t>
          </a:r>
        </a:p>
      </xdr:txBody>
    </xdr:sp>
    <xdr:clientData/>
  </xdr:twoCellAnchor>
  <xdr:twoCellAnchor>
    <xdr:from>
      <xdr:col>0</xdr:col>
      <xdr:colOff>91440</xdr:colOff>
      <xdr:row>499</xdr:row>
      <xdr:rowOff>54187</xdr:rowOff>
    </xdr:from>
    <xdr:to>
      <xdr:col>13</xdr:col>
      <xdr:colOff>15240</xdr:colOff>
      <xdr:row>505</xdr:row>
      <xdr:rowOff>38100</xdr:rowOff>
    </xdr:to>
    <xdr:sp macro="" textlink="">
      <xdr:nvSpPr>
        <xdr:cNvPr id="2739" name="TextBox 2738">
          <a:extLst>
            <a:ext uri="{FF2B5EF4-FFF2-40B4-BE49-F238E27FC236}">
              <a16:creationId xmlns:a16="http://schemas.microsoft.com/office/drawing/2014/main" id="{00000000-0008-0000-0200-0000B30A0000}"/>
            </a:ext>
          </a:extLst>
        </xdr:cNvPr>
        <xdr:cNvSpPr txBox="1"/>
      </xdr:nvSpPr>
      <xdr:spPr>
        <a:xfrm>
          <a:off x="91440" y="91859947"/>
          <a:ext cx="5989320" cy="1035473"/>
        </a:xfrm>
        <a:prstGeom prst="rect">
          <a:avLst/>
        </a:prstGeom>
        <a:gradFill flip="none" rotWithShape="1">
          <a:gsLst>
            <a:gs pos="0">
              <a:srgbClr val="7030A0">
                <a:alpha val="20000"/>
              </a:srgbClr>
            </a:gs>
            <a:gs pos="15000">
              <a:srgbClr val="7030A0">
                <a:alpha val="70000"/>
              </a:srgbClr>
            </a:gs>
            <a:gs pos="85000">
              <a:srgbClr val="7030A0">
                <a:alpha val="70000"/>
              </a:srgbClr>
            </a:gs>
            <a:gs pos="100000">
              <a:srgbClr val="7030A0">
                <a:alpha val="20000"/>
              </a:srgbClr>
            </a:gs>
          </a:gsLst>
          <a:lin ang="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0" rIns="457200" rtlCol="0" anchor="t"/>
        <a:lstStyle/>
        <a:p>
          <a:pPr algn="ct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my </a:t>
          </a:r>
          <a:r>
            <a:rPr lang="en-US" sz="1200" b="0" kern="1200" baseline="0">
              <a:ln>
                <a:solidFill>
                  <a:srgbClr val="9BFFC8"/>
                </a:solidFill>
              </a:ln>
              <a:solidFill>
                <a:srgbClr val="9BFFC8"/>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a:t>
          </a:r>
          <a:r>
            <a:rPr lang="en-US" sz="1200" b="0" kern="120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both completely resolve,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capable I am to focus on the needs of others.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less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my </a:t>
          </a:r>
          <a:r>
            <a:rPr lang="en-US" sz="1200" b="0" kern="1200" baseline="0">
              <a:ln>
                <a:solidFill>
                  <a:srgbClr val="9BFFC8"/>
                </a:solidFill>
              </a:ln>
              <a:solidFill>
                <a:srgbClr val="9BFFC8"/>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resolve relative to my </a:t>
          </a:r>
          <a:r>
            <a:rPr lang="en-US" sz="1200" b="0" kern="1200" baseline="0">
              <a:ln>
                <a:solidFill>
                  <a:srgbClr val="E178FF"/>
                </a:solidFill>
              </a:ln>
              <a:solidFill>
                <a:srgbClr val="E178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or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less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my </a:t>
          </a:r>
          <a:r>
            <a:rPr lang="en-US" sz="1200" b="0" kern="1200" baseline="0">
              <a:ln>
                <a:solidFill>
                  <a:srgbClr val="E178FF"/>
                </a:solidFill>
              </a:ln>
              <a:solidFill>
                <a:srgbClr val="E178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resolve relative to my </a:t>
          </a:r>
          <a:r>
            <a:rPr lang="en-US" sz="1200" b="0" kern="1200" baseline="0">
              <a:ln>
                <a:solidFill>
                  <a:srgbClr val="9BFFC8"/>
                </a:solidFill>
              </a:ln>
              <a:solidFill>
                <a:srgbClr val="9BFFC8"/>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less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capable I am to focus on the needs of others, as this tension creates </a:t>
          </a:r>
          <a:r>
            <a:rPr lang="en-US" sz="1200" b="0" kern="1200" baseline="0">
              <a:ln>
                <a:solidFill>
                  <a:srgbClr val="FFFF00"/>
                </a:solidFill>
              </a:ln>
              <a:solidFill>
                <a:srgbClr val="FFFF00"/>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that consumes my focus.</a:t>
          </a:r>
        </a:p>
      </xdr:txBody>
    </xdr:sp>
    <xdr:clientData/>
  </xdr:twoCellAnchor>
  <xdr:twoCellAnchor>
    <xdr:from>
      <xdr:col>0</xdr:col>
      <xdr:colOff>45720</xdr:colOff>
      <xdr:row>557</xdr:row>
      <xdr:rowOff>38099</xdr:rowOff>
    </xdr:from>
    <xdr:to>
      <xdr:col>3</xdr:col>
      <xdr:colOff>304800</xdr:colOff>
      <xdr:row>558</xdr:row>
      <xdr:rowOff>137159</xdr:rowOff>
    </xdr:to>
    <xdr:sp macro="" textlink="">
      <xdr:nvSpPr>
        <xdr:cNvPr id="2746" name="Left pulling need">
          <a:extLst>
            <a:ext uri="{FF2B5EF4-FFF2-40B4-BE49-F238E27FC236}">
              <a16:creationId xmlns:a16="http://schemas.microsoft.com/office/drawing/2014/main" id="{00000000-0008-0000-0200-0000BA0A0000}"/>
            </a:ext>
          </a:extLst>
        </xdr:cNvPr>
        <xdr:cNvSpPr txBox="1">
          <a:spLocks/>
        </xdr:cNvSpPr>
      </xdr:nvSpPr>
      <xdr:spPr>
        <a:xfrm rot="725967">
          <a:off x="45720" y="85534499"/>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guard self-needs</a:t>
          </a:r>
          <a:endParaRPr lang="en-US" sz="1200" b="0" i="1"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10</xdr:col>
      <xdr:colOff>144779</xdr:colOff>
      <xdr:row>557</xdr:row>
      <xdr:rowOff>22860</xdr:rowOff>
    </xdr:from>
    <xdr:to>
      <xdr:col>13</xdr:col>
      <xdr:colOff>30479</xdr:colOff>
      <xdr:row>558</xdr:row>
      <xdr:rowOff>121920</xdr:rowOff>
    </xdr:to>
    <xdr:sp macro="" textlink="">
      <xdr:nvSpPr>
        <xdr:cNvPr id="2747" name="Right pulling need">
          <a:extLst>
            <a:ext uri="{FF2B5EF4-FFF2-40B4-BE49-F238E27FC236}">
              <a16:creationId xmlns:a16="http://schemas.microsoft.com/office/drawing/2014/main" id="{00000000-0008-0000-0200-0000BB0A0000}"/>
            </a:ext>
          </a:extLst>
        </xdr:cNvPr>
        <xdr:cNvSpPr txBox="1">
          <a:spLocks/>
        </xdr:cNvSpPr>
      </xdr:nvSpPr>
      <xdr:spPr>
        <a:xfrm rot="20880000">
          <a:off x="4724399" y="85519260"/>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guard social-needs</a:t>
          </a:r>
          <a:endParaRPr lang="en-US" sz="1200" b="0" i="1"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388620</xdr:colOff>
      <xdr:row>555</xdr:row>
      <xdr:rowOff>0</xdr:rowOff>
    </xdr:from>
    <xdr:to>
      <xdr:col>4</xdr:col>
      <xdr:colOff>274320</xdr:colOff>
      <xdr:row>556</xdr:row>
      <xdr:rowOff>99060</xdr:rowOff>
    </xdr:to>
    <xdr:sp macro="" textlink="">
      <xdr:nvSpPr>
        <xdr:cNvPr id="2748" name="Left pulling need">
          <a:extLst>
            <a:ext uri="{FF2B5EF4-FFF2-40B4-BE49-F238E27FC236}">
              <a16:creationId xmlns:a16="http://schemas.microsoft.com/office/drawing/2014/main" id="{00000000-0008-0000-0200-0000BC0A0000}"/>
            </a:ext>
          </a:extLst>
        </xdr:cNvPr>
        <xdr:cNvSpPr txBox="1">
          <a:spLocks/>
        </xdr:cNvSpPr>
      </xdr:nvSpPr>
      <xdr:spPr>
        <a:xfrm rot="720000">
          <a:off x="510540" y="110611920"/>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relieve</a:t>
          </a:r>
          <a:r>
            <a:rPr lang="en-US" sz="1200" b="0" kern="1200" baseline="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social-needs</a:t>
          </a:r>
          <a:endParaRPr lang="en-US" sz="1200" b="0" i="1"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9</xdr:col>
      <xdr:colOff>152400</xdr:colOff>
      <xdr:row>555</xdr:row>
      <xdr:rowOff>38100</xdr:rowOff>
    </xdr:from>
    <xdr:to>
      <xdr:col>12</xdr:col>
      <xdr:colOff>38100</xdr:colOff>
      <xdr:row>556</xdr:row>
      <xdr:rowOff>137160</xdr:rowOff>
    </xdr:to>
    <xdr:sp macro="" textlink="">
      <xdr:nvSpPr>
        <xdr:cNvPr id="2749" name="Right pulling need">
          <a:extLst>
            <a:ext uri="{FF2B5EF4-FFF2-40B4-BE49-F238E27FC236}">
              <a16:creationId xmlns:a16="http://schemas.microsoft.com/office/drawing/2014/main" id="{00000000-0008-0000-0200-0000BD0A0000}"/>
            </a:ext>
          </a:extLst>
        </xdr:cNvPr>
        <xdr:cNvSpPr txBox="1">
          <a:spLocks/>
        </xdr:cNvSpPr>
      </xdr:nvSpPr>
      <xdr:spPr>
        <a:xfrm rot="20880000">
          <a:off x="4236720" y="110650020"/>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relieve self-needs</a:t>
          </a:r>
          <a:endParaRPr lang="en-US" sz="1200" b="0" i="1"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6</xdr:col>
      <xdr:colOff>418716</xdr:colOff>
      <xdr:row>586</xdr:row>
      <xdr:rowOff>37924</xdr:rowOff>
    </xdr:from>
    <xdr:to>
      <xdr:col>7</xdr:col>
      <xdr:colOff>152016</xdr:colOff>
      <xdr:row>599</xdr:row>
      <xdr:rowOff>45544</xdr:rowOff>
    </xdr:to>
    <xdr:grpSp>
      <xdr:nvGrpSpPr>
        <xdr:cNvPr id="163" name="Group 162" hidden="1">
          <a:extLst>
            <a:ext uri="{FF2B5EF4-FFF2-40B4-BE49-F238E27FC236}">
              <a16:creationId xmlns:a16="http://schemas.microsoft.com/office/drawing/2014/main" id="{00000000-0008-0000-0200-0000A3000000}"/>
            </a:ext>
          </a:extLst>
        </xdr:cNvPr>
        <xdr:cNvGrpSpPr/>
      </xdr:nvGrpSpPr>
      <xdr:grpSpPr>
        <a:xfrm rot="360000">
          <a:off x="3047616" y="116258164"/>
          <a:ext cx="236220" cy="2286000"/>
          <a:chOff x="7551420" y="106893360"/>
          <a:chExt cx="243840" cy="3375660"/>
        </a:xfrm>
        <a:effectLst>
          <a:outerShdw blurRad="50800" dist="50800" dir="5400000" algn="ctr" rotWithShape="0">
            <a:schemeClr val="accent2">
              <a:lumMod val="75000"/>
            </a:schemeClr>
          </a:outerShdw>
        </a:effectLst>
      </xdr:grpSpPr>
      <xdr:sp macro="" textlink="">
        <xdr:nvSpPr>
          <xdr:cNvPr id="123" name="Lightning Bolt 122">
            <a:extLst>
              <a:ext uri="{FF2B5EF4-FFF2-40B4-BE49-F238E27FC236}">
                <a16:creationId xmlns:a16="http://schemas.microsoft.com/office/drawing/2014/main" id="{00000000-0008-0000-0200-00007B000000}"/>
              </a:ext>
            </a:extLst>
          </xdr:cNvPr>
          <xdr:cNvSpPr/>
        </xdr:nvSpPr>
        <xdr:spPr>
          <a:xfrm>
            <a:off x="7642860" y="108432600"/>
            <a:ext cx="152400" cy="1836420"/>
          </a:xfrm>
          <a:prstGeom prst="lightningBolt">
            <a:avLst/>
          </a:prstGeom>
          <a:ln>
            <a:solidFill>
              <a:schemeClr val="accent2">
                <a:lumMod val="60000"/>
                <a:lumOff val="40000"/>
              </a:schemeClr>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796" name="Lightning Bolt 2795">
            <a:extLst>
              <a:ext uri="{FF2B5EF4-FFF2-40B4-BE49-F238E27FC236}">
                <a16:creationId xmlns:a16="http://schemas.microsoft.com/office/drawing/2014/main" id="{00000000-0008-0000-0200-0000EC0A0000}"/>
              </a:ext>
            </a:extLst>
          </xdr:cNvPr>
          <xdr:cNvSpPr/>
        </xdr:nvSpPr>
        <xdr:spPr>
          <a:xfrm flipH="1" flipV="1">
            <a:off x="7551420" y="106893360"/>
            <a:ext cx="152400" cy="1836420"/>
          </a:xfrm>
          <a:prstGeom prst="lightningBolt">
            <a:avLst/>
          </a:prstGeom>
          <a:ln>
            <a:solidFill>
              <a:schemeClr val="accent2">
                <a:lumMod val="60000"/>
                <a:lumOff val="40000"/>
              </a:schemeClr>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grpSp>
    <xdr:clientData/>
  </xdr:twoCellAnchor>
  <xdr:twoCellAnchor>
    <xdr:from>
      <xdr:col>1</xdr:col>
      <xdr:colOff>30480</xdr:colOff>
      <xdr:row>572</xdr:row>
      <xdr:rowOff>121920</xdr:rowOff>
    </xdr:from>
    <xdr:to>
      <xdr:col>5</xdr:col>
      <xdr:colOff>335280</xdr:colOff>
      <xdr:row>587</xdr:row>
      <xdr:rowOff>68580</xdr:rowOff>
    </xdr:to>
    <xdr:sp macro="" textlink="">
      <xdr:nvSpPr>
        <xdr:cNvPr id="2793" name="You believe whatever serves your needs.">
          <a:extLst>
            <a:ext uri="{FF2B5EF4-FFF2-40B4-BE49-F238E27FC236}">
              <a16:creationId xmlns:a16="http://schemas.microsoft.com/office/drawing/2014/main" id="{00000000-0008-0000-0200-0000E90A0000}"/>
            </a:ext>
          </a:extLst>
        </xdr:cNvPr>
        <xdr:cNvSpPr txBox="1">
          <a:spLocks/>
        </xdr:cNvSpPr>
      </xdr:nvSpPr>
      <xdr:spPr>
        <a:xfrm>
          <a:off x="152400" y="113797080"/>
          <a:ext cx="2286000" cy="25831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ts val="1300"/>
            </a:lnSpc>
            <a:buNone/>
          </a:pP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Whether your </a:t>
          </a:r>
          <a:r>
            <a:rPr lang="en-US" sz="1400" b="1" spc="-30">
              <a:ln w="3175">
                <a:solidFill>
                  <a:srgbClr val="00B050"/>
                </a:solidFill>
              </a:ln>
              <a:solidFill>
                <a:srgbClr val="C8FFE1"/>
              </a:solidFill>
              <a:latin typeface="Tahoma" panose="020B0604030504040204" pitchFamily="34" charset="0"/>
              <a:ea typeface="Tahoma" panose="020B0604030504040204" pitchFamily="34" charset="0"/>
              <a:cs typeface="Tahoma" panose="020B0604030504040204" pitchFamily="34" charset="0"/>
            </a:rPr>
            <a:t>self-needs</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resolve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 little</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more</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or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 lot</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more</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than your </a:t>
          </a:r>
          <a:r>
            <a:rPr lang="en-US" sz="1400" b="1" spc="-30">
              <a:ln w="3175">
                <a:solidFill>
                  <a:srgbClr val="7030A0"/>
                </a:solidFill>
              </a:ln>
              <a:solidFill>
                <a:srgbClr val="F0CDFF"/>
              </a:solidFill>
              <a:latin typeface="Tahoma" panose="020B0604030504040204" pitchFamily="34" charset="0"/>
              <a:ea typeface="Tahoma" panose="020B0604030504040204" pitchFamily="34" charset="0"/>
              <a:cs typeface="Tahoma" panose="020B0604030504040204" pitchFamily="34" charset="0"/>
            </a:rPr>
            <a:t>social-needs</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your</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psychosocial orientation priortizes you in the opposite direction of the </a:t>
          </a:r>
          <a:r>
            <a:rPr lang="en-US" sz="1400" b="1" kern="1200" spc="-30">
              <a:ln>
                <a:solidFill>
                  <a:srgbClr val="FF0000"/>
                </a:solidFill>
              </a:ln>
              <a:solidFill>
                <a:srgbClr val="FF5050"/>
              </a:solidFill>
              <a:latin typeface="Tahoma" panose="020B0604030504040204" pitchFamily="34" charset="0"/>
              <a:ea typeface="Tahoma" panose="020B0604030504040204" pitchFamily="34" charset="0"/>
              <a:cs typeface="Tahoma" panose="020B0604030504040204" pitchFamily="34" charset="0"/>
            </a:rPr>
            <a:t>DEEP-oriented</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So you find more in common </a:t>
          </a:r>
          <a:r>
            <a:rPr lang="en-US" sz="1400" b="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with other </a:t>
          </a:r>
          <a:r>
            <a:rPr lang="en-US" sz="1400" b="1" spc="-50" baseline="0">
              <a:ln>
                <a:solidFill>
                  <a:srgbClr val="6ED7FF"/>
                </a:solidFill>
              </a:ln>
              <a:solidFill>
                <a:srgbClr val="6ED7FF"/>
              </a:solidFill>
              <a:latin typeface="Tahoma" panose="020B0604030504040204" pitchFamily="34" charset="0"/>
              <a:ea typeface="Tahoma" panose="020B0604030504040204" pitchFamily="34" charset="0"/>
              <a:cs typeface="Tahoma" panose="020B0604030504040204" pitchFamily="34" charset="0"/>
            </a:rPr>
            <a:t>WIDE-oriented</a:t>
          </a:r>
          <a:r>
            <a:rPr lang="en-US" sz="1400" b="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whose needs may be far </a:t>
          </a:r>
          <a:r>
            <a:rPr lang="en-US" sz="1400" b="1" spc="-7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more resolved than yours</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They tend to be political leaders who dare speak </a:t>
          </a:r>
          <a:r>
            <a:rPr lang="en-US" sz="1400" b="1" spc="-7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for your prioritized needs</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t>
          </a:r>
          <a:endParaRPr lang="en-US" sz="14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151804</xdr:colOff>
      <xdr:row>572</xdr:row>
      <xdr:rowOff>121920</xdr:rowOff>
    </xdr:from>
    <xdr:to>
      <xdr:col>12</xdr:col>
      <xdr:colOff>456604</xdr:colOff>
      <xdr:row>589</xdr:row>
      <xdr:rowOff>15240</xdr:rowOff>
    </xdr:to>
    <xdr:sp macro="" textlink="">
      <xdr:nvSpPr>
        <xdr:cNvPr id="2794" name="You believe whatever serves your needs.">
          <a:extLst>
            <a:ext uri="{FF2B5EF4-FFF2-40B4-BE49-F238E27FC236}">
              <a16:creationId xmlns:a16="http://schemas.microsoft.com/office/drawing/2014/main" id="{00000000-0008-0000-0200-0000EA0A0000}"/>
            </a:ext>
          </a:extLst>
        </xdr:cNvPr>
        <xdr:cNvSpPr txBox="1">
          <a:spLocks/>
        </xdr:cNvSpPr>
      </xdr:nvSpPr>
      <xdr:spPr>
        <a:xfrm>
          <a:off x="3740824" y="113675160"/>
          <a:ext cx="2286000" cy="28803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r">
            <a:lnSpc>
              <a:spcPts val="1300"/>
            </a:lnSpc>
          </a:pPr>
          <a:r>
            <a:rPr lang="en-US" sz="1400" b="1" kern="1200" spc="-8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Whether your </a:t>
          </a:r>
          <a:r>
            <a:rPr lang="en-US" sz="1400" b="1" kern="1200" spc="-80">
              <a:ln w="3175">
                <a:solidFill>
                  <a:srgbClr val="7030A0"/>
                </a:solidFill>
              </a:ln>
              <a:solidFill>
                <a:srgbClr val="F0CDFF"/>
              </a:solidFill>
              <a:latin typeface="Tahoma" panose="020B0604030504040204" pitchFamily="34" charset="0"/>
              <a:ea typeface="Tahoma" panose="020B0604030504040204" pitchFamily="34" charset="0"/>
              <a:cs typeface="Tahoma" panose="020B0604030504040204" pitchFamily="34" charset="0"/>
            </a:rPr>
            <a:t>social-needs</a:t>
          </a:r>
          <a:r>
            <a:rPr lang="en-US" sz="1400" b="1" kern="1200" spc="-8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resolve </a:t>
          </a:r>
          <a:r>
            <a:rPr lang="en-US" sz="1400" b="1" i="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 little more</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or </a:t>
          </a:r>
          <a:r>
            <a:rPr lang="en-US" sz="1400" b="1" i="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 lot</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a:t>
          </a:r>
          <a:r>
            <a:rPr lang="en-US" sz="1400" b="1" i="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more</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than your </a:t>
          </a:r>
          <a:r>
            <a:rPr lang="en-US" sz="1400" b="1" kern="1200" spc="-30">
              <a:ln w="3175">
                <a:solidFill>
                  <a:srgbClr val="00B050"/>
                </a:solidFill>
              </a:ln>
              <a:solidFill>
                <a:srgbClr val="C8FFE1"/>
              </a:solidFill>
              <a:latin typeface="Tahoma" panose="020B0604030504040204" pitchFamily="34" charset="0"/>
              <a:ea typeface="Tahoma" panose="020B0604030504040204" pitchFamily="34" charset="0"/>
              <a:cs typeface="Tahoma" panose="020B0604030504040204" pitchFamily="34" charset="0"/>
            </a:rPr>
            <a:t>self-needs</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your psychosocial orientation priortizes you in the opposite direction of the </a:t>
          </a:r>
          <a:r>
            <a:rPr lang="en-US" sz="1400" b="1" kern="1200" spc="-30" baseline="0">
              <a:ln>
                <a:solidFill>
                  <a:srgbClr val="6ED7FF"/>
                </a:solidFill>
              </a:ln>
              <a:solidFill>
                <a:srgbClr val="6ED7FF"/>
              </a:solidFill>
              <a:latin typeface="Tahoma" panose="020B0604030504040204" pitchFamily="34" charset="0"/>
              <a:ea typeface="Tahoma" panose="020B0604030504040204" pitchFamily="34" charset="0"/>
              <a:cs typeface="Tahoma" panose="020B0604030504040204" pitchFamily="34" charset="0"/>
            </a:rPr>
            <a:t>WIDE-oriented</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So you find more in common with other </a:t>
          </a:r>
          <a:r>
            <a:rPr lang="en-US" sz="1400" b="1" kern="1200" spc="-30">
              <a:ln>
                <a:solidFill>
                  <a:srgbClr val="FF0000"/>
                </a:solidFill>
              </a:ln>
              <a:solidFill>
                <a:srgbClr val="FF5050"/>
              </a:solidFill>
              <a:latin typeface="Tahoma" panose="020B0604030504040204" pitchFamily="34" charset="0"/>
              <a:ea typeface="Tahoma" panose="020B0604030504040204" pitchFamily="34" charset="0"/>
              <a:cs typeface="Tahoma" panose="020B0604030504040204" pitchFamily="34" charset="0"/>
            </a:rPr>
            <a:t>DEEP-oriented</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whose needs may be far </a:t>
          </a:r>
          <a:r>
            <a:rPr lang="en-US" sz="1400" b="1" kern="1200" spc="-7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more resolved than yours</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They tend to be political leaders who dare speak </a:t>
          </a:r>
          <a:r>
            <a:rPr lang="en-US" sz="1400" b="1" kern="1200" spc="-7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for your prioritized needs</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7</xdr:col>
      <xdr:colOff>22860</xdr:colOff>
      <xdr:row>412</xdr:row>
      <xdr:rowOff>37958</xdr:rowOff>
    </xdr:from>
    <xdr:to>
      <xdr:col>7</xdr:col>
      <xdr:colOff>22860</xdr:colOff>
      <xdr:row>458</xdr:row>
      <xdr:rowOff>154499</xdr:rowOff>
    </xdr:to>
    <xdr:cxnSp macro="">
      <xdr:nvCxnSpPr>
        <xdr:cNvPr id="171" name="Straight Connector 170">
          <a:extLst>
            <a:ext uri="{FF2B5EF4-FFF2-40B4-BE49-F238E27FC236}">
              <a16:creationId xmlns:a16="http://schemas.microsoft.com/office/drawing/2014/main" id="{00000000-0008-0000-0200-0000AB000000}"/>
            </a:ext>
          </a:extLst>
        </xdr:cNvPr>
        <xdr:cNvCxnSpPr/>
      </xdr:nvCxnSpPr>
      <xdr:spPr>
        <a:xfrm>
          <a:off x="3100742" y="75789723"/>
          <a:ext cx="0" cy="8229600"/>
        </a:xfrm>
        <a:prstGeom prst="line">
          <a:avLst/>
        </a:prstGeom>
      </xdr:spPr>
      <xdr:style>
        <a:lnRef idx="1">
          <a:schemeClr val="accent4"/>
        </a:lnRef>
        <a:fillRef idx="0">
          <a:schemeClr val="accent4"/>
        </a:fillRef>
        <a:effectRef idx="0">
          <a:schemeClr val="accent4"/>
        </a:effectRef>
        <a:fontRef idx="minor">
          <a:schemeClr val="tx1"/>
        </a:fontRef>
      </xdr:style>
    </xdr:cxnSp>
    <xdr:clientData/>
  </xdr:twoCellAnchor>
  <xdr:twoCellAnchor>
    <xdr:from>
      <xdr:col>0</xdr:col>
      <xdr:colOff>77246</xdr:colOff>
      <xdr:row>421</xdr:row>
      <xdr:rowOff>69327</xdr:rowOff>
    </xdr:from>
    <xdr:to>
      <xdr:col>13</xdr:col>
      <xdr:colOff>38100</xdr:colOff>
      <xdr:row>427</xdr:row>
      <xdr:rowOff>158675</xdr:rowOff>
    </xdr:to>
    <xdr:grpSp>
      <xdr:nvGrpSpPr>
        <xdr:cNvPr id="1553" name="Group 1552">
          <a:extLst>
            <a:ext uri="{FF2B5EF4-FFF2-40B4-BE49-F238E27FC236}">
              <a16:creationId xmlns:a16="http://schemas.microsoft.com/office/drawing/2014/main" id="{00000000-0008-0000-0200-000011060000}"/>
            </a:ext>
          </a:extLst>
        </xdr:cNvPr>
        <xdr:cNvGrpSpPr/>
      </xdr:nvGrpSpPr>
      <xdr:grpSpPr>
        <a:xfrm>
          <a:off x="77246" y="86594427"/>
          <a:ext cx="6110194" cy="1140908"/>
          <a:chOff x="62006" y="80864187"/>
          <a:chExt cx="6026374" cy="1140908"/>
        </a:xfrm>
      </xdr:grpSpPr>
      <xdr:sp macro="" textlink="">
        <xdr:nvSpPr>
          <xdr:cNvPr id="1554" name="Left pulling need">
            <a:extLst>
              <a:ext uri="{FF2B5EF4-FFF2-40B4-BE49-F238E27FC236}">
                <a16:creationId xmlns:a16="http://schemas.microsoft.com/office/drawing/2014/main" id="{00000000-0008-0000-0200-000012060000}"/>
              </a:ext>
            </a:extLst>
          </xdr:cNvPr>
          <xdr:cNvSpPr txBox="1">
            <a:spLocks/>
          </xdr:cNvSpPr>
        </xdr:nvSpPr>
        <xdr:spPr>
          <a:xfrm>
            <a:off x="68580" y="80864187"/>
            <a:ext cx="22555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what is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effective</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for the many</a:t>
            </a:r>
          </a:p>
        </xdr:txBody>
      </xdr:sp>
      <xdr:sp macro="" textlink="">
        <xdr:nvSpPr>
          <xdr:cNvPr id="1555" name="Right pulling need">
            <a:extLst>
              <a:ext uri="{FF2B5EF4-FFF2-40B4-BE49-F238E27FC236}">
                <a16:creationId xmlns:a16="http://schemas.microsoft.com/office/drawing/2014/main" id="{00000000-0008-0000-0200-000013060000}"/>
              </a:ext>
            </a:extLst>
          </xdr:cNvPr>
          <xdr:cNvSpPr txBox="1">
            <a:spLocks/>
          </xdr:cNvSpPr>
        </xdr:nvSpPr>
        <xdr:spPr>
          <a:xfrm>
            <a:off x="3832860" y="80871807"/>
            <a:ext cx="22555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spc="-30" baseline="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what </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is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efficient</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for the few</a:t>
            </a:r>
          </a:p>
        </xdr:txBody>
      </xdr:sp>
      <xdr:sp macro="" textlink="">
        <xdr:nvSpPr>
          <xdr:cNvPr id="1557" name="Left pulling need">
            <a:extLst>
              <a:ext uri="{FF2B5EF4-FFF2-40B4-BE49-F238E27FC236}">
                <a16:creationId xmlns:a16="http://schemas.microsoft.com/office/drawing/2014/main" id="{00000000-0008-0000-0200-000015060000}"/>
              </a:ext>
            </a:extLst>
          </xdr:cNvPr>
          <xdr:cNvSpPr txBox="1">
            <a:spLocks/>
          </xdr:cNvSpPr>
        </xdr:nvSpPr>
        <xdr:spPr>
          <a:xfrm>
            <a:off x="62006" y="81319295"/>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effectiveness</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efficiency</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58" name="Right pulling need">
            <a:extLst>
              <a:ext uri="{FF2B5EF4-FFF2-40B4-BE49-F238E27FC236}">
                <a16:creationId xmlns:a16="http://schemas.microsoft.com/office/drawing/2014/main" id="{00000000-0008-0000-0200-000016060000}"/>
              </a:ext>
            </a:extLst>
          </xdr:cNvPr>
          <xdr:cNvSpPr txBox="1">
            <a:spLocks/>
          </xdr:cNvSpPr>
        </xdr:nvSpPr>
        <xdr:spPr>
          <a:xfrm>
            <a:off x="3998219" y="81319295"/>
            <a:ext cx="2079852"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effeciancy </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effectiveness </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69626</xdr:colOff>
      <xdr:row>428</xdr:row>
      <xdr:rowOff>60960</xdr:rowOff>
    </xdr:from>
    <xdr:to>
      <xdr:col>13</xdr:col>
      <xdr:colOff>38100</xdr:colOff>
      <xdr:row>434</xdr:row>
      <xdr:rowOff>143435</xdr:rowOff>
    </xdr:to>
    <xdr:grpSp>
      <xdr:nvGrpSpPr>
        <xdr:cNvPr id="1559" name="Group 1558">
          <a:extLst>
            <a:ext uri="{FF2B5EF4-FFF2-40B4-BE49-F238E27FC236}">
              <a16:creationId xmlns:a16="http://schemas.microsoft.com/office/drawing/2014/main" id="{00000000-0008-0000-0200-000017060000}"/>
            </a:ext>
          </a:extLst>
        </xdr:cNvPr>
        <xdr:cNvGrpSpPr/>
      </xdr:nvGrpSpPr>
      <xdr:grpSpPr>
        <a:xfrm>
          <a:off x="69626" y="87812880"/>
          <a:ext cx="6117814" cy="1134035"/>
          <a:chOff x="62006" y="83263740"/>
          <a:chExt cx="6033994" cy="1134035"/>
        </a:xfrm>
      </xdr:grpSpPr>
      <xdr:sp macro="" textlink="">
        <xdr:nvSpPr>
          <xdr:cNvPr id="1560" name="Left pulling need">
            <a:extLst>
              <a:ext uri="{FF2B5EF4-FFF2-40B4-BE49-F238E27FC236}">
                <a16:creationId xmlns:a16="http://schemas.microsoft.com/office/drawing/2014/main" id="{00000000-0008-0000-0200-000018060000}"/>
              </a:ext>
            </a:extLst>
          </xdr:cNvPr>
          <xdr:cNvSpPr txBox="1">
            <a:spLocks/>
          </xdr:cNvSpPr>
        </xdr:nvSpPr>
        <xdr:spPr>
          <a:xfrm>
            <a:off x="68580" y="83263740"/>
            <a:ext cx="25603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equality</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to include all in society</a:t>
            </a:r>
          </a:p>
        </xdr:txBody>
      </xdr:sp>
      <xdr:sp macro="" textlink="">
        <xdr:nvSpPr>
          <xdr:cNvPr id="1561" name="Right pulling need">
            <a:extLst>
              <a:ext uri="{FF2B5EF4-FFF2-40B4-BE49-F238E27FC236}">
                <a16:creationId xmlns:a16="http://schemas.microsoft.com/office/drawing/2014/main" id="{00000000-0008-0000-0200-000019060000}"/>
              </a:ext>
            </a:extLst>
          </xdr:cNvPr>
          <xdr:cNvSpPr txBox="1">
            <a:spLocks/>
          </xdr:cNvSpPr>
        </xdr:nvSpPr>
        <xdr:spPr>
          <a:xfrm>
            <a:off x="3535680" y="83263740"/>
            <a:ext cx="25603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freedom</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so individuals can thrive</a:t>
            </a:r>
          </a:p>
        </xdr:txBody>
      </xdr:sp>
      <xdr:sp macro="" textlink="">
        <xdr:nvSpPr>
          <xdr:cNvPr id="1562" name="Left pulling need">
            <a:extLst>
              <a:ext uri="{FF2B5EF4-FFF2-40B4-BE49-F238E27FC236}">
                <a16:creationId xmlns:a16="http://schemas.microsoft.com/office/drawing/2014/main" id="{00000000-0008-0000-0200-00001A060000}"/>
              </a:ext>
            </a:extLst>
          </xdr:cNvPr>
          <xdr:cNvSpPr txBox="1">
            <a:spLocks/>
          </xdr:cNvSpPr>
        </xdr:nvSpPr>
        <xdr:spPr>
          <a:xfrm>
            <a:off x="62006" y="83711975"/>
            <a:ext cx="246888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social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equality </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freedom</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63" name="Right pulling need">
            <a:extLst>
              <a:ext uri="{FF2B5EF4-FFF2-40B4-BE49-F238E27FC236}">
                <a16:creationId xmlns:a16="http://schemas.microsoft.com/office/drawing/2014/main" id="{00000000-0008-0000-0200-00001B060000}"/>
              </a:ext>
            </a:extLst>
          </xdr:cNvPr>
          <xdr:cNvSpPr txBox="1">
            <a:spLocks/>
          </xdr:cNvSpPr>
        </xdr:nvSpPr>
        <xdr:spPr>
          <a:xfrm>
            <a:off x="3528060" y="83711975"/>
            <a:ext cx="256032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0"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freedom</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0"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social</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equality </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46766</xdr:colOff>
      <xdr:row>435</xdr:row>
      <xdr:rowOff>39145</xdr:rowOff>
    </xdr:from>
    <xdr:to>
      <xdr:col>13</xdr:col>
      <xdr:colOff>43483</xdr:colOff>
      <xdr:row>441</xdr:row>
      <xdr:rowOff>158675</xdr:rowOff>
    </xdr:to>
    <xdr:grpSp>
      <xdr:nvGrpSpPr>
        <xdr:cNvPr id="1564" name="Group 1563">
          <a:extLst>
            <a:ext uri="{FF2B5EF4-FFF2-40B4-BE49-F238E27FC236}">
              <a16:creationId xmlns:a16="http://schemas.microsoft.com/office/drawing/2014/main" id="{00000000-0008-0000-0200-00001C060000}"/>
            </a:ext>
          </a:extLst>
        </xdr:cNvPr>
        <xdr:cNvGrpSpPr/>
      </xdr:nvGrpSpPr>
      <xdr:grpSpPr>
        <a:xfrm>
          <a:off x="46766" y="89017885"/>
          <a:ext cx="6146057" cy="1171090"/>
          <a:chOff x="62006" y="78045085"/>
          <a:chExt cx="6062237" cy="1171090"/>
        </a:xfrm>
      </xdr:grpSpPr>
      <xdr:sp macro="" textlink="">
        <xdr:nvSpPr>
          <xdr:cNvPr id="1565" name="Left pulling need">
            <a:extLst>
              <a:ext uri="{FF2B5EF4-FFF2-40B4-BE49-F238E27FC236}">
                <a16:creationId xmlns:a16="http://schemas.microsoft.com/office/drawing/2014/main" id="{00000000-0008-0000-0200-00001D060000}"/>
              </a:ext>
            </a:extLst>
          </xdr:cNvPr>
          <xdr:cNvSpPr txBox="1">
            <a:spLocks/>
          </xdr:cNvSpPr>
        </xdr:nvSpPr>
        <xdr:spPr>
          <a:xfrm>
            <a:off x="71710" y="78045085"/>
            <a:ext cx="2618149"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the most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vulnerable</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to serve demand</a:t>
            </a:r>
          </a:p>
        </xdr:txBody>
      </xdr:sp>
      <xdr:sp macro="" textlink="">
        <xdr:nvSpPr>
          <xdr:cNvPr id="1566" name="Right pulling need">
            <a:extLst>
              <a:ext uri="{FF2B5EF4-FFF2-40B4-BE49-F238E27FC236}">
                <a16:creationId xmlns:a16="http://schemas.microsoft.com/office/drawing/2014/main" id="{00000000-0008-0000-0200-00001E060000}"/>
              </a:ext>
            </a:extLst>
          </xdr:cNvPr>
          <xdr:cNvSpPr txBox="1">
            <a:spLocks/>
          </xdr:cNvSpPr>
        </xdr:nvSpPr>
        <xdr:spPr>
          <a:xfrm>
            <a:off x="3558541" y="78045085"/>
            <a:ext cx="2565702"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the most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productive</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to insure supply</a:t>
            </a:r>
          </a:p>
        </xdr:txBody>
      </xdr:sp>
      <xdr:sp macro="" textlink="">
        <xdr:nvSpPr>
          <xdr:cNvPr id="1567" name="Left pulling need">
            <a:extLst>
              <a:ext uri="{FF2B5EF4-FFF2-40B4-BE49-F238E27FC236}">
                <a16:creationId xmlns:a16="http://schemas.microsoft.com/office/drawing/2014/main" id="{00000000-0008-0000-0200-00001F060000}"/>
              </a:ext>
            </a:extLst>
          </xdr:cNvPr>
          <xdr:cNvSpPr txBox="1">
            <a:spLocks/>
          </xdr:cNvSpPr>
        </xdr:nvSpPr>
        <xdr:spPr>
          <a:xfrm>
            <a:off x="62006" y="78530375"/>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to serve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demand</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to</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insure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supply</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68" name="Right pulling need">
            <a:extLst>
              <a:ext uri="{FF2B5EF4-FFF2-40B4-BE49-F238E27FC236}">
                <a16:creationId xmlns:a16="http://schemas.microsoft.com/office/drawing/2014/main" id="{00000000-0008-0000-0200-000020060000}"/>
              </a:ext>
            </a:extLst>
          </xdr:cNvPr>
          <xdr:cNvSpPr txBox="1">
            <a:spLocks/>
          </xdr:cNvSpPr>
        </xdr:nvSpPr>
        <xdr:spPr>
          <a:xfrm>
            <a:off x="3832412" y="78530375"/>
            <a:ext cx="2283759"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to insure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supply</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to </a:t>
            </a:r>
            <a:r>
              <a:rPr lang="en-US" sz="1100"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serve</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demand</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54386</xdr:colOff>
      <xdr:row>442</xdr:row>
      <xdr:rowOff>61707</xdr:rowOff>
    </xdr:from>
    <xdr:to>
      <xdr:col>13</xdr:col>
      <xdr:colOff>28691</xdr:colOff>
      <xdr:row>450</xdr:row>
      <xdr:rowOff>21515</xdr:rowOff>
    </xdr:to>
    <xdr:grpSp>
      <xdr:nvGrpSpPr>
        <xdr:cNvPr id="1569" name="Group 1568">
          <a:extLst>
            <a:ext uri="{FF2B5EF4-FFF2-40B4-BE49-F238E27FC236}">
              <a16:creationId xmlns:a16="http://schemas.microsoft.com/office/drawing/2014/main" id="{00000000-0008-0000-0200-000021060000}"/>
            </a:ext>
          </a:extLst>
        </xdr:cNvPr>
        <xdr:cNvGrpSpPr/>
      </xdr:nvGrpSpPr>
      <xdr:grpSpPr>
        <a:xfrm>
          <a:off x="54386" y="90267267"/>
          <a:ext cx="6123645" cy="1361888"/>
          <a:chOff x="62006" y="79424007"/>
          <a:chExt cx="6039825" cy="1361888"/>
        </a:xfrm>
      </xdr:grpSpPr>
      <xdr:sp macro="" textlink="">
        <xdr:nvSpPr>
          <xdr:cNvPr id="1570" name="Left pulling need">
            <a:extLst>
              <a:ext uri="{FF2B5EF4-FFF2-40B4-BE49-F238E27FC236}">
                <a16:creationId xmlns:a16="http://schemas.microsoft.com/office/drawing/2014/main" id="{00000000-0008-0000-0200-000022060000}"/>
              </a:ext>
            </a:extLst>
          </xdr:cNvPr>
          <xdr:cNvSpPr txBox="1">
            <a:spLocks/>
          </xdr:cNvSpPr>
        </xdr:nvSpPr>
        <xdr:spPr>
          <a:xfrm>
            <a:off x="68878" y="79424007"/>
            <a:ext cx="1917999"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public</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goods like public assistance</a:t>
            </a:r>
          </a:p>
        </xdr:txBody>
      </xdr:sp>
      <xdr:sp macro="" textlink="">
        <xdr:nvSpPr>
          <xdr:cNvPr id="1571" name="Right pulling need">
            <a:extLst>
              <a:ext uri="{FF2B5EF4-FFF2-40B4-BE49-F238E27FC236}">
                <a16:creationId xmlns:a16="http://schemas.microsoft.com/office/drawing/2014/main" id="{00000000-0008-0000-0200-000023060000}"/>
              </a:ext>
            </a:extLst>
          </xdr:cNvPr>
          <xdr:cNvSpPr txBox="1">
            <a:spLocks/>
          </xdr:cNvSpPr>
        </xdr:nvSpPr>
        <xdr:spPr>
          <a:xfrm>
            <a:off x="4183832" y="79439247"/>
            <a:ext cx="1917999"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private</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goods like health insurance</a:t>
            </a:r>
          </a:p>
        </xdr:txBody>
      </xdr:sp>
      <xdr:sp macro="" textlink="">
        <xdr:nvSpPr>
          <xdr:cNvPr id="1572" name="Left pulling need">
            <a:extLst>
              <a:ext uri="{FF2B5EF4-FFF2-40B4-BE49-F238E27FC236}">
                <a16:creationId xmlns:a16="http://schemas.microsoft.com/office/drawing/2014/main" id="{00000000-0008-0000-0200-000024060000}"/>
              </a:ext>
            </a:extLst>
          </xdr:cNvPr>
          <xdr:cNvSpPr txBox="1">
            <a:spLocks/>
          </xdr:cNvSpPr>
        </xdr:nvSpPr>
        <xdr:spPr>
          <a:xfrm>
            <a:off x="62006" y="80100095"/>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public </a:t>
            </a:r>
            <a:r>
              <a:rPr lang="en-US" sz="1100" b="0"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private </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73" name="Right pulling need">
            <a:extLst>
              <a:ext uri="{FF2B5EF4-FFF2-40B4-BE49-F238E27FC236}">
                <a16:creationId xmlns:a16="http://schemas.microsoft.com/office/drawing/2014/main" id="{00000000-0008-0000-0200-000025060000}"/>
              </a:ext>
            </a:extLst>
          </xdr:cNvPr>
          <xdr:cNvSpPr txBox="1">
            <a:spLocks/>
          </xdr:cNvSpPr>
        </xdr:nvSpPr>
        <xdr:spPr>
          <a:xfrm>
            <a:off x="3794312" y="80100095"/>
            <a:ext cx="2283759"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private </a:t>
            </a:r>
            <a:r>
              <a:rPr lang="en-US" sz="1100" b="0"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public </a:t>
            </a:r>
            <a:r>
              <a:rPr lang="en-US" sz="1100" b="0"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60960</xdr:colOff>
      <xdr:row>450</xdr:row>
      <xdr:rowOff>137160</xdr:rowOff>
    </xdr:from>
    <xdr:to>
      <xdr:col>13</xdr:col>
      <xdr:colOff>22860</xdr:colOff>
      <xdr:row>457</xdr:row>
      <xdr:rowOff>29135</xdr:rowOff>
    </xdr:to>
    <xdr:grpSp>
      <xdr:nvGrpSpPr>
        <xdr:cNvPr id="1574" name="Group 1573">
          <a:extLst>
            <a:ext uri="{FF2B5EF4-FFF2-40B4-BE49-F238E27FC236}">
              <a16:creationId xmlns:a16="http://schemas.microsoft.com/office/drawing/2014/main" id="{00000000-0008-0000-0200-000026060000}"/>
            </a:ext>
          </a:extLst>
        </xdr:cNvPr>
        <xdr:cNvGrpSpPr/>
      </xdr:nvGrpSpPr>
      <xdr:grpSpPr>
        <a:xfrm>
          <a:off x="60960" y="91744800"/>
          <a:ext cx="6111240" cy="1118795"/>
          <a:chOff x="60960" y="82052160"/>
          <a:chExt cx="6027420" cy="1118795"/>
        </a:xfrm>
      </xdr:grpSpPr>
      <xdr:sp macro="" textlink="">
        <xdr:nvSpPr>
          <xdr:cNvPr id="1575" name="Left pulling need">
            <a:extLst>
              <a:ext uri="{FF2B5EF4-FFF2-40B4-BE49-F238E27FC236}">
                <a16:creationId xmlns:a16="http://schemas.microsoft.com/office/drawing/2014/main" id="{00000000-0008-0000-0200-000027060000}"/>
              </a:ext>
            </a:extLst>
          </xdr:cNvPr>
          <xdr:cNvSpPr txBox="1">
            <a:spLocks/>
          </xdr:cNvSpPr>
        </xdr:nvSpPr>
        <xdr:spPr>
          <a:xfrm>
            <a:off x="60960" y="82052160"/>
            <a:ext cx="23698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our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collective</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capacity</a:t>
            </a:r>
          </a:p>
        </xdr:txBody>
      </xdr:sp>
      <xdr:sp macro="" textlink="">
        <xdr:nvSpPr>
          <xdr:cNvPr id="1576" name="Right pulling need">
            <a:extLst>
              <a:ext uri="{FF2B5EF4-FFF2-40B4-BE49-F238E27FC236}">
                <a16:creationId xmlns:a16="http://schemas.microsoft.com/office/drawing/2014/main" id="{00000000-0008-0000-0200-000028060000}"/>
              </a:ext>
            </a:extLst>
          </xdr:cNvPr>
          <xdr:cNvSpPr txBox="1">
            <a:spLocks/>
          </xdr:cNvSpPr>
        </xdr:nvSpPr>
        <xdr:spPr>
          <a:xfrm>
            <a:off x="3779520" y="82052160"/>
            <a:ext cx="230886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our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individual</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capacity</a:t>
            </a:r>
          </a:p>
        </xdr:txBody>
      </xdr:sp>
      <xdr:sp macro="" textlink="">
        <xdr:nvSpPr>
          <xdr:cNvPr id="1577" name="Left pulling need">
            <a:extLst>
              <a:ext uri="{FF2B5EF4-FFF2-40B4-BE49-F238E27FC236}">
                <a16:creationId xmlns:a16="http://schemas.microsoft.com/office/drawing/2014/main" id="{00000000-0008-0000-0200-000029060000}"/>
              </a:ext>
            </a:extLst>
          </xdr:cNvPr>
          <xdr:cNvSpPr txBox="1">
            <a:spLocks/>
          </xdr:cNvSpPr>
        </xdr:nvSpPr>
        <xdr:spPr>
          <a:xfrm>
            <a:off x="62006" y="82485155"/>
            <a:ext cx="246888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shared </a:t>
            </a:r>
            <a:r>
              <a:rPr lang="en-US" sz="1100" b="0"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capacity</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capacity</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78" name="Right pulling need">
            <a:extLst>
              <a:ext uri="{FF2B5EF4-FFF2-40B4-BE49-F238E27FC236}">
                <a16:creationId xmlns:a16="http://schemas.microsoft.com/office/drawing/2014/main" id="{00000000-0008-0000-0200-00002A060000}"/>
              </a:ext>
            </a:extLst>
          </xdr:cNvPr>
          <xdr:cNvSpPr txBox="1">
            <a:spLocks/>
          </xdr:cNvSpPr>
        </xdr:nvSpPr>
        <xdr:spPr>
          <a:xfrm>
            <a:off x="3520440" y="82485155"/>
            <a:ext cx="256032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capacity</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shared </a:t>
            </a:r>
            <a:r>
              <a:rPr lang="en-US" sz="1100" b="0"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capacity</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56920</xdr:colOff>
      <xdr:row>413</xdr:row>
      <xdr:rowOff>45720</xdr:rowOff>
    </xdr:from>
    <xdr:to>
      <xdr:col>13</xdr:col>
      <xdr:colOff>61102</xdr:colOff>
      <xdr:row>420</xdr:row>
      <xdr:rowOff>172870</xdr:rowOff>
    </xdr:to>
    <xdr:grpSp>
      <xdr:nvGrpSpPr>
        <xdr:cNvPr id="1580" name="Group 1579">
          <a:extLst>
            <a:ext uri="{FF2B5EF4-FFF2-40B4-BE49-F238E27FC236}">
              <a16:creationId xmlns:a16="http://schemas.microsoft.com/office/drawing/2014/main" id="{00000000-0008-0000-0200-00002C060000}"/>
            </a:ext>
          </a:extLst>
        </xdr:cNvPr>
        <xdr:cNvGrpSpPr/>
      </xdr:nvGrpSpPr>
      <xdr:grpSpPr>
        <a:xfrm>
          <a:off x="56920" y="85168740"/>
          <a:ext cx="6153522" cy="1353970"/>
          <a:chOff x="64540" y="76702920"/>
          <a:chExt cx="6069702" cy="1353970"/>
        </a:xfrm>
      </xdr:grpSpPr>
      <xdr:sp macro="" textlink="">
        <xdr:nvSpPr>
          <xdr:cNvPr id="1581" name="Left pulling need">
            <a:extLst>
              <a:ext uri="{FF2B5EF4-FFF2-40B4-BE49-F238E27FC236}">
                <a16:creationId xmlns:a16="http://schemas.microsoft.com/office/drawing/2014/main" id="{00000000-0008-0000-0200-00002D060000}"/>
              </a:ext>
            </a:extLst>
          </xdr:cNvPr>
          <xdr:cNvSpPr txBox="1">
            <a:spLocks/>
          </xdr:cNvSpPr>
        </xdr:nvSpPr>
        <xdr:spPr>
          <a:xfrm>
            <a:off x="64540" y="76702920"/>
            <a:ext cx="2148840"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inclusion </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of the historically excluded</a:t>
            </a:r>
            <a:endParaRPr lang="en-US" sz="11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82" name="Left pulling need">
            <a:extLst>
              <a:ext uri="{FF2B5EF4-FFF2-40B4-BE49-F238E27FC236}">
                <a16:creationId xmlns:a16="http://schemas.microsoft.com/office/drawing/2014/main" id="{00000000-0008-0000-0200-00002E060000}"/>
              </a:ext>
            </a:extLst>
          </xdr:cNvPr>
          <xdr:cNvSpPr txBox="1">
            <a:spLocks/>
          </xdr:cNvSpPr>
        </xdr:nvSpPr>
        <xdr:spPr>
          <a:xfrm>
            <a:off x="71719" y="77371090"/>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inclusion</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 </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traditional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cohesion</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83" name="Right pulling need">
            <a:extLst>
              <a:ext uri="{FF2B5EF4-FFF2-40B4-BE49-F238E27FC236}">
                <a16:creationId xmlns:a16="http://schemas.microsoft.com/office/drawing/2014/main" id="{00000000-0008-0000-0200-00002F060000}"/>
              </a:ext>
            </a:extLst>
          </xdr:cNvPr>
          <xdr:cNvSpPr txBox="1">
            <a:spLocks/>
          </xdr:cNvSpPr>
        </xdr:nvSpPr>
        <xdr:spPr>
          <a:xfrm>
            <a:off x="3848242" y="77371090"/>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cohesion</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 </a:t>
            </a:r>
            <a:r>
              <a:rPr lang="en-US" sz="1100"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overlooked</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inclusion</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84" name="Right pulling need">
            <a:extLst>
              <a:ext uri="{FF2B5EF4-FFF2-40B4-BE49-F238E27FC236}">
                <a16:creationId xmlns:a16="http://schemas.microsoft.com/office/drawing/2014/main" id="{00000000-0008-0000-0200-000030060000}"/>
              </a:ext>
            </a:extLst>
          </xdr:cNvPr>
          <xdr:cNvSpPr txBox="1">
            <a:spLocks/>
          </xdr:cNvSpPr>
        </xdr:nvSpPr>
        <xdr:spPr>
          <a:xfrm>
            <a:off x="4013356" y="76718160"/>
            <a:ext cx="2118360"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cohesion </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of the traditionally grouped</a:t>
            </a:r>
            <a:endParaRPr lang="en-US" sz="11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114300</xdr:colOff>
      <xdr:row>966</xdr:row>
      <xdr:rowOff>198120</xdr:rowOff>
    </xdr:from>
    <xdr:to>
      <xdr:col>12</xdr:col>
      <xdr:colOff>487680</xdr:colOff>
      <xdr:row>969</xdr:row>
      <xdr:rowOff>175260</xdr:rowOff>
    </xdr:to>
    <xdr:sp macro="" textlink="">
      <xdr:nvSpPr>
        <xdr:cNvPr id="1592" name="TextBox 1591">
          <a:extLst>
            <a:ext uri="{FF2B5EF4-FFF2-40B4-BE49-F238E27FC236}">
              <a16:creationId xmlns:a16="http://schemas.microsoft.com/office/drawing/2014/main" id="{00000000-0008-0000-0200-000038060000}"/>
            </a:ext>
          </a:extLst>
        </xdr:cNvPr>
        <xdr:cNvSpPr txBox="1"/>
      </xdr:nvSpPr>
      <xdr:spPr>
        <a:xfrm>
          <a:off x="114300" y="178323240"/>
          <a:ext cx="5943600" cy="7848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spc="-30" baseline="0">
              <a:solidFill>
                <a:schemeClr val="dk1"/>
              </a:solidFill>
              <a:latin typeface="Tahoma" panose="020B0604030504040204" pitchFamily="34" charset="0"/>
              <a:ea typeface="Tahoma" panose="020B0604030504040204" pitchFamily="34" charset="0"/>
              <a:cs typeface="Tahoma" panose="020B0604030504040204" pitchFamily="34" charset="0"/>
            </a:rPr>
            <a:t>Politics turns tribal when it binds the needy into camps sharing the same prioritized needs. Then rally its members into opposing any other camp prioritizing a different set of needs. Each side focuses less and less on resolving needs, keeping us all needy and stuck in pain. And in perpetual yet pointless conflict. Contrast this with </a:t>
          </a:r>
          <a:r>
            <a:rPr lang="en-US" sz="1200" spc="-3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Harmony Politics</a:t>
          </a:r>
          <a:r>
            <a:rPr lang="en-US" sz="1200" spc="-30" baseline="0">
              <a:solidFill>
                <a:schemeClr val="dk1"/>
              </a:solidFill>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0</xdr:col>
      <xdr:colOff>91440</xdr:colOff>
      <xdr:row>492</xdr:row>
      <xdr:rowOff>83820</xdr:rowOff>
    </xdr:from>
    <xdr:to>
      <xdr:col>6</xdr:col>
      <xdr:colOff>259080</xdr:colOff>
      <xdr:row>498</xdr:row>
      <xdr:rowOff>129540</xdr:rowOff>
    </xdr:to>
    <xdr:sp macro="" textlink="">
      <xdr:nvSpPr>
        <xdr:cNvPr id="1593" name="You believe whatever serves your needs.">
          <a:extLst>
            <a:ext uri="{FF2B5EF4-FFF2-40B4-BE49-F238E27FC236}">
              <a16:creationId xmlns:a16="http://schemas.microsoft.com/office/drawing/2014/main" id="{00000000-0008-0000-0200-000039060000}"/>
            </a:ext>
          </a:extLst>
        </xdr:cNvPr>
        <xdr:cNvSpPr txBox="1">
          <a:spLocks/>
        </xdr:cNvSpPr>
      </xdr:nvSpPr>
      <xdr:spPr>
        <a:xfrm>
          <a:off x="91440" y="90662760"/>
          <a:ext cx="2766060" cy="1097280"/>
        </a:xfrm>
        <a:prstGeom prst="rect">
          <a:avLst/>
        </a:prstGeom>
        <a:solidFill>
          <a:srgbClr val="660066">
            <a:alpha val="60000"/>
          </a:srgbClr>
        </a:solidFill>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200" b="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If you are a </a:t>
          </a:r>
          <a:r>
            <a:rPr lang="en-US" sz="1200" b="0">
              <a:ln>
                <a:solidFill>
                  <a:srgbClr val="00B0F0"/>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wide-oriented liberal</a:t>
          </a:r>
          <a:r>
            <a:rPr lang="en-US" sz="1200" b="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you vehemently</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oppose </a:t>
          </a:r>
          <a:r>
            <a:rPr lang="en-US" sz="1200" b="0" baseline="0">
              <a:ln>
                <a:solidFill>
                  <a:srgbClr val="FF7171"/>
                </a:solidFill>
              </a:ln>
              <a:solidFill>
                <a:srgbClr val="FFD7DC"/>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conservatives</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you are perpetuating </a:t>
          </a:r>
          <a:r>
            <a:rPr lang="en-US" sz="1200" b="0" kern="1200" baseline="0">
              <a:ln>
                <a:solidFill>
                  <a:srgbClr val="FFFF00"/>
                </a:solidFill>
              </a:ln>
              <a:solidFill>
                <a:srgbClr val="FFFF00"/>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They are not your enemy. Unresolved needs are your true foe. They directly create </a:t>
          </a:r>
          <a:r>
            <a:rPr lang="en-US" sz="1200" b="0" baseline="0">
              <a:ln>
                <a:solidFill>
                  <a:srgbClr val="FFFF00"/>
                </a:solidFill>
              </a:ln>
              <a:solidFill>
                <a:srgbClr val="FFFF00"/>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200" b="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213360</xdr:colOff>
      <xdr:row>492</xdr:row>
      <xdr:rowOff>83820</xdr:rowOff>
    </xdr:from>
    <xdr:to>
      <xdr:col>13</xdr:col>
      <xdr:colOff>15240</xdr:colOff>
      <xdr:row>498</xdr:row>
      <xdr:rowOff>129540</xdr:rowOff>
    </xdr:to>
    <xdr:sp macro="" textlink="">
      <xdr:nvSpPr>
        <xdr:cNvPr id="1594" name="You believe whatever serves your needs.">
          <a:extLst>
            <a:ext uri="{FF2B5EF4-FFF2-40B4-BE49-F238E27FC236}">
              <a16:creationId xmlns:a16="http://schemas.microsoft.com/office/drawing/2014/main" id="{00000000-0008-0000-0200-00003A060000}"/>
            </a:ext>
          </a:extLst>
        </xdr:cNvPr>
        <xdr:cNvSpPr txBox="1">
          <a:spLocks/>
        </xdr:cNvSpPr>
      </xdr:nvSpPr>
      <xdr:spPr>
        <a:xfrm>
          <a:off x="3307080" y="90662760"/>
          <a:ext cx="2773680" cy="1097280"/>
        </a:xfrm>
        <a:prstGeom prst="rect">
          <a:avLst/>
        </a:prstGeom>
        <a:solidFill>
          <a:srgbClr val="660066">
            <a:alpha val="60000"/>
          </a:srgbClr>
        </a:solidFill>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buNone/>
          </a:pPr>
          <a:r>
            <a:rPr lang="en-US" sz="1200" b="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If you are a </a:t>
          </a:r>
          <a:r>
            <a:rPr lang="en-US" sz="1200" b="0">
              <a:ln>
                <a:solidFill>
                  <a:srgbClr val="FF7171"/>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deep-oriented conservative</a:t>
          </a:r>
          <a:r>
            <a:rPr lang="en-US" sz="1200" b="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you vehemently</a:t>
          </a:r>
          <a:r>
            <a:rPr lang="en-US" sz="1200" b="0" baseline="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oppose </a:t>
          </a:r>
          <a:r>
            <a:rPr lang="en-US" sz="1200" b="0" baseline="0">
              <a:ln>
                <a:solidFill>
                  <a:srgbClr val="00B0F0"/>
                </a:solidFill>
              </a:ln>
              <a:solidFill>
                <a:schemeClr val="accent5">
                  <a:lumMod val="20000"/>
                  <a:lumOff val="80000"/>
                </a:schemeClr>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liberals</a:t>
          </a:r>
          <a:r>
            <a:rPr lang="en-US" sz="1200" b="0" baseline="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you are perpetuating </a:t>
          </a:r>
          <a:r>
            <a:rPr lang="en-US" sz="1200" b="0" kern="1200">
              <a:ln>
                <a:solidFill>
                  <a:srgbClr val="FFFF00"/>
                </a:solidFill>
              </a:ln>
              <a:solidFill>
                <a:srgbClr val="FFFF00"/>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kern="120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They are not your enemy. Unresolved needs are your true foe. They directly create your </a:t>
          </a:r>
          <a:r>
            <a:rPr lang="en-US" sz="1200" b="0" kern="1200">
              <a:ln>
                <a:solidFill>
                  <a:srgbClr val="FFFF00"/>
                </a:solidFill>
              </a:ln>
              <a:solidFill>
                <a:srgbClr val="FFFF00"/>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kern="120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0</xdr:col>
      <xdr:colOff>22860</xdr:colOff>
      <xdr:row>640</xdr:row>
      <xdr:rowOff>7620</xdr:rowOff>
    </xdr:from>
    <xdr:to>
      <xdr:col>13</xdr:col>
      <xdr:colOff>68580</xdr:colOff>
      <xdr:row>645</xdr:row>
      <xdr:rowOff>29633</xdr:rowOff>
    </xdr:to>
    <xdr:sp macro="" textlink="">
      <xdr:nvSpPr>
        <xdr:cNvPr id="1604" name="TextBox 1603">
          <a:extLst>
            <a:ext uri="{FF2B5EF4-FFF2-40B4-BE49-F238E27FC236}">
              <a16:creationId xmlns:a16="http://schemas.microsoft.com/office/drawing/2014/main" id="{00000000-0008-0000-0200-000044060000}"/>
            </a:ext>
          </a:extLst>
        </xdr:cNvPr>
        <xdr:cNvSpPr txBox="1"/>
      </xdr:nvSpPr>
      <xdr:spPr>
        <a:xfrm>
          <a:off x="22860" y="125981460"/>
          <a:ext cx="6111240" cy="8983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00">
              <a:latin typeface="Tahoma" panose="020B0604030504040204" pitchFamily="34" charset="0"/>
              <a:ea typeface="Tahoma" panose="020B0604030504040204" pitchFamily="34" charset="0"/>
              <a:cs typeface="Tahoma" panose="020B0604030504040204" pitchFamily="34" charset="0"/>
            </a:rPr>
            <a:t>The visible</a:t>
          </a:r>
          <a:r>
            <a:rPr lang="en-US" sz="1100" baseline="0">
              <a:latin typeface="Tahoma" panose="020B0604030504040204" pitchFamily="34" charset="0"/>
              <a:ea typeface="Tahoma" panose="020B0604030504040204" pitchFamily="34" charset="0"/>
              <a:cs typeface="Tahoma" panose="020B0604030504040204" pitchFamily="34" charset="0"/>
            </a:rPr>
            <a:t> </a:t>
          </a:r>
          <a:r>
            <a:rPr lang="en-US" sz="1100">
              <a:latin typeface="Tahoma" panose="020B0604030504040204" pitchFamily="34" charset="0"/>
              <a:ea typeface="Tahoma" panose="020B0604030504040204" pitchFamily="34" charset="0"/>
              <a:cs typeface="Tahoma" panose="020B0604030504040204" pitchFamily="34" charset="0"/>
            </a:rPr>
            <a:t>political spectrum expresses</a:t>
          </a:r>
          <a:r>
            <a:rPr lang="en-US" sz="1100" baseline="0">
              <a:latin typeface="Tahoma" panose="020B0604030504040204" pitchFamily="34" charset="0"/>
              <a:ea typeface="Tahoma" panose="020B0604030504040204" pitchFamily="34" charset="0"/>
              <a:cs typeface="Tahoma" panose="020B0604030504040204" pitchFamily="34" charset="0"/>
            </a:rPr>
            <a:t> an invisible </a:t>
          </a:r>
          <a:r>
            <a:rPr lang="en-US" sz="1100" b="0" i="1" baseline="0">
              <a:latin typeface="Tahoma" panose="020B0604030504040204" pitchFamily="34" charset="0"/>
              <a:ea typeface="Tahoma" panose="020B0604030504040204" pitchFamily="34" charset="0"/>
              <a:cs typeface="Tahoma" panose="020B0604030504040204" pitchFamily="34" charset="0"/>
            </a:rPr>
            <a:t>psychosocial orientation continuum</a:t>
          </a:r>
          <a:r>
            <a:rPr lang="en-US" sz="1100" baseline="0">
              <a:latin typeface="Tahoma" panose="020B0604030504040204" pitchFamily="34" charset="0"/>
              <a:ea typeface="Tahoma" panose="020B0604030504040204" pitchFamily="34" charset="0"/>
              <a:cs typeface="Tahoma" panose="020B0604030504040204" pitchFamily="34" charset="0"/>
            </a:rPr>
            <a:t>. </a:t>
          </a:r>
          <a:endParaRPr lang="en-US" sz="1100">
            <a:latin typeface="Tahoma" panose="020B0604030504040204" pitchFamily="34" charset="0"/>
            <a:ea typeface="Tahoma" panose="020B0604030504040204" pitchFamily="34" charset="0"/>
            <a:cs typeface="Tahoma" panose="020B0604030504040204" pitchFamily="34" charset="0"/>
          </a:endParaRPr>
        </a:p>
        <a:p>
          <a:pPr algn="l"/>
          <a:r>
            <a:rPr lang="en-US" sz="1100">
              <a:latin typeface="Tahoma" panose="020B0604030504040204" pitchFamily="34" charset="0"/>
              <a:ea typeface="Tahoma" panose="020B0604030504040204" pitchFamily="34" charset="0"/>
              <a:cs typeface="Tahoma" panose="020B0604030504040204" pitchFamily="34" charset="0"/>
            </a:rPr>
            <a:t>The </a:t>
          </a:r>
          <a:r>
            <a:rPr lang="en-US" sz="1100" i="1">
              <a:latin typeface="Tahoma" panose="020B0604030504040204" pitchFamily="34" charset="0"/>
              <a:ea typeface="Tahoma" panose="020B0604030504040204" pitchFamily="34" charset="0"/>
              <a:cs typeface="Tahoma" panose="020B0604030504040204" pitchFamily="34" charset="0"/>
            </a:rPr>
            <a:t>less</a:t>
          </a:r>
          <a:r>
            <a:rPr lang="en-US" sz="1100">
              <a:latin typeface="Tahoma" panose="020B0604030504040204" pitchFamily="34" charset="0"/>
              <a:ea typeface="Tahoma" panose="020B0604030504040204" pitchFamily="34" charset="0"/>
              <a:cs typeface="Tahoma" panose="020B0604030504040204" pitchFamily="34" charset="0"/>
            </a:rPr>
            <a:t> your </a:t>
          </a:r>
          <a:r>
            <a:rPr lang="en-US" sz="1100">
              <a:ln>
                <a:solidFill>
                  <a:srgbClr val="7030A0"/>
                </a:solidFill>
              </a:ln>
              <a:solidFill>
                <a:srgbClr val="CC66FF"/>
              </a:solidFill>
              <a:latin typeface="Tahoma" panose="020B0604030504040204" pitchFamily="34" charset="0"/>
              <a:ea typeface="Tahoma" panose="020B0604030504040204" pitchFamily="34" charset="0"/>
              <a:cs typeface="Tahoma" panose="020B0604030504040204" pitchFamily="34" charset="0"/>
            </a:rPr>
            <a:t>social-needs</a:t>
          </a:r>
          <a:r>
            <a:rPr lang="en-US" sz="1100">
              <a:latin typeface="Tahoma" panose="020B0604030504040204" pitchFamily="34" charset="0"/>
              <a:ea typeface="Tahoma" panose="020B0604030504040204" pitchFamily="34" charset="0"/>
              <a:cs typeface="Tahoma" panose="020B0604030504040204" pitchFamily="34" charset="0"/>
            </a:rPr>
            <a:t> resolve in your current social situation, the further </a:t>
          </a:r>
          <a:r>
            <a:rPr lang="en-US" sz="1100">
              <a:ln>
                <a:solidFill>
                  <a:srgbClr val="0070C0"/>
                </a:solidFill>
              </a:ln>
              <a:solidFill>
                <a:srgbClr val="00B0F0"/>
              </a:solidFill>
              <a:latin typeface="Tahoma" panose="020B0604030504040204" pitchFamily="34" charset="0"/>
              <a:ea typeface="Tahoma" panose="020B0604030504040204" pitchFamily="34" charset="0"/>
              <a:cs typeface="Tahoma" panose="020B0604030504040204" pitchFamily="34" charset="0"/>
            </a:rPr>
            <a:t>leftward</a:t>
          </a:r>
          <a:r>
            <a:rPr lang="en-US" sz="1100">
              <a:latin typeface="Tahoma" panose="020B0604030504040204" pitchFamily="34" charset="0"/>
              <a:ea typeface="Tahoma" panose="020B0604030504040204" pitchFamily="34" charset="0"/>
              <a:cs typeface="Tahoma" panose="020B0604030504040204" pitchFamily="34" charset="0"/>
            </a:rPr>
            <a:t> you </a:t>
          </a:r>
          <a:r>
            <a:rPr lang="en-US" sz="1100" spc="-10">
              <a:latin typeface="Tahoma" panose="020B0604030504040204" pitchFamily="34" charset="0"/>
              <a:ea typeface="Tahoma" panose="020B0604030504040204" pitchFamily="34" charset="0"/>
              <a:cs typeface="Tahoma" panose="020B0604030504040204" pitchFamily="34" charset="0"/>
            </a:rPr>
            <a:t>find yourself.</a:t>
          </a:r>
          <a:r>
            <a:rPr lang="en-US" sz="1100" spc="-10" baseline="0">
              <a:latin typeface="Tahoma" panose="020B0604030504040204" pitchFamily="34" charset="0"/>
              <a:ea typeface="Tahoma" panose="020B0604030504040204" pitchFamily="34" charset="0"/>
              <a:cs typeface="Tahoma" panose="020B0604030504040204" pitchFamily="34" charset="0"/>
            </a:rPr>
            <a:t> The </a:t>
          </a:r>
          <a:r>
            <a:rPr lang="en-US" sz="1100" i="1" spc="-10" baseline="0">
              <a:latin typeface="Tahoma" panose="020B0604030504040204" pitchFamily="34" charset="0"/>
              <a:ea typeface="Tahoma" panose="020B0604030504040204" pitchFamily="34" charset="0"/>
              <a:cs typeface="Tahoma" panose="020B0604030504040204" pitchFamily="34" charset="0"/>
            </a:rPr>
            <a:t>more</a:t>
          </a:r>
          <a:r>
            <a:rPr lang="en-US" sz="1100" spc="-10" baseline="0">
              <a:latin typeface="Tahoma" panose="020B0604030504040204" pitchFamily="34" charset="0"/>
              <a:ea typeface="Tahoma" panose="020B0604030504040204" pitchFamily="34" charset="0"/>
              <a:cs typeface="Tahoma" panose="020B0604030504040204" pitchFamily="34" charset="0"/>
            </a:rPr>
            <a:t> provoked by your social situation to guard your </a:t>
          </a:r>
          <a:r>
            <a:rPr lang="en-US" sz="1100" spc="-10" baseline="0">
              <a:ln>
                <a:solidFill>
                  <a:srgbClr val="7030A0"/>
                </a:solidFill>
              </a:ln>
              <a:solidFill>
                <a:srgbClr val="CC66FF"/>
              </a:solidFill>
              <a:latin typeface="Tahoma" panose="020B0604030504040204" pitchFamily="34" charset="0"/>
              <a:ea typeface="Tahoma" panose="020B0604030504040204" pitchFamily="34" charset="0"/>
              <a:cs typeface="Tahoma" panose="020B0604030504040204" pitchFamily="34" charset="0"/>
            </a:rPr>
            <a:t>social-needs</a:t>
          </a:r>
          <a:r>
            <a:rPr lang="en-US" sz="1100" baseline="0">
              <a:latin typeface="Tahoma" panose="020B0604030504040204" pitchFamily="34" charset="0"/>
              <a:ea typeface="Tahoma" panose="020B0604030504040204" pitchFamily="34" charset="0"/>
              <a:cs typeface="Tahoma" panose="020B0604030504040204" pitchFamily="34" charset="0"/>
            </a:rPr>
            <a:t>, the further </a:t>
          </a:r>
          <a:r>
            <a:rPr lang="en-US" sz="1100" baseline="0">
              <a:ln>
                <a:solidFill>
                  <a:srgbClr val="C00000"/>
                </a:solidFill>
              </a:ln>
              <a:solidFill>
                <a:srgbClr val="FF0000"/>
              </a:solidFill>
              <a:latin typeface="Tahoma" panose="020B0604030504040204" pitchFamily="34" charset="0"/>
              <a:ea typeface="Tahoma" panose="020B0604030504040204" pitchFamily="34" charset="0"/>
              <a:cs typeface="Tahoma" panose="020B0604030504040204" pitchFamily="34" charset="0"/>
            </a:rPr>
            <a:t>rightward</a:t>
          </a:r>
          <a:r>
            <a:rPr lang="en-US" sz="1100" baseline="0">
              <a:latin typeface="Tahoma" panose="020B0604030504040204" pitchFamily="34" charset="0"/>
              <a:ea typeface="Tahoma" panose="020B0604030504040204" pitchFamily="34" charset="0"/>
              <a:cs typeface="Tahoma" panose="020B0604030504040204" pitchFamily="34" charset="0"/>
            </a:rPr>
            <a:t> you find yourself. Your needs drive the direction of your politics.</a:t>
          </a:r>
        </a:p>
      </xdr:txBody>
    </xdr:sp>
    <xdr:clientData/>
  </xdr:twoCellAnchor>
  <xdr:twoCellAnchor>
    <xdr:from>
      <xdr:col>0</xdr:col>
      <xdr:colOff>99060</xdr:colOff>
      <xdr:row>721</xdr:row>
      <xdr:rowOff>99061</xdr:rowOff>
    </xdr:from>
    <xdr:to>
      <xdr:col>12</xdr:col>
      <xdr:colOff>472440</xdr:colOff>
      <xdr:row>726</xdr:row>
      <xdr:rowOff>22861</xdr:rowOff>
    </xdr:to>
    <xdr:sp macro="" textlink="">
      <xdr:nvSpPr>
        <xdr:cNvPr id="1609" name="TextBox 1608">
          <a:extLst>
            <a:ext uri="{FF2B5EF4-FFF2-40B4-BE49-F238E27FC236}">
              <a16:creationId xmlns:a16="http://schemas.microsoft.com/office/drawing/2014/main" id="{00000000-0008-0000-0200-000049060000}"/>
            </a:ext>
          </a:extLst>
        </xdr:cNvPr>
        <xdr:cNvSpPr txBox="1"/>
      </xdr:nvSpPr>
      <xdr:spPr>
        <a:xfrm>
          <a:off x="99060" y="132222241"/>
          <a:ext cx="5943600" cy="800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spcAft>
              <a:spcPts val="600"/>
            </a:spcAft>
          </a:pPr>
          <a:r>
            <a:rPr lang="en-US" sz="2000" b="1">
              <a:latin typeface="Verdana" panose="020B0604030504040204" pitchFamily="34" charset="0"/>
              <a:ea typeface="Verdana" panose="020B0604030504040204" pitchFamily="34" charset="0"/>
            </a:rPr>
            <a:t>Hating elites does</a:t>
          </a:r>
          <a:r>
            <a:rPr lang="en-US" sz="2000" b="1" baseline="0">
              <a:latin typeface="Verdana" panose="020B0604030504040204" pitchFamily="34" charset="0"/>
              <a:ea typeface="Verdana" panose="020B0604030504040204" pitchFamily="34" charset="0"/>
            </a:rPr>
            <a:t> not really help</a:t>
          </a:r>
          <a:endParaRPr lang="en-US" sz="2000" b="1">
            <a:latin typeface="Verdana" panose="020B0604030504040204" pitchFamily="34" charset="0"/>
            <a:ea typeface="Verdana" panose="020B0604030504040204" pitchFamily="34" charset="0"/>
          </a:endParaRPr>
        </a:p>
        <a:p>
          <a:pPr algn="l"/>
          <a:r>
            <a:rPr lang="en-US" sz="1200" spc="20">
              <a:latin typeface="Tahoma" panose="020B0604030504040204" pitchFamily="34" charset="0"/>
              <a:ea typeface="Tahoma" panose="020B0604030504040204" pitchFamily="34" charset="0"/>
              <a:cs typeface="Tahoma" panose="020B0604030504040204" pitchFamily="34" charset="0"/>
            </a:rPr>
            <a:t>Let's be clear. Political elites</a:t>
          </a:r>
          <a:r>
            <a:rPr lang="en-US" sz="1200" spc="20" baseline="0">
              <a:latin typeface="Tahoma" panose="020B0604030504040204" pitchFamily="34" charset="0"/>
              <a:ea typeface="Tahoma" panose="020B0604030504040204" pitchFamily="34" charset="0"/>
              <a:cs typeface="Tahoma" panose="020B0604030504040204" pitchFamily="34" charset="0"/>
            </a:rPr>
            <a:t> as a lot are not innately flawed. They are a product of </a:t>
          </a:r>
          <a:r>
            <a:rPr lang="en-US" sz="1200" spc="10" baseline="0">
              <a:latin typeface="Tahoma" panose="020B0604030504040204" pitchFamily="34" charset="0"/>
              <a:ea typeface="Tahoma" panose="020B0604030504040204" pitchFamily="34" charset="0"/>
              <a:cs typeface="Tahoma" panose="020B0604030504040204" pitchFamily="34" charset="0"/>
            </a:rPr>
            <a:t>our</a:t>
          </a:r>
          <a:r>
            <a:rPr lang="en-US" sz="1200" spc="20" baseline="0">
              <a:latin typeface="Tahoma" panose="020B0604030504040204" pitchFamily="34" charset="0"/>
              <a:ea typeface="Tahoma" panose="020B0604030504040204" pitchFamily="34" charset="0"/>
              <a:cs typeface="Tahoma" panose="020B0604030504040204" pitchFamily="34" charset="0"/>
            </a:rPr>
            <a:t> </a:t>
          </a:r>
          <a:r>
            <a:rPr lang="en-US" sz="1200" spc="10" baseline="0">
              <a:latin typeface="Tahoma" panose="020B0604030504040204" pitchFamily="34" charset="0"/>
              <a:ea typeface="Tahoma" panose="020B0604030504040204" pitchFamily="34" charset="0"/>
              <a:cs typeface="Tahoma" panose="020B0604030504040204" pitchFamily="34" charset="0"/>
            </a:rPr>
            <a:t>large impersonal society. Such politics plays less of a role in small tribal societies. </a:t>
          </a:r>
        </a:p>
        <a:p>
          <a:pPr algn="l"/>
          <a:endParaRPr lang="en-US" sz="120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30480</xdr:colOff>
      <xdr:row>624</xdr:row>
      <xdr:rowOff>45720</xdr:rowOff>
    </xdr:from>
    <xdr:to>
      <xdr:col>12</xdr:col>
      <xdr:colOff>434340</xdr:colOff>
      <xdr:row>628</xdr:row>
      <xdr:rowOff>167640</xdr:rowOff>
    </xdr:to>
    <xdr:sp macro="" textlink="">
      <xdr:nvSpPr>
        <xdr:cNvPr id="1610" name="You believe whatever serves your needs.">
          <a:extLst>
            <a:ext uri="{FF2B5EF4-FFF2-40B4-BE49-F238E27FC236}">
              <a16:creationId xmlns:a16="http://schemas.microsoft.com/office/drawing/2014/main" id="{00000000-0008-0000-0200-00004A060000}"/>
            </a:ext>
          </a:extLst>
        </xdr:cNvPr>
        <xdr:cNvSpPr txBox="1">
          <a:spLocks/>
        </xdr:cNvSpPr>
      </xdr:nvSpPr>
      <xdr:spPr>
        <a:xfrm>
          <a:off x="152400" y="123093480"/>
          <a:ext cx="5852160" cy="8229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800" b="1"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Your </a:t>
          </a:r>
          <a:r>
            <a:rPr lang="en-US" sz="1800" b="1" spc="2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800" b="1"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is not like their </a:t>
          </a:r>
          <a:r>
            <a:rPr lang="en-US" sz="1800" b="1" spc="2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800" b="1"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So why expect</a:t>
          </a:r>
          <a:r>
            <a:rPr lang="en-US" sz="1800" b="1"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800" b="1" i="0" spc="70" baseline="0">
              <a:ln w="9525">
                <a:solidFill>
                  <a:srgbClr val="F0CDFF"/>
                </a:solidFill>
              </a:ln>
              <a:solidFill>
                <a:srgbClr val="FF99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one-size-fits-all politics</a:t>
          </a:r>
          <a:r>
            <a:rPr lang="en-US" sz="1800" b="1" i="1" spc="7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800" b="1"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to relieve your </a:t>
          </a:r>
          <a:r>
            <a:rPr lang="en-US" sz="1800" b="1" kern="1200" spc="2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800" b="1"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a:t>
          </a:r>
          <a:endParaRPr lang="en-US" sz="1800" b="1" kern="1200" spc="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37336</xdr:colOff>
      <xdr:row>628</xdr:row>
      <xdr:rowOff>97478</xdr:rowOff>
    </xdr:from>
    <xdr:to>
      <xdr:col>13</xdr:col>
      <xdr:colOff>64335</xdr:colOff>
      <xdr:row>640</xdr:row>
      <xdr:rowOff>0</xdr:rowOff>
    </xdr:to>
    <xdr:grpSp>
      <xdr:nvGrpSpPr>
        <xdr:cNvPr id="1611" name="Group 1610">
          <a:extLst>
            <a:ext uri="{FF2B5EF4-FFF2-40B4-BE49-F238E27FC236}">
              <a16:creationId xmlns:a16="http://schemas.microsoft.com/office/drawing/2014/main" id="{00000000-0008-0000-0200-00004B060000}"/>
            </a:ext>
          </a:extLst>
        </xdr:cNvPr>
        <xdr:cNvGrpSpPr/>
      </xdr:nvGrpSpPr>
      <xdr:grpSpPr>
        <a:xfrm>
          <a:off x="37336" y="124052018"/>
          <a:ext cx="6176339" cy="2005642"/>
          <a:chOff x="295784" y="107859518"/>
          <a:chExt cx="5607875" cy="2021867"/>
        </a:xfrm>
      </xdr:grpSpPr>
      <xdr:grpSp>
        <xdr:nvGrpSpPr>
          <xdr:cNvPr id="1612" name="Group 1611">
            <a:extLst>
              <a:ext uri="{FF2B5EF4-FFF2-40B4-BE49-F238E27FC236}">
                <a16:creationId xmlns:a16="http://schemas.microsoft.com/office/drawing/2014/main" id="{00000000-0008-0000-0200-00004C060000}"/>
              </a:ext>
            </a:extLst>
          </xdr:cNvPr>
          <xdr:cNvGrpSpPr>
            <a:grpSpLocks noChangeAspect="1"/>
          </xdr:cNvGrpSpPr>
        </xdr:nvGrpSpPr>
        <xdr:grpSpPr>
          <a:xfrm>
            <a:off x="3672553" y="107859518"/>
            <a:ext cx="790042" cy="1982459"/>
            <a:chOff x="14944724" y="104774999"/>
            <a:chExt cx="1371601" cy="3409948"/>
          </a:xfrm>
        </xdr:grpSpPr>
        <xdr:grpSp>
          <xdr:nvGrpSpPr>
            <xdr:cNvPr id="1799" name="Group 1798">
              <a:extLst>
                <a:ext uri="{FF2B5EF4-FFF2-40B4-BE49-F238E27FC236}">
                  <a16:creationId xmlns:a16="http://schemas.microsoft.com/office/drawing/2014/main" id="{00000000-0008-0000-0200-000007070000}"/>
                </a:ext>
              </a:extLst>
            </xdr:cNvPr>
            <xdr:cNvGrpSpPr/>
          </xdr:nvGrpSpPr>
          <xdr:grpSpPr>
            <a:xfrm>
              <a:off x="14944724" y="105441747"/>
              <a:ext cx="1053296" cy="2743200"/>
              <a:chOff x="14944724" y="105441747"/>
              <a:chExt cx="1053296" cy="2743200"/>
            </a:xfrm>
          </xdr:grpSpPr>
          <xdr:grpSp>
            <xdr:nvGrpSpPr>
              <xdr:cNvPr id="1801" name="Group 1800">
                <a:extLst>
                  <a:ext uri="{FF2B5EF4-FFF2-40B4-BE49-F238E27FC236}">
                    <a16:creationId xmlns:a16="http://schemas.microsoft.com/office/drawing/2014/main" id="{00000000-0008-0000-0200-00000907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806" name="Rectangle: Rounded Corners 1805">
                  <a:extLst>
                    <a:ext uri="{FF2B5EF4-FFF2-40B4-BE49-F238E27FC236}">
                      <a16:creationId xmlns:a16="http://schemas.microsoft.com/office/drawing/2014/main" id="{00000000-0008-0000-0200-00000E070000}"/>
                    </a:ext>
                  </a:extLst>
                </xdr:cNvPr>
                <xdr:cNvSpPr/>
              </xdr:nvSpPr>
              <xdr:spPr>
                <a:xfrm>
                  <a:off x="4819649"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07" name="Rectangle: Rounded Corners 1806">
                  <a:extLst>
                    <a:ext uri="{FF2B5EF4-FFF2-40B4-BE49-F238E27FC236}">
                      <a16:creationId xmlns:a16="http://schemas.microsoft.com/office/drawing/2014/main" id="{00000000-0008-0000-0200-00000F070000}"/>
                    </a:ext>
                  </a:extLst>
                </xdr:cNvPr>
                <xdr:cNvSpPr/>
              </xdr:nvSpPr>
              <xdr:spPr>
                <a:xfrm>
                  <a:off x="6962774"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08" name="Rectangle: Rounded Corners 1807">
                  <a:extLst>
                    <a:ext uri="{FF2B5EF4-FFF2-40B4-BE49-F238E27FC236}">
                      <a16:creationId xmlns:a16="http://schemas.microsoft.com/office/drawing/2014/main" id="{00000000-0008-0000-0200-000010070000}"/>
                    </a:ext>
                  </a:extLst>
                </xdr:cNvPr>
                <xdr:cNvSpPr/>
              </xdr:nvSpPr>
              <xdr:spPr>
                <a:xfrm rot="16200000">
                  <a:off x="5553075" y="105336972"/>
                  <a:ext cx="1133477" cy="2581278"/>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18" name="Rectangle: Rounded Corners 1817">
                  <a:extLst>
                    <a:ext uri="{FF2B5EF4-FFF2-40B4-BE49-F238E27FC236}">
                      <a16:creationId xmlns:a16="http://schemas.microsoft.com/office/drawing/2014/main" id="{00000000-0008-0000-0200-00001A070000}"/>
                    </a:ext>
                  </a:extLst>
                </xdr:cNvPr>
                <xdr:cNvSpPr/>
              </xdr:nvSpPr>
              <xdr:spPr>
                <a:xfrm rot="16200000">
                  <a:off x="5557838" y="104751184"/>
                  <a:ext cx="1133477" cy="1143003"/>
                </a:xfrm>
                <a:prstGeom prst="roundRect">
                  <a:avLst>
                    <a:gd name="adj" fmla="val 47917"/>
                  </a:avLst>
                </a:prstGeom>
                <a:solidFill>
                  <a:srgbClr val="FF99CC"/>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20" name="Rectangle: Rounded Corners 1819">
                  <a:extLst>
                    <a:ext uri="{FF2B5EF4-FFF2-40B4-BE49-F238E27FC236}">
                      <a16:creationId xmlns:a16="http://schemas.microsoft.com/office/drawing/2014/main" id="{00000000-0008-0000-0200-00001C070000}"/>
                    </a:ext>
                  </a:extLst>
                </xdr:cNvPr>
                <xdr:cNvSpPr/>
              </xdr:nvSpPr>
              <xdr:spPr>
                <a:xfrm rot="16200000">
                  <a:off x="5210177" y="107203872"/>
                  <a:ext cx="1828799" cy="1143003"/>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90" name="Rectangle: Rounded Corners 1889">
                  <a:extLst>
                    <a:ext uri="{FF2B5EF4-FFF2-40B4-BE49-F238E27FC236}">
                      <a16:creationId xmlns:a16="http://schemas.microsoft.com/office/drawing/2014/main" id="{00000000-0008-0000-0200-000062070000}"/>
                    </a:ext>
                  </a:extLst>
                </xdr:cNvPr>
                <xdr:cNvSpPr/>
              </xdr:nvSpPr>
              <xdr:spPr>
                <a:xfrm>
                  <a:off x="541972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91" name="Rectangle: Rounded Corners 1890">
                  <a:extLst>
                    <a:ext uri="{FF2B5EF4-FFF2-40B4-BE49-F238E27FC236}">
                      <a16:creationId xmlns:a16="http://schemas.microsoft.com/office/drawing/2014/main" id="{00000000-0008-0000-0200-000063070000}"/>
                    </a:ext>
                  </a:extLst>
                </xdr:cNvPr>
                <xdr:cNvSpPr/>
              </xdr:nvSpPr>
              <xdr:spPr>
                <a:xfrm>
                  <a:off x="620077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802" name="Group 1801">
                <a:extLst>
                  <a:ext uri="{FF2B5EF4-FFF2-40B4-BE49-F238E27FC236}">
                    <a16:creationId xmlns:a16="http://schemas.microsoft.com/office/drawing/2014/main" id="{00000000-0008-0000-0200-00000A070000}"/>
                  </a:ext>
                </a:extLst>
              </xdr:cNvPr>
              <xdr:cNvGrpSpPr/>
            </xdr:nvGrpSpPr>
            <xdr:grpSpPr>
              <a:xfrm>
                <a:off x="15001875" y="106064797"/>
                <a:ext cx="953589" cy="1109382"/>
                <a:chOff x="-11112" y="0"/>
                <a:chExt cx="1112519" cy="1371600"/>
              </a:xfrm>
            </xdr:grpSpPr>
            <xdr:sp macro="" textlink="">
              <xdr:nvSpPr>
                <xdr:cNvPr id="1803" name="Rectangle 1802">
                  <a:extLst>
                    <a:ext uri="{FF2B5EF4-FFF2-40B4-BE49-F238E27FC236}">
                      <a16:creationId xmlns:a16="http://schemas.microsoft.com/office/drawing/2014/main" id="{00000000-0008-0000-0200-00000B070000}"/>
                    </a:ext>
                  </a:extLst>
                </xdr:cNvPr>
                <xdr:cNvSpPr/>
              </xdr:nvSpPr>
              <xdr:spPr>
                <a:xfrm>
                  <a:off x="-11112" y="0"/>
                  <a:ext cx="457200" cy="1371600"/>
                </a:xfrm>
                <a:prstGeom prst="rect">
                  <a:avLst/>
                </a:prstGeom>
                <a:gradFill>
                  <a:gsLst>
                    <a:gs pos="0">
                      <a:schemeClr val="bg1">
                        <a:lumMod val="95000"/>
                      </a:schemeClr>
                    </a:gs>
                    <a:gs pos="44000">
                      <a:schemeClr val="bg1">
                        <a:lumMod val="95000"/>
                      </a:schemeClr>
                    </a:gs>
                    <a:gs pos="45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804" name="Rectangle 1803">
                  <a:extLst>
                    <a:ext uri="{FF2B5EF4-FFF2-40B4-BE49-F238E27FC236}">
                      <a16:creationId xmlns:a16="http://schemas.microsoft.com/office/drawing/2014/main" id="{00000000-0008-0000-0200-00000C070000}"/>
                    </a:ext>
                  </a:extLst>
                </xdr:cNvPr>
                <xdr:cNvSpPr/>
              </xdr:nvSpPr>
              <xdr:spPr>
                <a:xfrm>
                  <a:off x="644207" y="0"/>
                  <a:ext cx="457200" cy="1371600"/>
                </a:xfrm>
                <a:prstGeom prst="rect">
                  <a:avLst/>
                </a:prstGeom>
                <a:gradFill>
                  <a:gsLst>
                    <a:gs pos="0">
                      <a:schemeClr val="bg1">
                        <a:lumMod val="95000"/>
                      </a:schemeClr>
                    </a:gs>
                    <a:gs pos="35000">
                      <a:schemeClr val="bg1">
                        <a:lumMod val="95000"/>
                      </a:schemeClr>
                    </a:gs>
                    <a:gs pos="36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805" name="Straight Connector 1804">
                  <a:extLst>
                    <a:ext uri="{FF2B5EF4-FFF2-40B4-BE49-F238E27FC236}">
                      <a16:creationId xmlns:a16="http://schemas.microsoft.com/office/drawing/2014/main" id="{00000000-0008-0000-0200-00000D070000}"/>
                    </a:ext>
                  </a:extLst>
                </xdr:cNvPr>
                <xdr:cNvCxnSpPr/>
              </xdr:nvCxnSpPr>
              <xdr:spPr>
                <a:xfrm rot="600000" flipV="1">
                  <a:off x="446043" y="515148"/>
                  <a:ext cx="203729" cy="129739"/>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800" name="Thought Bubble: Cloud 1799">
              <a:extLst>
                <a:ext uri="{FF2B5EF4-FFF2-40B4-BE49-F238E27FC236}">
                  <a16:creationId xmlns:a16="http://schemas.microsoft.com/office/drawing/2014/main" id="{00000000-0008-0000-0200-000008070000}"/>
                </a:ext>
              </a:extLst>
            </xdr:cNvPr>
            <xdr:cNvSpPr/>
          </xdr:nvSpPr>
          <xdr:spPr>
            <a:xfrm>
              <a:off x="15144750"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3" name="Group 1612">
            <a:extLst>
              <a:ext uri="{FF2B5EF4-FFF2-40B4-BE49-F238E27FC236}">
                <a16:creationId xmlns:a16="http://schemas.microsoft.com/office/drawing/2014/main" id="{00000000-0008-0000-0200-00004D060000}"/>
              </a:ext>
            </a:extLst>
          </xdr:cNvPr>
          <xdr:cNvGrpSpPr>
            <a:grpSpLocks noChangeAspect="1"/>
          </xdr:cNvGrpSpPr>
        </xdr:nvGrpSpPr>
        <xdr:grpSpPr>
          <a:xfrm>
            <a:off x="5228833" y="107882313"/>
            <a:ext cx="674826" cy="1982459"/>
            <a:chOff x="14921419" y="104774999"/>
            <a:chExt cx="1171575" cy="3409948"/>
          </a:xfrm>
        </xdr:grpSpPr>
        <xdr:grpSp>
          <xdr:nvGrpSpPr>
            <xdr:cNvPr id="1785" name="Group 1784">
              <a:extLst>
                <a:ext uri="{FF2B5EF4-FFF2-40B4-BE49-F238E27FC236}">
                  <a16:creationId xmlns:a16="http://schemas.microsoft.com/office/drawing/2014/main" id="{00000000-0008-0000-0200-0000F9060000}"/>
                </a:ext>
              </a:extLst>
            </xdr:cNvPr>
            <xdr:cNvGrpSpPr/>
          </xdr:nvGrpSpPr>
          <xdr:grpSpPr>
            <a:xfrm>
              <a:off x="14944724" y="105441747"/>
              <a:ext cx="1053296" cy="2743200"/>
              <a:chOff x="14944724" y="105441747"/>
              <a:chExt cx="1053296" cy="2743200"/>
            </a:xfrm>
          </xdr:grpSpPr>
          <xdr:grpSp>
            <xdr:nvGrpSpPr>
              <xdr:cNvPr id="1787" name="Group 1786">
                <a:extLst>
                  <a:ext uri="{FF2B5EF4-FFF2-40B4-BE49-F238E27FC236}">
                    <a16:creationId xmlns:a16="http://schemas.microsoft.com/office/drawing/2014/main" id="{00000000-0008-0000-0200-0000FB06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792" name="Rectangle: Rounded Corners 1791">
                  <a:extLst>
                    <a:ext uri="{FF2B5EF4-FFF2-40B4-BE49-F238E27FC236}">
                      <a16:creationId xmlns:a16="http://schemas.microsoft.com/office/drawing/2014/main" id="{00000000-0008-0000-0200-000000070000}"/>
                    </a:ext>
                  </a:extLst>
                </xdr:cNvPr>
                <xdr:cNvSpPr/>
              </xdr:nvSpPr>
              <xdr:spPr>
                <a:xfrm>
                  <a:off x="4819649"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3" name="Rectangle: Rounded Corners 1792">
                  <a:extLst>
                    <a:ext uri="{FF2B5EF4-FFF2-40B4-BE49-F238E27FC236}">
                      <a16:creationId xmlns:a16="http://schemas.microsoft.com/office/drawing/2014/main" id="{00000000-0008-0000-0200-000001070000}"/>
                    </a:ext>
                  </a:extLst>
                </xdr:cNvPr>
                <xdr:cNvSpPr/>
              </xdr:nvSpPr>
              <xdr:spPr>
                <a:xfrm>
                  <a:off x="6962774"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4" name="Rectangle: Rounded Corners 1793">
                  <a:extLst>
                    <a:ext uri="{FF2B5EF4-FFF2-40B4-BE49-F238E27FC236}">
                      <a16:creationId xmlns:a16="http://schemas.microsoft.com/office/drawing/2014/main" id="{00000000-0008-0000-0200-000002070000}"/>
                    </a:ext>
                  </a:extLst>
                </xdr:cNvPr>
                <xdr:cNvSpPr/>
              </xdr:nvSpPr>
              <xdr:spPr>
                <a:xfrm rot="16200000">
                  <a:off x="5553075" y="105336972"/>
                  <a:ext cx="1133477" cy="2581278"/>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5" name="Rectangle: Rounded Corners 1794">
                  <a:extLst>
                    <a:ext uri="{FF2B5EF4-FFF2-40B4-BE49-F238E27FC236}">
                      <a16:creationId xmlns:a16="http://schemas.microsoft.com/office/drawing/2014/main" id="{00000000-0008-0000-0200-000003070000}"/>
                    </a:ext>
                  </a:extLst>
                </xdr:cNvPr>
                <xdr:cNvSpPr/>
              </xdr:nvSpPr>
              <xdr:spPr>
                <a:xfrm rot="16200000">
                  <a:off x="5557838" y="104751184"/>
                  <a:ext cx="1133477" cy="1143003"/>
                </a:xfrm>
                <a:prstGeom prst="roundRect">
                  <a:avLst>
                    <a:gd name="adj" fmla="val 47917"/>
                  </a:avLst>
                </a:prstGeom>
                <a:solidFill>
                  <a:srgbClr val="FF000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6" name="Rectangle: Rounded Corners 1795">
                  <a:extLst>
                    <a:ext uri="{FF2B5EF4-FFF2-40B4-BE49-F238E27FC236}">
                      <a16:creationId xmlns:a16="http://schemas.microsoft.com/office/drawing/2014/main" id="{00000000-0008-0000-0200-000004070000}"/>
                    </a:ext>
                  </a:extLst>
                </xdr:cNvPr>
                <xdr:cNvSpPr/>
              </xdr:nvSpPr>
              <xdr:spPr>
                <a:xfrm rot="16200000">
                  <a:off x="5210177" y="107203872"/>
                  <a:ext cx="1828799" cy="1143003"/>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7" name="Rectangle: Rounded Corners 1796">
                  <a:extLst>
                    <a:ext uri="{FF2B5EF4-FFF2-40B4-BE49-F238E27FC236}">
                      <a16:creationId xmlns:a16="http://schemas.microsoft.com/office/drawing/2014/main" id="{00000000-0008-0000-0200-000005070000}"/>
                    </a:ext>
                  </a:extLst>
                </xdr:cNvPr>
                <xdr:cNvSpPr/>
              </xdr:nvSpPr>
              <xdr:spPr>
                <a:xfrm>
                  <a:off x="541972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8" name="Rectangle: Rounded Corners 1797">
                  <a:extLst>
                    <a:ext uri="{FF2B5EF4-FFF2-40B4-BE49-F238E27FC236}">
                      <a16:creationId xmlns:a16="http://schemas.microsoft.com/office/drawing/2014/main" id="{00000000-0008-0000-0200-000006070000}"/>
                    </a:ext>
                  </a:extLst>
                </xdr:cNvPr>
                <xdr:cNvSpPr/>
              </xdr:nvSpPr>
              <xdr:spPr>
                <a:xfrm>
                  <a:off x="620077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788" name="Group 1787">
                <a:extLst>
                  <a:ext uri="{FF2B5EF4-FFF2-40B4-BE49-F238E27FC236}">
                    <a16:creationId xmlns:a16="http://schemas.microsoft.com/office/drawing/2014/main" id="{00000000-0008-0000-0200-0000FC060000}"/>
                  </a:ext>
                </a:extLst>
              </xdr:cNvPr>
              <xdr:cNvGrpSpPr/>
            </xdr:nvGrpSpPr>
            <xdr:grpSpPr>
              <a:xfrm>
                <a:off x="15001875" y="106064797"/>
                <a:ext cx="953589" cy="1109382"/>
                <a:chOff x="-11112" y="0"/>
                <a:chExt cx="1112519" cy="1371600"/>
              </a:xfrm>
            </xdr:grpSpPr>
            <xdr:sp macro="" textlink="">
              <xdr:nvSpPr>
                <xdr:cNvPr id="1789" name="Rectangle 1788">
                  <a:extLst>
                    <a:ext uri="{FF2B5EF4-FFF2-40B4-BE49-F238E27FC236}">
                      <a16:creationId xmlns:a16="http://schemas.microsoft.com/office/drawing/2014/main" id="{00000000-0008-0000-0200-0000FD060000}"/>
                    </a:ext>
                  </a:extLst>
                </xdr:cNvPr>
                <xdr:cNvSpPr/>
              </xdr:nvSpPr>
              <xdr:spPr>
                <a:xfrm>
                  <a:off x="-11112" y="0"/>
                  <a:ext cx="457200" cy="1371600"/>
                </a:xfrm>
                <a:prstGeom prst="rect">
                  <a:avLst/>
                </a:prstGeom>
                <a:gradFill>
                  <a:gsLst>
                    <a:gs pos="0">
                      <a:schemeClr val="bg1">
                        <a:lumMod val="95000"/>
                      </a:schemeClr>
                    </a:gs>
                    <a:gs pos="89000">
                      <a:schemeClr val="bg1">
                        <a:lumMod val="95000"/>
                      </a:schemeClr>
                    </a:gs>
                    <a:gs pos="9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790" name="Rectangle 1789">
                  <a:extLst>
                    <a:ext uri="{FF2B5EF4-FFF2-40B4-BE49-F238E27FC236}">
                      <a16:creationId xmlns:a16="http://schemas.microsoft.com/office/drawing/2014/main" id="{00000000-0008-0000-0200-0000FE06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791" name="Straight Connector 1790">
                  <a:extLst>
                    <a:ext uri="{FF2B5EF4-FFF2-40B4-BE49-F238E27FC236}">
                      <a16:creationId xmlns:a16="http://schemas.microsoft.com/office/drawing/2014/main" id="{00000000-0008-0000-0200-0000FF060000}"/>
                    </a:ext>
                  </a:extLst>
                </xdr:cNvPr>
                <xdr:cNvCxnSpPr/>
              </xdr:nvCxnSpPr>
              <xdr:spPr>
                <a:xfrm rot="20700000" flipV="1">
                  <a:off x="422466" y="1008713"/>
                  <a:ext cx="240771" cy="194458"/>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786" name="Thought Bubble: Cloud 1785">
              <a:extLst>
                <a:ext uri="{FF2B5EF4-FFF2-40B4-BE49-F238E27FC236}">
                  <a16:creationId xmlns:a16="http://schemas.microsoft.com/office/drawing/2014/main" id="{00000000-0008-0000-0200-0000FA060000}"/>
                </a:ext>
              </a:extLst>
            </xdr:cNvPr>
            <xdr:cNvSpPr/>
          </xdr:nvSpPr>
          <xdr:spPr>
            <a:xfrm>
              <a:off x="14921419"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4" name="Group 1613">
            <a:extLst>
              <a:ext uri="{FF2B5EF4-FFF2-40B4-BE49-F238E27FC236}">
                <a16:creationId xmlns:a16="http://schemas.microsoft.com/office/drawing/2014/main" id="{00000000-0008-0000-0200-00004E060000}"/>
              </a:ext>
            </a:extLst>
          </xdr:cNvPr>
          <xdr:cNvGrpSpPr>
            <a:grpSpLocks noChangeAspect="1"/>
          </xdr:cNvGrpSpPr>
        </xdr:nvGrpSpPr>
        <xdr:grpSpPr>
          <a:xfrm>
            <a:off x="1817843" y="107859616"/>
            <a:ext cx="753916" cy="1968592"/>
            <a:chOff x="13365162" y="104827427"/>
            <a:chExt cx="1308883" cy="3386095"/>
          </a:xfrm>
        </xdr:grpSpPr>
        <xdr:grpSp>
          <xdr:nvGrpSpPr>
            <xdr:cNvPr id="1680" name="Group 1679">
              <a:extLst>
                <a:ext uri="{FF2B5EF4-FFF2-40B4-BE49-F238E27FC236}">
                  <a16:creationId xmlns:a16="http://schemas.microsoft.com/office/drawing/2014/main" id="{00000000-0008-0000-0200-000090060000}"/>
                </a:ext>
              </a:extLst>
            </xdr:cNvPr>
            <xdr:cNvGrpSpPr/>
          </xdr:nvGrpSpPr>
          <xdr:grpSpPr>
            <a:xfrm>
              <a:off x="13620749" y="105470322"/>
              <a:ext cx="1053296" cy="2743200"/>
              <a:chOff x="13620749" y="105470322"/>
              <a:chExt cx="1053296" cy="2743200"/>
            </a:xfrm>
          </xdr:grpSpPr>
          <xdr:grpSp>
            <xdr:nvGrpSpPr>
              <xdr:cNvPr id="1682" name="Group 1681">
                <a:extLst>
                  <a:ext uri="{FF2B5EF4-FFF2-40B4-BE49-F238E27FC236}">
                    <a16:creationId xmlns:a16="http://schemas.microsoft.com/office/drawing/2014/main" id="{00000000-0008-0000-0200-000092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778" name="Rectangle: Rounded Corners 1777">
                  <a:extLst>
                    <a:ext uri="{FF2B5EF4-FFF2-40B4-BE49-F238E27FC236}">
                      <a16:creationId xmlns:a16="http://schemas.microsoft.com/office/drawing/2014/main" id="{00000000-0008-0000-0200-0000F2060000}"/>
                    </a:ext>
                  </a:extLst>
                </xdr:cNvPr>
                <xdr:cNvSpPr/>
              </xdr:nvSpPr>
              <xdr:spPr>
                <a:xfrm>
                  <a:off x="4819649"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79" name="Rectangle: Rounded Corners 1778">
                  <a:extLst>
                    <a:ext uri="{FF2B5EF4-FFF2-40B4-BE49-F238E27FC236}">
                      <a16:creationId xmlns:a16="http://schemas.microsoft.com/office/drawing/2014/main" id="{00000000-0008-0000-0200-0000F3060000}"/>
                    </a:ext>
                  </a:extLst>
                </xdr:cNvPr>
                <xdr:cNvSpPr/>
              </xdr:nvSpPr>
              <xdr:spPr>
                <a:xfrm>
                  <a:off x="6962774"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0" name="Rectangle: Rounded Corners 1779">
                  <a:extLst>
                    <a:ext uri="{FF2B5EF4-FFF2-40B4-BE49-F238E27FC236}">
                      <a16:creationId xmlns:a16="http://schemas.microsoft.com/office/drawing/2014/main" id="{00000000-0008-0000-0200-0000F4060000}"/>
                    </a:ext>
                  </a:extLst>
                </xdr:cNvPr>
                <xdr:cNvSpPr/>
              </xdr:nvSpPr>
              <xdr:spPr>
                <a:xfrm rot="16200000">
                  <a:off x="5553075" y="105336972"/>
                  <a:ext cx="1133477" cy="2581278"/>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1" name="Rectangle: Rounded Corners 1780">
                  <a:extLst>
                    <a:ext uri="{FF2B5EF4-FFF2-40B4-BE49-F238E27FC236}">
                      <a16:creationId xmlns:a16="http://schemas.microsoft.com/office/drawing/2014/main" id="{00000000-0008-0000-0200-0000F5060000}"/>
                    </a:ext>
                  </a:extLst>
                </xdr:cNvPr>
                <xdr:cNvSpPr/>
              </xdr:nvSpPr>
              <xdr:spPr>
                <a:xfrm rot="16200000">
                  <a:off x="5557838" y="104751184"/>
                  <a:ext cx="1133477" cy="1143003"/>
                </a:xfrm>
                <a:prstGeom prst="roundRect">
                  <a:avLst>
                    <a:gd name="adj" fmla="val 47917"/>
                  </a:avLst>
                </a:prstGeom>
                <a:solidFill>
                  <a:srgbClr val="CCCCFF"/>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2" name="Rectangle: Rounded Corners 1781">
                  <a:extLst>
                    <a:ext uri="{FF2B5EF4-FFF2-40B4-BE49-F238E27FC236}">
                      <a16:creationId xmlns:a16="http://schemas.microsoft.com/office/drawing/2014/main" id="{00000000-0008-0000-0200-0000F6060000}"/>
                    </a:ext>
                  </a:extLst>
                </xdr:cNvPr>
                <xdr:cNvSpPr/>
              </xdr:nvSpPr>
              <xdr:spPr>
                <a:xfrm rot="16200000">
                  <a:off x="5210177" y="107203872"/>
                  <a:ext cx="1828799" cy="1143003"/>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3" name="Rectangle: Rounded Corners 1782">
                  <a:extLst>
                    <a:ext uri="{FF2B5EF4-FFF2-40B4-BE49-F238E27FC236}">
                      <a16:creationId xmlns:a16="http://schemas.microsoft.com/office/drawing/2014/main" id="{00000000-0008-0000-0200-0000F7060000}"/>
                    </a:ext>
                  </a:extLst>
                </xdr:cNvPr>
                <xdr:cNvSpPr/>
              </xdr:nvSpPr>
              <xdr:spPr>
                <a:xfrm>
                  <a:off x="541972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4" name="Rectangle: Rounded Corners 1783">
                  <a:extLst>
                    <a:ext uri="{FF2B5EF4-FFF2-40B4-BE49-F238E27FC236}">
                      <a16:creationId xmlns:a16="http://schemas.microsoft.com/office/drawing/2014/main" id="{00000000-0008-0000-0200-0000F8060000}"/>
                    </a:ext>
                  </a:extLst>
                </xdr:cNvPr>
                <xdr:cNvSpPr/>
              </xdr:nvSpPr>
              <xdr:spPr>
                <a:xfrm>
                  <a:off x="620077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83" name="Group 1682">
                <a:extLst>
                  <a:ext uri="{FF2B5EF4-FFF2-40B4-BE49-F238E27FC236}">
                    <a16:creationId xmlns:a16="http://schemas.microsoft.com/office/drawing/2014/main" id="{00000000-0008-0000-0200-000093060000}"/>
                  </a:ext>
                </a:extLst>
              </xdr:cNvPr>
              <xdr:cNvGrpSpPr/>
            </xdr:nvGrpSpPr>
            <xdr:grpSpPr>
              <a:xfrm>
                <a:off x="13679805" y="106093372"/>
                <a:ext cx="953589" cy="1109382"/>
                <a:chOff x="0" y="0"/>
                <a:chExt cx="1112520" cy="1371600"/>
              </a:xfrm>
            </xdr:grpSpPr>
            <xdr:sp macro="" textlink="">
              <xdr:nvSpPr>
                <xdr:cNvPr id="1684" name="Rectangle 1683">
                  <a:extLst>
                    <a:ext uri="{FF2B5EF4-FFF2-40B4-BE49-F238E27FC236}">
                      <a16:creationId xmlns:a16="http://schemas.microsoft.com/office/drawing/2014/main" id="{00000000-0008-0000-0200-000094060000}"/>
                    </a:ext>
                  </a:extLst>
                </xdr:cNvPr>
                <xdr:cNvSpPr/>
              </xdr:nvSpPr>
              <xdr:spPr>
                <a:xfrm>
                  <a:off x="0" y="0"/>
                  <a:ext cx="457200" cy="1371600"/>
                </a:xfrm>
                <a:prstGeom prst="rect">
                  <a:avLst/>
                </a:prstGeom>
                <a:gradFill>
                  <a:gsLst>
                    <a:gs pos="0">
                      <a:schemeClr val="bg1">
                        <a:lumMod val="95000"/>
                      </a:schemeClr>
                    </a:gs>
                    <a:gs pos="35000">
                      <a:schemeClr val="bg1">
                        <a:lumMod val="95000"/>
                      </a:schemeClr>
                    </a:gs>
                    <a:gs pos="37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85" name="Rectangle 1684">
                  <a:extLst>
                    <a:ext uri="{FF2B5EF4-FFF2-40B4-BE49-F238E27FC236}">
                      <a16:creationId xmlns:a16="http://schemas.microsoft.com/office/drawing/2014/main" id="{00000000-0008-0000-0200-000095060000}"/>
                    </a:ext>
                  </a:extLst>
                </xdr:cNvPr>
                <xdr:cNvSpPr/>
              </xdr:nvSpPr>
              <xdr:spPr>
                <a:xfrm>
                  <a:off x="655320" y="0"/>
                  <a:ext cx="457200" cy="1371600"/>
                </a:xfrm>
                <a:prstGeom prst="rect">
                  <a:avLst/>
                </a:prstGeom>
                <a:gradFill>
                  <a:gsLst>
                    <a:gs pos="0">
                      <a:schemeClr val="bg1">
                        <a:lumMod val="95000"/>
                      </a:schemeClr>
                    </a:gs>
                    <a:gs pos="44000">
                      <a:schemeClr val="bg1">
                        <a:lumMod val="95000"/>
                      </a:schemeClr>
                    </a:gs>
                    <a:gs pos="45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777" name="Straight Connector 1776">
                  <a:extLst>
                    <a:ext uri="{FF2B5EF4-FFF2-40B4-BE49-F238E27FC236}">
                      <a16:creationId xmlns:a16="http://schemas.microsoft.com/office/drawing/2014/main" id="{00000000-0008-0000-0200-0000F1060000}"/>
                    </a:ext>
                  </a:extLst>
                </xdr:cNvPr>
                <xdr:cNvCxnSpPr/>
              </xdr:nvCxnSpPr>
              <xdr:spPr>
                <a:xfrm rot="21000000" flipH="1" flipV="1">
                  <a:off x="457297" y="501127"/>
                  <a:ext cx="185208" cy="129741"/>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81" name="Thought Bubble: Cloud 1680">
              <a:extLst>
                <a:ext uri="{FF2B5EF4-FFF2-40B4-BE49-F238E27FC236}">
                  <a16:creationId xmlns:a16="http://schemas.microsoft.com/office/drawing/2014/main" id="{00000000-0008-0000-0200-000091060000}"/>
                </a:ext>
              </a:extLst>
            </xdr:cNvPr>
            <xdr:cNvSpPr/>
          </xdr:nvSpPr>
          <xdr:spPr>
            <a:xfrm flipH="1">
              <a:off x="13365162" y="104827427"/>
              <a:ext cx="1171576"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5" name="Group 1614">
            <a:extLst>
              <a:ext uri="{FF2B5EF4-FFF2-40B4-BE49-F238E27FC236}">
                <a16:creationId xmlns:a16="http://schemas.microsoft.com/office/drawing/2014/main" id="{00000000-0008-0000-0200-00004F060000}"/>
              </a:ext>
            </a:extLst>
          </xdr:cNvPr>
          <xdr:cNvGrpSpPr>
            <a:grpSpLocks noChangeAspect="1"/>
          </xdr:cNvGrpSpPr>
        </xdr:nvGrpSpPr>
        <xdr:grpSpPr>
          <a:xfrm>
            <a:off x="295784" y="107882306"/>
            <a:ext cx="674825" cy="1999079"/>
            <a:chOff x="13527313" y="104774987"/>
            <a:chExt cx="1171575" cy="3438535"/>
          </a:xfrm>
        </xdr:grpSpPr>
        <xdr:grpSp>
          <xdr:nvGrpSpPr>
            <xdr:cNvPr id="1666" name="Group 1665">
              <a:extLst>
                <a:ext uri="{FF2B5EF4-FFF2-40B4-BE49-F238E27FC236}">
                  <a16:creationId xmlns:a16="http://schemas.microsoft.com/office/drawing/2014/main" id="{00000000-0008-0000-0200-000082060000}"/>
                </a:ext>
              </a:extLst>
            </xdr:cNvPr>
            <xdr:cNvGrpSpPr/>
          </xdr:nvGrpSpPr>
          <xdr:grpSpPr>
            <a:xfrm>
              <a:off x="13620749" y="105470322"/>
              <a:ext cx="1053296" cy="2743200"/>
              <a:chOff x="13620749" y="105470322"/>
              <a:chExt cx="1053296" cy="2743200"/>
            </a:xfrm>
          </xdr:grpSpPr>
          <xdr:grpSp>
            <xdr:nvGrpSpPr>
              <xdr:cNvPr id="1668" name="Group 1667">
                <a:extLst>
                  <a:ext uri="{FF2B5EF4-FFF2-40B4-BE49-F238E27FC236}">
                    <a16:creationId xmlns:a16="http://schemas.microsoft.com/office/drawing/2014/main" id="{00000000-0008-0000-0200-000084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673" name="Rectangle: Rounded Corners 1672">
                  <a:extLst>
                    <a:ext uri="{FF2B5EF4-FFF2-40B4-BE49-F238E27FC236}">
                      <a16:creationId xmlns:a16="http://schemas.microsoft.com/office/drawing/2014/main" id="{00000000-0008-0000-0200-000089060000}"/>
                    </a:ext>
                  </a:extLst>
                </xdr:cNvPr>
                <xdr:cNvSpPr/>
              </xdr:nvSpPr>
              <xdr:spPr>
                <a:xfrm>
                  <a:off x="4819649"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4" name="Rectangle: Rounded Corners 1673">
                  <a:extLst>
                    <a:ext uri="{FF2B5EF4-FFF2-40B4-BE49-F238E27FC236}">
                      <a16:creationId xmlns:a16="http://schemas.microsoft.com/office/drawing/2014/main" id="{00000000-0008-0000-0200-00008A060000}"/>
                    </a:ext>
                  </a:extLst>
                </xdr:cNvPr>
                <xdr:cNvSpPr/>
              </xdr:nvSpPr>
              <xdr:spPr>
                <a:xfrm>
                  <a:off x="6962774"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5" name="Rectangle: Rounded Corners 1674">
                  <a:extLst>
                    <a:ext uri="{FF2B5EF4-FFF2-40B4-BE49-F238E27FC236}">
                      <a16:creationId xmlns:a16="http://schemas.microsoft.com/office/drawing/2014/main" id="{00000000-0008-0000-0200-00008B060000}"/>
                    </a:ext>
                  </a:extLst>
                </xdr:cNvPr>
                <xdr:cNvSpPr/>
              </xdr:nvSpPr>
              <xdr:spPr>
                <a:xfrm rot="16200000">
                  <a:off x="5553075" y="105336972"/>
                  <a:ext cx="1133477" cy="2581278"/>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6" name="Rectangle: Rounded Corners 1675">
                  <a:extLst>
                    <a:ext uri="{FF2B5EF4-FFF2-40B4-BE49-F238E27FC236}">
                      <a16:creationId xmlns:a16="http://schemas.microsoft.com/office/drawing/2014/main" id="{00000000-0008-0000-0200-00008C060000}"/>
                    </a:ext>
                  </a:extLst>
                </xdr:cNvPr>
                <xdr:cNvSpPr/>
              </xdr:nvSpPr>
              <xdr:spPr>
                <a:xfrm rot="16200000">
                  <a:off x="5557838" y="104751184"/>
                  <a:ext cx="1133477" cy="1143003"/>
                </a:xfrm>
                <a:prstGeom prst="roundRect">
                  <a:avLst>
                    <a:gd name="adj" fmla="val 47917"/>
                  </a:avLst>
                </a:prstGeom>
                <a:solidFill>
                  <a:srgbClr val="0070C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7" name="Rectangle: Rounded Corners 1676">
                  <a:extLst>
                    <a:ext uri="{FF2B5EF4-FFF2-40B4-BE49-F238E27FC236}">
                      <a16:creationId xmlns:a16="http://schemas.microsoft.com/office/drawing/2014/main" id="{00000000-0008-0000-0200-00008D060000}"/>
                    </a:ext>
                  </a:extLst>
                </xdr:cNvPr>
                <xdr:cNvSpPr/>
              </xdr:nvSpPr>
              <xdr:spPr>
                <a:xfrm rot="16200000">
                  <a:off x="5210177" y="107203872"/>
                  <a:ext cx="1828799" cy="1143003"/>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8" name="Rectangle: Rounded Corners 1677">
                  <a:extLst>
                    <a:ext uri="{FF2B5EF4-FFF2-40B4-BE49-F238E27FC236}">
                      <a16:creationId xmlns:a16="http://schemas.microsoft.com/office/drawing/2014/main" id="{00000000-0008-0000-0200-00008E060000}"/>
                    </a:ext>
                  </a:extLst>
                </xdr:cNvPr>
                <xdr:cNvSpPr/>
              </xdr:nvSpPr>
              <xdr:spPr>
                <a:xfrm>
                  <a:off x="541972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9" name="Rectangle: Rounded Corners 1678">
                  <a:extLst>
                    <a:ext uri="{FF2B5EF4-FFF2-40B4-BE49-F238E27FC236}">
                      <a16:creationId xmlns:a16="http://schemas.microsoft.com/office/drawing/2014/main" id="{00000000-0008-0000-0200-00008F060000}"/>
                    </a:ext>
                  </a:extLst>
                </xdr:cNvPr>
                <xdr:cNvSpPr/>
              </xdr:nvSpPr>
              <xdr:spPr>
                <a:xfrm>
                  <a:off x="620077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69" name="Group 1668">
                <a:extLst>
                  <a:ext uri="{FF2B5EF4-FFF2-40B4-BE49-F238E27FC236}">
                    <a16:creationId xmlns:a16="http://schemas.microsoft.com/office/drawing/2014/main" id="{00000000-0008-0000-0200-000085060000}"/>
                  </a:ext>
                </a:extLst>
              </xdr:cNvPr>
              <xdr:cNvGrpSpPr/>
            </xdr:nvGrpSpPr>
            <xdr:grpSpPr>
              <a:xfrm>
                <a:off x="13679805" y="106093372"/>
                <a:ext cx="953589" cy="1109382"/>
                <a:chOff x="0" y="0"/>
                <a:chExt cx="1112520" cy="1371600"/>
              </a:xfrm>
            </xdr:grpSpPr>
            <xdr:sp macro="" textlink="">
              <xdr:nvSpPr>
                <xdr:cNvPr id="1670" name="Rectangle 1669">
                  <a:extLst>
                    <a:ext uri="{FF2B5EF4-FFF2-40B4-BE49-F238E27FC236}">
                      <a16:creationId xmlns:a16="http://schemas.microsoft.com/office/drawing/2014/main" id="{00000000-0008-0000-0200-00008606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71" name="Rectangle 1670">
                  <a:extLst>
                    <a:ext uri="{FF2B5EF4-FFF2-40B4-BE49-F238E27FC236}">
                      <a16:creationId xmlns:a16="http://schemas.microsoft.com/office/drawing/2014/main" id="{00000000-0008-0000-0200-000087060000}"/>
                    </a:ext>
                  </a:extLst>
                </xdr:cNvPr>
                <xdr:cNvSpPr/>
              </xdr:nvSpPr>
              <xdr:spPr>
                <a:xfrm>
                  <a:off x="655320" y="0"/>
                  <a:ext cx="457200" cy="1371600"/>
                </a:xfrm>
                <a:prstGeom prst="rect">
                  <a:avLst/>
                </a:prstGeom>
                <a:gradFill>
                  <a:gsLst>
                    <a:gs pos="0">
                      <a:schemeClr val="bg1">
                        <a:lumMod val="95000"/>
                      </a:schemeClr>
                    </a:gs>
                    <a:gs pos="89000">
                      <a:schemeClr val="bg1">
                        <a:lumMod val="95000"/>
                      </a:schemeClr>
                    </a:gs>
                    <a:gs pos="9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672" name="Straight Connector 1671">
                  <a:extLst>
                    <a:ext uri="{FF2B5EF4-FFF2-40B4-BE49-F238E27FC236}">
                      <a16:creationId xmlns:a16="http://schemas.microsoft.com/office/drawing/2014/main" id="{00000000-0008-0000-0200-000088060000}"/>
                    </a:ext>
                  </a:extLst>
                </xdr:cNvPr>
                <xdr:cNvCxnSpPr/>
              </xdr:nvCxnSpPr>
              <xdr:spPr>
                <a:xfrm rot="900000" flipH="1" flipV="1">
                  <a:off x="433060" y="1005572"/>
                  <a:ext cx="240771" cy="194458"/>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67" name="Thought Bubble: Cloud 1666">
              <a:extLst>
                <a:ext uri="{FF2B5EF4-FFF2-40B4-BE49-F238E27FC236}">
                  <a16:creationId xmlns:a16="http://schemas.microsoft.com/office/drawing/2014/main" id="{00000000-0008-0000-0200-000083060000}"/>
                </a:ext>
              </a:extLst>
            </xdr:cNvPr>
            <xdr:cNvSpPr/>
          </xdr:nvSpPr>
          <xdr:spPr>
            <a:xfrm flipH="1">
              <a:off x="13527313" y="104774987"/>
              <a:ext cx="1171575"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6" name="Group 1615">
            <a:extLst>
              <a:ext uri="{FF2B5EF4-FFF2-40B4-BE49-F238E27FC236}">
                <a16:creationId xmlns:a16="http://schemas.microsoft.com/office/drawing/2014/main" id="{00000000-0008-0000-0200-000050060000}"/>
              </a:ext>
            </a:extLst>
          </xdr:cNvPr>
          <xdr:cNvGrpSpPr>
            <a:grpSpLocks noChangeAspect="1"/>
          </xdr:cNvGrpSpPr>
        </xdr:nvGrpSpPr>
        <xdr:grpSpPr>
          <a:xfrm>
            <a:off x="1037033" y="107867116"/>
            <a:ext cx="719366" cy="1999072"/>
            <a:chOff x="13425142" y="104774999"/>
            <a:chExt cx="1248903" cy="3438523"/>
          </a:xfrm>
        </xdr:grpSpPr>
        <xdr:grpSp>
          <xdr:nvGrpSpPr>
            <xdr:cNvPr id="1635" name="Group 1634">
              <a:extLst>
                <a:ext uri="{FF2B5EF4-FFF2-40B4-BE49-F238E27FC236}">
                  <a16:creationId xmlns:a16="http://schemas.microsoft.com/office/drawing/2014/main" id="{00000000-0008-0000-0200-000063060000}"/>
                </a:ext>
              </a:extLst>
            </xdr:cNvPr>
            <xdr:cNvGrpSpPr/>
          </xdr:nvGrpSpPr>
          <xdr:grpSpPr>
            <a:xfrm>
              <a:off x="13620749" y="105470322"/>
              <a:ext cx="1053296" cy="2743200"/>
              <a:chOff x="13620749" y="105470322"/>
              <a:chExt cx="1053296" cy="2743200"/>
            </a:xfrm>
          </xdr:grpSpPr>
          <xdr:grpSp>
            <xdr:nvGrpSpPr>
              <xdr:cNvPr id="1637" name="Group 1636">
                <a:extLst>
                  <a:ext uri="{FF2B5EF4-FFF2-40B4-BE49-F238E27FC236}">
                    <a16:creationId xmlns:a16="http://schemas.microsoft.com/office/drawing/2014/main" id="{00000000-0008-0000-0200-000065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659" name="Rectangle: Rounded Corners 1658">
                  <a:extLst>
                    <a:ext uri="{FF2B5EF4-FFF2-40B4-BE49-F238E27FC236}">
                      <a16:creationId xmlns:a16="http://schemas.microsoft.com/office/drawing/2014/main" id="{00000000-0008-0000-0200-00007B06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0" name="Rectangle: Rounded Corners 1659">
                  <a:extLst>
                    <a:ext uri="{FF2B5EF4-FFF2-40B4-BE49-F238E27FC236}">
                      <a16:creationId xmlns:a16="http://schemas.microsoft.com/office/drawing/2014/main" id="{00000000-0008-0000-0200-00007C06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1" name="Rectangle: Rounded Corners 1660">
                  <a:extLst>
                    <a:ext uri="{FF2B5EF4-FFF2-40B4-BE49-F238E27FC236}">
                      <a16:creationId xmlns:a16="http://schemas.microsoft.com/office/drawing/2014/main" id="{00000000-0008-0000-0200-00007D06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2" name="Rectangle: Rounded Corners 1661">
                  <a:extLst>
                    <a:ext uri="{FF2B5EF4-FFF2-40B4-BE49-F238E27FC236}">
                      <a16:creationId xmlns:a16="http://schemas.microsoft.com/office/drawing/2014/main" id="{00000000-0008-0000-0200-00007E06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3" name="Rectangle: Rounded Corners 1662">
                  <a:extLst>
                    <a:ext uri="{FF2B5EF4-FFF2-40B4-BE49-F238E27FC236}">
                      <a16:creationId xmlns:a16="http://schemas.microsoft.com/office/drawing/2014/main" id="{00000000-0008-0000-0200-00007F06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4" name="Rectangle: Rounded Corners 1663">
                  <a:extLst>
                    <a:ext uri="{FF2B5EF4-FFF2-40B4-BE49-F238E27FC236}">
                      <a16:creationId xmlns:a16="http://schemas.microsoft.com/office/drawing/2014/main" id="{00000000-0008-0000-0200-00008006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5" name="Rectangle: Rounded Corners 1664">
                  <a:extLst>
                    <a:ext uri="{FF2B5EF4-FFF2-40B4-BE49-F238E27FC236}">
                      <a16:creationId xmlns:a16="http://schemas.microsoft.com/office/drawing/2014/main" id="{00000000-0008-0000-0200-000081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38" name="Group 1637">
                <a:extLst>
                  <a:ext uri="{FF2B5EF4-FFF2-40B4-BE49-F238E27FC236}">
                    <a16:creationId xmlns:a16="http://schemas.microsoft.com/office/drawing/2014/main" id="{00000000-0008-0000-0200-000066060000}"/>
                  </a:ext>
                </a:extLst>
              </xdr:cNvPr>
              <xdr:cNvGrpSpPr/>
            </xdr:nvGrpSpPr>
            <xdr:grpSpPr>
              <a:xfrm>
                <a:off x="13679805" y="106093372"/>
                <a:ext cx="953589" cy="1109382"/>
                <a:chOff x="0" y="0"/>
                <a:chExt cx="1112520" cy="1371600"/>
              </a:xfrm>
            </xdr:grpSpPr>
            <xdr:sp macro="" textlink="">
              <xdr:nvSpPr>
                <xdr:cNvPr id="1656" name="Rectangle 1655">
                  <a:extLst>
                    <a:ext uri="{FF2B5EF4-FFF2-40B4-BE49-F238E27FC236}">
                      <a16:creationId xmlns:a16="http://schemas.microsoft.com/office/drawing/2014/main" id="{00000000-0008-0000-0200-000078060000}"/>
                    </a:ext>
                  </a:extLst>
                </xdr:cNvPr>
                <xdr:cNvSpPr/>
              </xdr:nvSpPr>
              <xdr:spPr>
                <a:xfrm>
                  <a:off x="0" y="0"/>
                  <a:ext cx="457200" cy="1371600"/>
                </a:xfrm>
                <a:prstGeom prst="rect">
                  <a:avLst/>
                </a:prstGeom>
                <a:gradFill>
                  <a:gsLst>
                    <a:gs pos="0">
                      <a:schemeClr val="bg1">
                        <a:lumMod val="95000"/>
                      </a:schemeClr>
                    </a:gs>
                    <a:gs pos="59000">
                      <a:schemeClr val="bg1">
                        <a:lumMod val="95000"/>
                      </a:schemeClr>
                    </a:gs>
                    <a:gs pos="6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57" name="Rectangle 1656">
                  <a:extLst>
                    <a:ext uri="{FF2B5EF4-FFF2-40B4-BE49-F238E27FC236}">
                      <a16:creationId xmlns:a16="http://schemas.microsoft.com/office/drawing/2014/main" id="{00000000-0008-0000-0200-000079060000}"/>
                    </a:ext>
                  </a:extLst>
                </xdr:cNvPr>
                <xdr:cNvSpPr/>
              </xdr:nvSpPr>
              <xdr:spPr>
                <a:xfrm>
                  <a:off x="655320"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658" name="Straight Connector 1657">
                  <a:extLst>
                    <a:ext uri="{FF2B5EF4-FFF2-40B4-BE49-F238E27FC236}">
                      <a16:creationId xmlns:a16="http://schemas.microsoft.com/office/drawing/2014/main" id="{00000000-0008-0000-0200-00007A060000}"/>
                    </a:ext>
                  </a:extLst>
                </xdr:cNvPr>
                <xdr:cNvCxnSpPr/>
              </xdr:nvCxnSpPr>
              <xdr:spPr>
                <a:xfrm flipH="1" flipV="1">
                  <a:off x="457200" y="838924"/>
                  <a:ext cx="198121" cy="129741"/>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36" name="Thought Bubble: Cloud 1635">
              <a:extLst>
                <a:ext uri="{FF2B5EF4-FFF2-40B4-BE49-F238E27FC236}">
                  <a16:creationId xmlns:a16="http://schemas.microsoft.com/office/drawing/2014/main" id="{00000000-0008-0000-0200-000064060000}"/>
                </a:ext>
              </a:extLst>
            </xdr:cNvPr>
            <xdr:cNvSpPr/>
          </xdr:nvSpPr>
          <xdr:spPr>
            <a:xfrm flipH="1">
              <a:off x="13425142" y="104774999"/>
              <a:ext cx="1171577"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7" name="Group 1616">
            <a:extLst>
              <a:ext uri="{FF2B5EF4-FFF2-40B4-BE49-F238E27FC236}">
                <a16:creationId xmlns:a16="http://schemas.microsoft.com/office/drawing/2014/main" id="{00000000-0008-0000-0200-000051060000}"/>
              </a:ext>
            </a:extLst>
          </xdr:cNvPr>
          <xdr:cNvGrpSpPr>
            <a:grpSpLocks noChangeAspect="1"/>
          </xdr:cNvGrpSpPr>
        </xdr:nvGrpSpPr>
        <xdr:grpSpPr>
          <a:xfrm>
            <a:off x="4449782" y="107882313"/>
            <a:ext cx="733342" cy="1982459"/>
            <a:chOff x="14944724" y="104774999"/>
            <a:chExt cx="1273165" cy="3409948"/>
          </a:xfrm>
        </xdr:grpSpPr>
        <xdr:grpSp>
          <xdr:nvGrpSpPr>
            <xdr:cNvPr id="1618" name="Group 1617">
              <a:extLst>
                <a:ext uri="{FF2B5EF4-FFF2-40B4-BE49-F238E27FC236}">
                  <a16:creationId xmlns:a16="http://schemas.microsoft.com/office/drawing/2014/main" id="{00000000-0008-0000-0200-000052060000}"/>
                </a:ext>
              </a:extLst>
            </xdr:cNvPr>
            <xdr:cNvGrpSpPr/>
          </xdr:nvGrpSpPr>
          <xdr:grpSpPr>
            <a:xfrm>
              <a:off x="14944724" y="105441747"/>
              <a:ext cx="1053296" cy="2743200"/>
              <a:chOff x="14944724" y="105441747"/>
              <a:chExt cx="1053296" cy="2743200"/>
            </a:xfrm>
          </xdr:grpSpPr>
          <xdr:grpSp>
            <xdr:nvGrpSpPr>
              <xdr:cNvPr id="1620" name="Group 1619">
                <a:extLst>
                  <a:ext uri="{FF2B5EF4-FFF2-40B4-BE49-F238E27FC236}">
                    <a16:creationId xmlns:a16="http://schemas.microsoft.com/office/drawing/2014/main" id="{00000000-0008-0000-0200-00005406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625" name="Rectangle: Rounded Corners 1624">
                  <a:extLst>
                    <a:ext uri="{FF2B5EF4-FFF2-40B4-BE49-F238E27FC236}">
                      <a16:creationId xmlns:a16="http://schemas.microsoft.com/office/drawing/2014/main" id="{00000000-0008-0000-0200-00005906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6" name="Rectangle: Rounded Corners 1625">
                  <a:extLst>
                    <a:ext uri="{FF2B5EF4-FFF2-40B4-BE49-F238E27FC236}">
                      <a16:creationId xmlns:a16="http://schemas.microsoft.com/office/drawing/2014/main" id="{00000000-0008-0000-0200-00005A06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7" name="Rectangle: Rounded Corners 1626">
                  <a:extLst>
                    <a:ext uri="{FF2B5EF4-FFF2-40B4-BE49-F238E27FC236}">
                      <a16:creationId xmlns:a16="http://schemas.microsoft.com/office/drawing/2014/main" id="{00000000-0008-0000-0200-00005B06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8" name="Rectangle: Rounded Corners 1627">
                  <a:extLst>
                    <a:ext uri="{FF2B5EF4-FFF2-40B4-BE49-F238E27FC236}">
                      <a16:creationId xmlns:a16="http://schemas.microsoft.com/office/drawing/2014/main" id="{00000000-0008-0000-0200-00005C06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9" name="Rectangle: Rounded Corners 1628">
                  <a:extLst>
                    <a:ext uri="{FF2B5EF4-FFF2-40B4-BE49-F238E27FC236}">
                      <a16:creationId xmlns:a16="http://schemas.microsoft.com/office/drawing/2014/main" id="{00000000-0008-0000-0200-00005D06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30" name="Rectangle: Rounded Corners 1629">
                  <a:extLst>
                    <a:ext uri="{FF2B5EF4-FFF2-40B4-BE49-F238E27FC236}">
                      <a16:creationId xmlns:a16="http://schemas.microsoft.com/office/drawing/2014/main" id="{00000000-0008-0000-0200-00005E06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34" name="Rectangle: Rounded Corners 1633">
                  <a:extLst>
                    <a:ext uri="{FF2B5EF4-FFF2-40B4-BE49-F238E27FC236}">
                      <a16:creationId xmlns:a16="http://schemas.microsoft.com/office/drawing/2014/main" id="{00000000-0008-0000-0200-000062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21" name="Group 1620">
                <a:extLst>
                  <a:ext uri="{FF2B5EF4-FFF2-40B4-BE49-F238E27FC236}">
                    <a16:creationId xmlns:a16="http://schemas.microsoft.com/office/drawing/2014/main" id="{00000000-0008-0000-0200-000055060000}"/>
                  </a:ext>
                </a:extLst>
              </xdr:cNvPr>
              <xdr:cNvGrpSpPr/>
            </xdr:nvGrpSpPr>
            <xdr:grpSpPr>
              <a:xfrm>
                <a:off x="15001875" y="106064797"/>
                <a:ext cx="953589" cy="1109382"/>
                <a:chOff x="-11112" y="0"/>
                <a:chExt cx="1112519" cy="1371600"/>
              </a:xfrm>
            </xdr:grpSpPr>
            <xdr:sp macro="" textlink="">
              <xdr:nvSpPr>
                <xdr:cNvPr id="1622" name="Rectangle 1621">
                  <a:extLst>
                    <a:ext uri="{FF2B5EF4-FFF2-40B4-BE49-F238E27FC236}">
                      <a16:creationId xmlns:a16="http://schemas.microsoft.com/office/drawing/2014/main" id="{00000000-0008-0000-0200-000056060000}"/>
                    </a:ext>
                  </a:extLst>
                </xdr:cNvPr>
                <xdr:cNvSpPr/>
              </xdr:nvSpPr>
              <xdr:spPr>
                <a:xfrm>
                  <a:off x="-11112"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23" name="Rectangle 1622">
                  <a:extLst>
                    <a:ext uri="{FF2B5EF4-FFF2-40B4-BE49-F238E27FC236}">
                      <a16:creationId xmlns:a16="http://schemas.microsoft.com/office/drawing/2014/main" id="{00000000-0008-0000-0200-000057060000}"/>
                    </a:ext>
                  </a:extLst>
                </xdr:cNvPr>
                <xdr:cNvSpPr/>
              </xdr:nvSpPr>
              <xdr:spPr>
                <a:xfrm>
                  <a:off x="644207" y="0"/>
                  <a:ext cx="457200" cy="1371600"/>
                </a:xfrm>
                <a:prstGeom prst="rect">
                  <a:avLst/>
                </a:prstGeom>
                <a:gradFill>
                  <a:gsLst>
                    <a:gs pos="0">
                      <a:schemeClr val="bg1">
                        <a:lumMod val="95000"/>
                      </a:schemeClr>
                    </a:gs>
                    <a:gs pos="59000">
                      <a:schemeClr val="bg1">
                        <a:lumMod val="95000"/>
                      </a:schemeClr>
                    </a:gs>
                    <a:gs pos="6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624" name="Straight Connector 1623">
                  <a:extLst>
                    <a:ext uri="{FF2B5EF4-FFF2-40B4-BE49-F238E27FC236}">
                      <a16:creationId xmlns:a16="http://schemas.microsoft.com/office/drawing/2014/main" id="{00000000-0008-0000-0200-000058060000}"/>
                    </a:ext>
                  </a:extLst>
                </xdr:cNvPr>
                <xdr:cNvCxnSpPr/>
              </xdr:nvCxnSpPr>
              <xdr:spPr>
                <a:xfrm flipV="1">
                  <a:off x="446087" y="83749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19" name="Thought Bubble: Cloud 1618">
              <a:extLst>
                <a:ext uri="{FF2B5EF4-FFF2-40B4-BE49-F238E27FC236}">
                  <a16:creationId xmlns:a16="http://schemas.microsoft.com/office/drawing/2014/main" id="{00000000-0008-0000-0200-000053060000}"/>
                </a:ext>
              </a:extLst>
            </xdr:cNvPr>
            <xdr:cNvSpPr/>
          </xdr:nvSpPr>
          <xdr:spPr>
            <a:xfrm>
              <a:off x="15046314"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clientData/>
  </xdr:twoCellAnchor>
  <xdr:twoCellAnchor>
    <xdr:from>
      <xdr:col>0</xdr:col>
      <xdr:colOff>106680</xdr:colOff>
      <xdr:row>544</xdr:row>
      <xdr:rowOff>83820</xdr:rowOff>
    </xdr:from>
    <xdr:to>
      <xdr:col>13</xdr:col>
      <xdr:colOff>30480</xdr:colOff>
      <xdr:row>548</xdr:row>
      <xdr:rowOff>22860</xdr:rowOff>
    </xdr:to>
    <xdr:sp macro="" textlink="">
      <xdr:nvSpPr>
        <xdr:cNvPr id="2277" name="psychosocial reduction">
          <a:extLst>
            <a:ext uri="{FF2B5EF4-FFF2-40B4-BE49-F238E27FC236}">
              <a16:creationId xmlns:a16="http://schemas.microsoft.com/office/drawing/2014/main" id="{00000000-0008-0000-0200-0000E5080000}"/>
            </a:ext>
          </a:extLst>
        </xdr:cNvPr>
        <xdr:cNvSpPr txBox="1"/>
      </xdr:nvSpPr>
      <xdr:spPr>
        <a:xfrm>
          <a:off x="106680" y="99982020"/>
          <a:ext cx="5989320" cy="640080"/>
        </a:xfrm>
        <a:prstGeom prst="rect">
          <a:avLst/>
        </a:prstGeom>
        <a:solidFill>
          <a:srgbClr val="3C1E5A"/>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18288"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spc="1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Are you in so much </a:t>
          </a:r>
          <a:r>
            <a:rPr lang="en-US" sz="1200" spc="10" baseline="0">
              <a:ln>
                <a:solidFill>
                  <a:srgbClr val="FFFF00"/>
                </a:solidFill>
              </a:ln>
              <a:solidFill>
                <a:srgbClr val="FFFF00"/>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pain</a:t>
          </a:r>
          <a:r>
            <a:rPr lang="en-US" sz="1200" spc="1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that you can't relate to the </a:t>
          </a:r>
          <a:r>
            <a:rPr lang="en-US" sz="1200" spc="10" baseline="0">
              <a:ln>
                <a:solidFill>
                  <a:srgbClr val="FFFF00"/>
                </a:solidFill>
              </a:ln>
              <a:solidFill>
                <a:srgbClr val="FFFF00"/>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pain</a:t>
          </a:r>
          <a:r>
            <a:rPr lang="en-US" sz="1200" spc="1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in others different from you</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The </a:t>
          </a:r>
          <a:r>
            <a:rPr lang="en-US" sz="1200" b="1" i="1"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more</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you oppose another's need, the </a:t>
          </a:r>
          <a:r>
            <a:rPr lang="en-US" sz="1200" b="1" i="1"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more</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a:t>
          </a:r>
          <a:r>
            <a:rPr lang="en-US" sz="1200" baseline="0">
              <a:ln>
                <a:solidFill>
                  <a:srgbClr val="FFFF00"/>
                </a:solidFill>
              </a:ln>
              <a:solidFill>
                <a:srgbClr val="FFFF00"/>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pain</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you perpetuate. Theirs and your own. The other side is </a:t>
          </a:r>
          <a:r>
            <a:rPr lang="en-US" sz="1200" i="1"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not</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the enemy. Unresolved needs are your true foe.</a:t>
          </a:r>
          <a:endParaRPr lang="en-US" sz="14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53340</xdr:colOff>
      <xdr:row>507</xdr:row>
      <xdr:rowOff>89498</xdr:rowOff>
    </xdr:from>
    <xdr:to>
      <xdr:col>13</xdr:col>
      <xdr:colOff>7620</xdr:colOff>
      <xdr:row>544</xdr:row>
      <xdr:rowOff>5678</xdr:rowOff>
    </xdr:to>
    <xdr:sp macro="" textlink="">
      <xdr:nvSpPr>
        <xdr:cNvPr id="2294" name="TextBox 2293">
          <a:extLst>
            <a:ext uri="{FF2B5EF4-FFF2-40B4-BE49-F238E27FC236}">
              <a16:creationId xmlns:a16="http://schemas.microsoft.com/office/drawing/2014/main" id="{00000000-0008-0000-0200-0000F6080000}"/>
            </a:ext>
          </a:extLst>
        </xdr:cNvPr>
        <xdr:cNvSpPr txBox="1"/>
      </xdr:nvSpPr>
      <xdr:spPr>
        <a:xfrm>
          <a:off x="3147060" y="102067958"/>
          <a:ext cx="2926080" cy="6400800"/>
        </a:xfrm>
        <a:prstGeom prst="rect">
          <a:avLst/>
        </a:prstGeom>
        <a:solidFill>
          <a:srgbClr val="FFFF00">
            <a:alpha val="67000"/>
          </a:srgbClr>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a:spcAft>
              <a:spcPts val="600"/>
            </a:spcAft>
          </a:pPr>
          <a:r>
            <a:rPr lang="en-US" sz="1400" b="1" baseline="0">
              <a:latin typeface="Tahoma" panose="020B0604030504040204" pitchFamily="34" charset="0"/>
              <a:ea typeface="Tahoma" panose="020B0604030504040204" pitchFamily="34" charset="0"/>
              <a:cs typeface="Tahoma" panose="020B0604030504040204" pitchFamily="34" charset="0"/>
            </a:rPr>
            <a:t>IF </a:t>
          </a:r>
          <a:r>
            <a:rPr lang="en-US" sz="1400" b="1" baseline="0">
              <a:ln>
                <a:solidFill>
                  <a:srgbClr val="C00000"/>
                </a:solidFill>
              </a:ln>
              <a:solidFill>
                <a:srgbClr val="C80000"/>
              </a:solidFill>
              <a:latin typeface="Tahoma" panose="020B0604030504040204" pitchFamily="34" charset="0"/>
              <a:ea typeface="Tahoma" panose="020B0604030504040204" pitchFamily="34" charset="0"/>
              <a:cs typeface="Tahoma" panose="020B0604030504040204" pitchFamily="34" charset="0"/>
            </a:rPr>
            <a:t>DEEP-ORIENTED</a:t>
          </a:r>
          <a:r>
            <a:rPr lang="en-US" sz="1400" b="1" baseline="0">
              <a:latin typeface="Tahoma" panose="020B0604030504040204" pitchFamily="34" charset="0"/>
              <a:ea typeface="Tahoma" panose="020B0604030504040204" pitchFamily="34" charset="0"/>
              <a:cs typeface="Tahoma" panose="020B0604030504040204" pitchFamily="34" charset="0"/>
            </a:rPr>
            <a:t> ON THE POLITICAL </a:t>
          </a:r>
          <a:r>
            <a:rPr lang="en-US" sz="1400" b="1" i="1" baseline="0">
              <a:ln>
                <a:solidFill>
                  <a:srgbClr val="C00000"/>
                </a:solidFill>
              </a:ln>
              <a:solidFill>
                <a:srgbClr val="C80000"/>
              </a:solidFill>
              <a:latin typeface="Tahoma" panose="020B0604030504040204" pitchFamily="34" charset="0"/>
              <a:ea typeface="Tahoma" panose="020B0604030504040204" pitchFamily="34" charset="0"/>
              <a:cs typeface="Tahoma" panose="020B0604030504040204" pitchFamily="34" charset="0"/>
            </a:rPr>
            <a:t>RIGHT</a:t>
          </a:r>
          <a:r>
            <a:rPr lang="en-US" sz="1400" b="1" baseline="0">
              <a:latin typeface="Tahoma" panose="020B0604030504040204" pitchFamily="34" charset="0"/>
              <a:ea typeface="Tahoma" panose="020B0604030504040204" pitchFamily="34" charset="0"/>
              <a:cs typeface="Tahoma" panose="020B0604030504040204" pitchFamily="34" charset="0"/>
            </a:rPr>
            <a:t>, LISTEN TO THE </a:t>
          </a:r>
          <a:r>
            <a:rPr lang="en-US" sz="1400" b="1" spc="0" baseline="0">
              <a:ln>
                <a:solidFill>
                  <a:srgbClr val="0070C0"/>
                </a:solidFill>
              </a:ln>
              <a:solidFill>
                <a:schemeClr val="accent5">
                  <a:lumMod val="75000"/>
                </a:schemeClr>
              </a:solidFill>
              <a:latin typeface="Tahoma" panose="020B0604030504040204" pitchFamily="34" charset="0"/>
              <a:ea typeface="Tahoma" panose="020B0604030504040204" pitchFamily="34" charset="0"/>
              <a:cs typeface="Tahoma" panose="020B0604030504040204" pitchFamily="34" charset="0"/>
            </a:rPr>
            <a:t>WIDE-ORIENTED</a:t>
          </a:r>
        </a:p>
        <a:p>
          <a:pPr lvl="0">
            <a:spcBef>
              <a:spcPts val="900"/>
            </a:spcBef>
            <a:spcAft>
              <a:spcPts val="900"/>
            </a:spcAft>
          </a:pPr>
          <a:r>
            <a:rPr lang="en-US" sz="1200" baseline="0">
              <a:latin typeface="Arial Black" panose="020B0A04020102020204" pitchFamily="34" charset="0"/>
              <a:ea typeface="Tahoma" panose="020B0604030504040204" pitchFamily="34" charset="0"/>
              <a:cs typeface="Tahoma" panose="020B0604030504040204" pitchFamily="34" charset="0"/>
            </a:rPr>
            <a:t>Can you feel their </a:t>
          </a:r>
          <a:r>
            <a:rPr lang="en-US" sz="1200" baseline="0">
              <a:ln>
                <a:solidFill>
                  <a:srgbClr val="FFFF00"/>
                </a:solidFill>
              </a:ln>
              <a:solidFill>
                <a:srgbClr val="FFFF00"/>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pain</a:t>
          </a:r>
          <a:r>
            <a:rPr lang="en-US" sz="1200" baseline="0">
              <a:latin typeface="Arial Black" panose="020B0A04020102020204" pitchFamily="34" charset="0"/>
              <a:ea typeface="Tahoma" panose="020B0604030504040204" pitchFamily="34" charset="0"/>
              <a:cs typeface="Tahoma" panose="020B0604030504040204" pitchFamily="34" charset="0"/>
            </a:rPr>
            <a:t> without insisting they feel yours first?</a:t>
          </a:r>
        </a:p>
        <a:p>
          <a:pPr>
            <a:spcBef>
              <a:spcPts val="0"/>
            </a:spcBef>
            <a:spcAft>
              <a:spcPts val="1200"/>
            </a:spcAft>
          </a:pPr>
          <a:r>
            <a:rPr lang="en-US" sz="1400" baseline="0">
              <a:latin typeface="Tahoma" panose="020B0604030504040204" pitchFamily="34" charset="0"/>
              <a:ea typeface="Tahoma" panose="020B0604030504040204" pitchFamily="34" charset="0"/>
              <a:cs typeface="Tahoma" panose="020B0604030504040204" pitchFamily="34" charset="0"/>
            </a:rPr>
            <a:t>Their complaint of </a:t>
          </a:r>
          <a:r>
            <a:rPr lang="en-US" sz="1400" baseline="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rPr>
            <a:t>systemic</a:t>
          </a:r>
          <a:r>
            <a:rPr lang="en-US" sz="1400" baseline="0">
              <a:latin typeface="Tahoma" panose="020B0604030504040204" pitchFamily="34" charset="0"/>
              <a:ea typeface="Tahoma" panose="020B0604030504040204" pitchFamily="34" charset="0"/>
              <a:cs typeface="Tahoma" panose="020B0604030504040204" pitchFamily="34" charset="0"/>
            </a:rPr>
            <a:t> </a:t>
          </a:r>
          <a:r>
            <a:rPr lang="en-US" sz="1400" b="1" baseline="0">
              <a:solidFill>
                <a:srgbClr val="0070C0"/>
              </a:solidFill>
              <a:latin typeface="Tahoma" panose="020B0604030504040204" pitchFamily="34" charset="0"/>
              <a:ea typeface="Tahoma" panose="020B0604030504040204" pitchFamily="34" charset="0"/>
              <a:cs typeface="Tahoma" panose="020B0604030504040204" pitchFamily="34" charset="0"/>
            </a:rPr>
            <a:t>oppression</a:t>
          </a:r>
          <a:r>
            <a:rPr lang="en-US" sz="1400" baseline="0">
              <a:latin typeface="Tahoma" panose="020B0604030504040204" pitchFamily="34" charset="0"/>
              <a:ea typeface="Tahoma" panose="020B0604030504040204" pitchFamily="34" charset="0"/>
              <a:cs typeface="Tahoma" panose="020B0604030504040204" pitchFamily="34" charset="0"/>
            </a:rPr>
            <a:t> is painfully real. </a:t>
          </a:r>
        </a:p>
        <a:p>
          <a:r>
            <a:rPr lang="en-US" sz="1100" baseline="0">
              <a:latin typeface="Tahoma" panose="020B0604030504040204" pitchFamily="34" charset="0"/>
              <a:ea typeface="Tahoma" panose="020B0604030504040204" pitchFamily="34" charset="0"/>
              <a:cs typeface="Tahoma" panose="020B0604030504040204" pitchFamily="34" charset="0"/>
            </a:rPr>
            <a:t>They struggle to warn you of </a:t>
          </a:r>
          <a:r>
            <a:rPr lang="en-US" sz="1100" baseline="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rPr>
            <a:t>recurring</a:t>
          </a:r>
          <a:r>
            <a:rPr lang="en-US" sz="1100" baseline="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rPr>
            <a:t> </a:t>
          </a:r>
          <a:r>
            <a:rPr lang="en-US" sz="1100" baseline="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rPr>
            <a:t>trauma</a:t>
          </a:r>
          <a:r>
            <a:rPr lang="en-US" sz="1100" baseline="0">
              <a:latin typeface="Tahoma" panose="020B0604030504040204" pitchFamily="34" charset="0"/>
              <a:ea typeface="Tahoma" panose="020B0604030504040204" pitchFamily="34" charset="0"/>
              <a:cs typeface="Tahoma" panose="020B0604030504040204" pitchFamily="34" charset="0"/>
            </a:rPr>
            <a:t> they endure from violent forms of recurring social exclusion for being different, disadvantaged, dejected. </a:t>
          </a:r>
        </a:p>
        <a:p>
          <a:r>
            <a:rPr lang="en-US" sz="1100" baseline="0">
              <a:solidFill>
                <a:schemeClr val="dk1"/>
              </a:solidFill>
              <a:effectLst>
                <a:glow rad="38100">
                  <a:srgbClr val="00B050"/>
                </a:glow>
              </a:effectLst>
              <a:latin typeface="Tahoma" panose="020B0604030504040204" pitchFamily="34" charset="0"/>
              <a:ea typeface="Tahoma" panose="020B0604030504040204" pitchFamily="34" charset="0"/>
              <a:cs typeface="Tahoma" panose="020B0604030504040204" pitchFamily="34" charset="0"/>
            </a:rPr>
            <a:t>They invite you to be part of the solution, </a:t>
          </a:r>
          <a:r>
            <a:rPr lang="en-US" sz="1100" baseline="0">
              <a:solidFill>
                <a:schemeClr val="dk1"/>
              </a:solidFill>
              <a:effectLst>
                <a:glow rad="38100">
                  <a:srgbClr val="FFFF00"/>
                </a:glow>
              </a:effectLst>
              <a:latin typeface="Tahoma" panose="020B0604030504040204" pitchFamily="34" charset="0"/>
              <a:ea typeface="Tahoma" panose="020B0604030504040204" pitchFamily="34" charset="0"/>
              <a:cs typeface="Tahoma" panose="020B0604030504040204" pitchFamily="34" charset="0"/>
            </a:rPr>
            <a:t>and not complicit with the problem</a:t>
          </a:r>
          <a:r>
            <a:rPr lang="en-US" sz="1100" baseline="0">
              <a:latin typeface="Tahoma" panose="020B0604030504040204" pitchFamily="34" charset="0"/>
              <a:ea typeface="Tahoma" panose="020B0604030504040204" pitchFamily="34" charset="0"/>
              <a:cs typeface="Tahoma" panose="020B0604030504040204" pitchFamily="34" charset="0"/>
            </a:rPr>
            <a:t>.</a:t>
          </a:r>
        </a:p>
        <a:p>
          <a:endParaRPr lang="en-US" sz="1200" baseline="0">
            <a:latin typeface="Tahoma" panose="020B0604030504040204" pitchFamily="34" charset="0"/>
            <a:ea typeface="Tahoma" panose="020B0604030504040204" pitchFamily="34" charset="0"/>
            <a:cs typeface="Tahoma" panose="020B0604030504040204" pitchFamily="34" charset="0"/>
          </a:endParaRPr>
        </a:p>
        <a:p>
          <a:r>
            <a:rPr lang="en-US" sz="1800" baseline="0">
              <a:latin typeface="Tahoma" panose="020B0604030504040204" pitchFamily="34" charset="0"/>
              <a:ea typeface="Tahoma" panose="020B0604030504040204" pitchFamily="34" charset="0"/>
              <a:cs typeface="Tahoma" panose="020B0604030504040204" pitchFamily="34" charset="0"/>
            </a:rPr>
            <a:t>They must </a:t>
          </a:r>
          <a:r>
            <a:rPr lang="en-US" sz="1800" b="1" baseline="0">
              <a:solidFill>
                <a:srgbClr val="0070C0"/>
              </a:solidFill>
              <a:latin typeface="Tahoma" panose="020B0604030504040204" pitchFamily="34" charset="0"/>
              <a:ea typeface="Tahoma" panose="020B0604030504040204" pitchFamily="34" charset="0"/>
              <a:cs typeface="Tahoma" panose="020B0604030504040204" pitchFamily="34" charset="0"/>
            </a:rPr>
            <a:t>relieve</a:t>
          </a:r>
          <a:r>
            <a:rPr lang="en-US" sz="1800" baseline="0">
              <a:latin typeface="Tahoma" panose="020B0604030504040204" pitchFamily="34" charset="0"/>
              <a:ea typeface="Tahoma" panose="020B0604030504040204" pitchFamily="34" charset="0"/>
              <a:cs typeface="Tahoma" panose="020B0604030504040204" pitchFamily="34" charset="0"/>
            </a:rPr>
            <a:t> their</a:t>
          </a:r>
          <a:r>
            <a:rPr lang="en-US" sz="1600" baseline="0">
              <a:latin typeface="Tahoma" panose="020B0604030504040204" pitchFamily="34" charset="0"/>
              <a:ea typeface="Tahoma" panose="020B0604030504040204" pitchFamily="34" charset="0"/>
              <a:cs typeface="Tahoma" panose="020B0604030504040204" pitchFamily="34" charset="0"/>
            </a:rPr>
            <a:t> </a:t>
          </a:r>
          <a:r>
            <a:rPr lang="en-US" sz="1600" i="1" baseline="0">
              <a:latin typeface="Tahoma" panose="020B0604030504040204" pitchFamily="34" charset="0"/>
              <a:ea typeface="Tahoma" panose="020B0604030504040204" pitchFamily="34" charset="0"/>
              <a:cs typeface="Tahoma" panose="020B0604030504040204" pitchFamily="34" charset="0"/>
            </a:rPr>
            <a:t>less</a:t>
          </a:r>
          <a:r>
            <a:rPr lang="en-US" sz="1600" baseline="0">
              <a:latin typeface="Tahoma" panose="020B0604030504040204" pitchFamily="34" charset="0"/>
              <a:ea typeface="Tahoma" panose="020B0604030504040204" pitchFamily="34" charset="0"/>
              <a:cs typeface="Tahoma" panose="020B0604030504040204" pitchFamily="34" charset="0"/>
            </a:rPr>
            <a:t> resolved social-needs.</a:t>
          </a:r>
        </a:p>
        <a:p>
          <a:pPr>
            <a:spcBef>
              <a:spcPts val="600"/>
            </a:spcBef>
            <a:spcAft>
              <a:spcPts val="600"/>
            </a:spcAft>
          </a:pPr>
          <a:r>
            <a:rPr lang="en-US" sz="1100" baseline="0">
              <a:solidFill>
                <a:srgbClr val="0070C0"/>
              </a:solidFill>
              <a:latin typeface="Tahoma" panose="020B0604030504040204" pitchFamily="34" charset="0"/>
              <a:ea typeface="Tahoma" panose="020B0604030504040204" pitchFamily="34" charset="0"/>
              <a:cs typeface="Tahoma" panose="020B0604030504040204" pitchFamily="34" charset="0"/>
            </a:rPr>
            <a:t>They must struggle for equality, they must seek social programs, they must count on government to intercede for the vulnerable, they must push back against historical discrimination with identity politics using tools like intersectionality, multiculturalism and microagressions. </a:t>
          </a:r>
        </a:p>
        <a:p>
          <a:r>
            <a:rPr lang="en-US" sz="1300" spc="-50" baseline="0">
              <a:latin typeface="Tahoma" panose="020B0604030504040204" pitchFamily="34" charset="0"/>
              <a:ea typeface="Tahoma" panose="020B0604030504040204" pitchFamily="34" charset="0"/>
              <a:cs typeface="Tahoma" panose="020B0604030504040204" pitchFamily="34" charset="0"/>
            </a:rPr>
            <a:t>They must because their lives count on these to </a:t>
          </a:r>
          <a:r>
            <a:rPr lang="en-US" sz="1300" b="1" spc="-50" baseline="0">
              <a:solidFill>
                <a:srgbClr val="0070C0"/>
              </a:solidFill>
              <a:latin typeface="Tahoma" panose="020B0604030504040204" pitchFamily="34" charset="0"/>
              <a:ea typeface="Tahoma" panose="020B0604030504040204" pitchFamily="34" charset="0"/>
              <a:cs typeface="Tahoma" panose="020B0604030504040204" pitchFamily="34" charset="0"/>
            </a:rPr>
            <a:t>relieve</a:t>
          </a:r>
          <a:r>
            <a:rPr lang="en-US" sz="1300" spc="-50" baseline="0">
              <a:latin typeface="Tahoma" panose="020B0604030504040204" pitchFamily="34" charset="0"/>
              <a:ea typeface="Tahoma" panose="020B0604030504040204" pitchFamily="34" charset="0"/>
              <a:cs typeface="Tahoma" panose="020B0604030504040204" pitchFamily="34" charset="0"/>
            </a:rPr>
            <a:t> their painfully impacted social-needs. How this painfully impacts you is a separate matter, covered below.</a:t>
          </a:r>
        </a:p>
      </xdr:txBody>
    </xdr:sp>
    <xdr:clientData/>
  </xdr:twoCellAnchor>
  <xdr:twoCellAnchor>
    <xdr:from>
      <xdr:col>1</xdr:col>
      <xdr:colOff>15240</xdr:colOff>
      <xdr:row>507</xdr:row>
      <xdr:rowOff>89497</xdr:rowOff>
    </xdr:from>
    <xdr:to>
      <xdr:col>6</xdr:col>
      <xdr:colOff>464820</xdr:colOff>
      <xdr:row>544</xdr:row>
      <xdr:rowOff>5677</xdr:rowOff>
    </xdr:to>
    <xdr:sp macro="" textlink="">
      <xdr:nvSpPr>
        <xdr:cNvPr id="2295" name="TextBox 2294">
          <a:extLst>
            <a:ext uri="{FF2B5EF4-FFF2-40B4-BE49-F238E27FC236}">
              <a16:creationId xmlns:a16="http://schemas.microsoft.com/office/drawing/2014/main" id="{00000000-0008-0000-0200-0000F7080000}"/>
            </a:ext>
          </a:extLst>
        </xdr:cNvPr>
        <xdr:cNvSpPr txBox="1"/>
      </xdr:nvSpPr>
      <xdr:spPr>
        <a:xfrm>
          <a:off x="137160" y="102067957"/>
          <a:ext cx="2926080" cy="6400800"/>
        </a:xfrm>
        <a:prstGeom prst="rect">
          <a:avLst/>
        </a:prstGeom>
        <a:solidFill>
          <a:srgbClr val="FFFF00">
            <a:alpha val="67000"/>
          </a:srgbClr>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algn="r">
            <a:spcAft>
              <a:spcPts val="600"/>
            </a:spcAft>
          </a:pPr>
          <a:r>
            <a:rPr lang="en-US" sz="1400" b="1" spc="-20" baseline="0">
              <a:solidFill>
                <a:schemeClr val="dk1"/>
              </a:solidFill>
              <a:latin typeface="Tahoma" panose="020B0604030504040204" pitchFamily="34" charset="0"/>
              <a:ea typeface="Tahoma" panose="020B0604030504040204" pitchFamily="34" charset="0"/>
              <a:cs typeface="Tahoma" panose="020B0604030504040204" pitchFamily="34" charset="0"/>
            </a:rPr>
            <a:t>IF </a:t>
          </a:r>
          <a:r>
            <a:rPr lang="en-US" sz="1400" b="1" spc="-20" baseline="0">
              <a:ln>
                <a:solidFill>
                  <a:srgbClr val="0070C0"/>
                </a:solidFill>
              </a:ln>
              <a:solidFill>
                <a:schemeClr val="accent5">
                  <a:lumMod val="75000"/>
                </a:schemeClr>
              </a:solidFill>
              <a:latin typeface="Tahoma" panose="020B0604030504040204" pitchFamily="34" charset="0"/>
              <a:ea typeface="Tahoma" panose="020B0604030504040204" pitchFamily="34" charset="0"/>
              <a:cs typeface="Tahoma" panose="020B0604030504040204" pitchFamily="34" charset="0"/>
            </a:rPr>
            <a:t>WIDE-ORIENTED</a:t>
          </a:r>
          <a:r>
            <a:rPr lang="en-US" sz="1400" b="1" spc="-20" baseline="0">
              <a:solidFill>
                <a:schemeClr val="dk1"/>
              </a:solidFill>
              <a:latin typeface="Tahoma" panose="020B0604030504040204" pitchFamily="34" charset="0"/>
              <a:ea typeface="Tahoma" panose="020B0604030504040204" pitchFamily="34" charset="0"/>
              <a:cs typeface="Tahoma" panose="020B0604030504040204" pitchFamily="34" charset="0"/>
            </a:rPr>
            <a:t> ON THE </a:t>
          </a: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POLITICAL </a:t>
          </a:r>
          <a:r>
            <a:rPr lang="en-US" sz="1400" b="1" i="1" spc="0" baseline="0">
              <a:ln>
                <a:solidFill>
                  <a:srgbClr val="0070C0"/>
                </a:solidFill>
              </a:ln>
              <a:solidFill>
                <a:schemeClr val="accent5">
                  <a:lumMod val="75000"/>
                </a:schemeClr>
              </a:solidFill>
              <a:latin typeface="Tahoma" panose="020B0604030504040204" pitchFamily="34" charset="0"/>
              <a:ea typeface="Tahoma" panose="020B0604030504040204" pitchFamily="34" charset="0"/>
              <a:cs typeface="Tahoma" panose="020B0604030504040204" pitchFamily="34" charset="0"/>
            </a:rPr>
            <a:t>LEFT</a:t>
          </a: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 LISTEN TO THE </a:t>
          </a:r>
          <a:r>
            <a:rPr lang="en-US" sz="1400" b="1" baseline="0">
              <a:ln>
                <a:solidFill>
                  <a:srgbClr val="C00000"/>
                </a:solidFill>
              </a:ln>
              <a:solidFill>
                <a:srgbClr val="C80000"/>
              </a:solidFill>
              <a:latin typeface="Tahoma" panose="020B0604030504040204" pitchFamily="34" charset="0"/>
              <a:ea typeface="Tahoma" panose="020B0604030504040204" pitchFamily="34" charset="0"/>
              <a:cs typeface="Tahoma" panose="020B0604030504040204" pitchFamily="34" charset="0"/>
            </a:rPr>
            <a:t>DEEP-ORIENTED</a:t>
          </a:r>
        </a:p>
        <a:p>
          <a:pPr lvl="0" algn="r">
            <a:spcBef>
              <a:spcPts val="900"/>
            </a:spcBef>
            <a:spcAft>
              <a:spcPts val="900"/>
            </a:spcAft>
          </a:pPr>
          <a:r>
            <a:rPr lang="en-US" sz="1200" baseline="0">
              <a:solidFill>
                <a:schemeClr val="dk1"/>
              </a:solidFill>
              <a:latin typeface="Arial Black" panose="020B0A04020102020204" pitchFamily="34" charset="0"/>
              <a:ea typeface="Tahoma" panose="020B0604030504040204" pitchFamily="34" charset="0"/>
              <a:cs typeface="Tahoma" panose="020B0604030504040204" pitchFamily="34" charset="0"/>
            </a:rPr>
            <a:t>Can you feel their </a:t>
          </a:r>
          <a:r>
            <a:rPr lang="en-US" sz="1200" baseline="0">
              <a:ln>
                <a:solidFill>
                  <a:srgbClr val="FFFF00"/>
                </a:solidFill>
              </a:ln>
              <a:solidFill>
                <a:srgbClr val="FFFF00"/>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pain</a:t>
          </a:r>
          <a:r>
            <a:rPr lang="en-US" sz="1200" baseline="0">
              <a:solidFill>
                <a:schemeClr val="dk1"/>
              </a:solidFill>
              <a:latin typeface="Arial Black" panose="020B0A04020102020204" pitchFamily="34" charset="0"/>
              <a:ea typeface="Tahoma" panose="020B0604030504040204" pitchFamily="34" charset="0"/>
              <a:cs typeface="Tahoma" panose="020B0604030504040204" pitchFamily="34" charset="0"/>
            </a:rPr>
            <a:t> without insisting they feel yours first?</a:t>
          </a:r>
        </a:p>
        <a:p>
          <a:pPr algn="r">
            <a:spcBef>
              <a:spcPts val="0"/>
            </a:spcBef>
            <a:spcAft>
              <a:spcPts val="1200"/>
            </a:spcAft>
          </a:pPr>
          <a:r>
            <a:rPr lang="en-US" sz="1400" baseline="0">
              <a:solidFill>
                <a:schemeClr val="dk1"/>
              </a:solidFill>
              <a:latin typeface="Tahoma" panose="020B0604030504040204" pitchFamily="34" charset="0"/>
              <a:ea typeface="Tahoma" panose="020B0604030504040204" pitchFamily="34" charset="0"/>
              <a:cs typeface="Tahoma" panose="020B0604030504040204" pitchFamily="34" charset="0"/>
            </a:rPr>
            <a:t>Their resistance to </a:t>
          </a:r>
          <a:r>
            <a:rPr lang="en-US" sz="1400" baseline="0">
              <a:ln>
                <a:solidFill>
                  <a:srgbClr val="C80000"/>
                </a:solidFill>
              </a:ln>
              <a:solidFill>
                <a:srgbClr val="C00000"/>
              </a:solidFill>
              <a:latin typeface="Tahoma" panose="020B0604030504040204" pitchFamily="34" charset="0"/>
              <a:ea typeface="Tahoma" panose="020B0604030504040204" pitchFamily="34" charset="0"/>
              <a:cs typeface="Tahoma" panose="020B0604030504040204" pitchFamily="34" charset="0"/>
            </a:rPr>
            <a:t>government</a:t>
          </a:r>
          <a:r>
            <a:rPr lang="en-US" sz="140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400" b="1" baseline="0">
              <a:solidFill>
                <a:srgbClr val="C80000"/>
              </a:solidFill>
              <a:latin typeface="Tahoma" panose="020B0604030504040204" pitchFamily="34" charset="0"/>
              <a:ea typeface="Tahoma" panose="020B0604030504040204" pitchFamily="34" charset="0"/>
              <a:cs typeface="Tahoma" panose="020B0604030504040204" pitchFamily="34" charset="0"/>
            </a:rPr>
            <a:t>tyranny</a:t>
          </a:r>
          <a:r>
            <a:rPr lang="en-US" sz="140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400" baseline="0">
              <a:latin typeface="Tahoma" panose="020B0604030504040204" pitchFamily="34" charset="0"/>
              <a:ea typeface="Tahoma" panose="020B0604030504040204" pitchFamily="34" charset="0"/>
              <a:cs typeface="Tahoma" panose="020B0604030504040204" pitchFamily="34" charset="0"/>
            </a:rPr>
            <a:t>is painfully real.</a:t>
          </a:r>
          <a:r>
            <a:rPr lang="en-US" sz="1100" baseline="0">
              <a:latin typeface="Tahoma" panose="020B0604030504040204" pitchFamily="34" charset="0"/>
              <a:ea typeface="Tahoma" panose="020B0604030504040204" pitchFamily="34" charset="0"/>
              <a:cs typeface="Tahoma" panose="020B0604030504040204" pitchFamily="34" charset="0"/>
            </a:rPr>
            <a:t> </a:t>
          </a:r>
        </a:p>
        <a:p>
          <a:pPr algn="r"/>
          <a:r>
            <a:rPr lang="en-US" sz="1100" baseline="0">
              <a:latin typeface="Tahoma" panose="020B0604030504040204" pitchFamily="34" charset="0"/>
              <a:ea typeface="Tahoma" panose="020B0604030504040204" pitchFamily="34" charset="0"/>
              <a:cs typeface="Tahoma" panose="020B0604030504040204" pitchFamily="34" charset="0"/>
            </a:rPr>
            <a:t>They struggle to warn you of </a:t>
          </a:r>
          <a:r>
            <a:rPr lang="en-US" sz="1100" baseline="0">
              <a:ln>
                <a:solidFill>
                  <a:srgbClr val="C80000"/>
                </a:solidFill>
              </a:ln>
              <a:solidFill>
                <a:srgbClr val="C00000"/>
              </a:solidFill>
              <a:latin typeface="Tahoma" panose="020B0604030504040204" pitchFamily="34" charset="0"/>
              <a:ea typeface="Tahoma" panose="020B0604030504040204" pitchFamily="34" charset="0"/>
              <a:cs typeface="Tahoma" panose="020B0604030504040204" pitchFamily="34" charset="0"/>
            </a:rPr>
            <a:t>mounting</a:t>
          </a:r>
          <a:r>
            <a:rPr lang="en-US" sz="1100" baseline="0">
              <a:ln>
                <a:solidFill>
                  <a:srgbClr val="C80000"/>
                </a:solidFill>
              </a:ln>
              <a:latin typeface="Tahoma" panose="020B0604030504040204" pitchFamily="34" charset="0"/>
              <a:ea typeface="Tahoma" panose="020B0604030504040204" pitchFamily="34" charset="0"/>
              <a:cs typeface="Tahoma" panose="020B0604030504040204" pitchFamily="34" charset="0"/>
            </a:rPr>
            <a:t> </a:t>
          </a:r>
          <a:r>
            <a:rPr lang="en-US" sz="1100" baseline="0">
              <a:ln>
                <a:solidFill>
                  <a:srgbClr val="C80000"/>
                </a:solidFill>
              </a:ln>
              <a:solidFill>
                <a:srgbClr val="C00000"/>
              </a:solidFill>
              <a:latin typeface="Tahoma" panose="020B0604030504040204" pitchFamily="34" charset="0"/>
              <a:ea typeface="Tahoma" panose="020B0604030504040204" pitchFamily="34" charset="0"/>
              <a:cs typeface="Tahoma" panose="020B0604030504040204" pitchFamily="34" charset="0"/>
            </a:rPr>
            <a:t>disintegration</a:t>
          </a:r>
          <a:r>
            <a:rPr lang="en-US" sz="1100" baseline="0">
              <a:latin typeface="Tahoma" panose="020B0604030504040204" pitchFamily="34" charset="0"/>
              <a:ea typeface="Tahoma" panose="020B0604030504040204" pitchFamily="34" charset="0"/>
              <a:cs typeface="Tahoma" panose="020B0604030504040204" pitchFamily="34" charset="0"/>
            </a:rPr>
            <a:t> they endure from coercive government pressures on their once cohesive families, neighborhoods, towns. </a:t>
          </a:r>
          <a:r>
            <a:rPr lang="en-US" sz="1100" baseline="0">
              <a:effectLst>
                <a:glow rad="38100">
                  <a:srgbClr val="00B050"/>
                </a:glow>
              </a:effectLst>
              <a:latin typeface="Tahoma" panose="020B0604030504040204" pitchFamily="34" charset="0"/>
              <a:ea typeface="Tahoma" panose="020B0604030504040204" pitchFamily="34" charset="0"/>
              <a:cs typeface="Tahoma" panose="020B0604030504040204" pitchFamily="34" charset="0"/>
            </a:rPr>
            <a:t>They invite you to be part of the solution, </a:t>
          </a:r>
          <a:r>
            <a:rPr lang="en-US" sz="1100" baseline="0">
              <a:effectLst>
                <a:glow rad="38100">
                  <a:srgbClr val="FFFF00"/>
                </a:glow>
              </a:effectLst>
              <a:latin typeface="Tahoma" panose="020B0604030504040204" pitchFamily="34" charset="0"/>
              <a:ea typeface="Tahoma" panose="020B0604030504040204" pitchFamily="34" charset="0"/>
              <a:cs typeface="Tahoma" panose="020B0604030504040204" pitchFamily="34" charset="0"/>
            </a:rPr>
            <a:t>and not complicit with the problem</a:t>
          </a:r>
          <a:r>
            <a:rPr lang="en-US" sz="1100" baseline="0">
              <a:latin typeface="Tahoma" panose="020B0604030504040204" pitchFamily="34" charset="0"/>
              <a:ea typeface="Tahoma" panose="020B0604030504040204" pitchFamily="34" charset="0"/>
              <a:cs typeface="Tahoma" panose="020B0604030504040204" pitchFamily="34" charset="0"/>
            </a:rPr>
            <a:t>.</a:t>
          </a:r>
        </a:p>
        <a:p>
          <a:pPr algn="r"/>
          <a:endParaRPr lang="en-US" sz="1200" baseline="0">
            <a:latin typeface="Tahoma" panose="020B0604030504040204" pitchFamily="34" charset="0"/>
            <a:ea typeface="Tahoma" panose="020B0604030504040204" pitchFamily="34" charset="0"/>
            <a:cs typeface="Tahoma" panose="020B0604030504040204" pitchFamily="34" charset="0"/>
          </a:endParaRPr>
        </a:p>
        <a:p>
          <a:pPr algn="r"/>
          <a:r>
            <a:rPr lang="en-US" sz="1800" baseline="0">
              <a:latin typeface="Tahoma" panose="020B0604030504040204" pitchFamily="34" charset="0"/>
              <a:ea typeface="Tahoma" panose="020B0604030504040204" pitchFamily="34" charset="0"/>
              <a:cs typeface="Tahoma" panose="020B0604030504040204" pitchFamily="34" charset="0"/>
            </a:rPr>
            <a:t>They must </a:t>
          </a:r>
          <a:r>
            <a:rPr lang="en-US" sz="1800" b="1" baseline="0">
              <a:solidFill>
                <a:srgbClr val="C80000"/>
              </a:solidFill>
              <a:latin typeface="Tahoma" panose="020B0604030504040204" pitchFamily="34" charset="0"/>
              <a:ea typeface="Tahoma" panose="020B0604030504040204" pitchFamily="34" charset="0"/>
              <a:cs typeface="Tahoma" panose="020B0604030504040204" pitchFamily="34" charset="0"/>
            </a:rPr>
            <a:t>guard</a:t>
          </a:r>
          <a:r>
            <a:rPr lang="en-US" sz="1800" baseline="0">
              <a:latin typeface="Tahoma" panose="020B0604030504040204" pitchFamily="34" charset="0"/>
              <a:ea typeface="Tahoma" panose="020B0604030504040204" pitchFamily="34" charset="0"/>
              <a:cs typeface="Tahoma" panose="020B0604030504040204" pitchFamily="34" charset="0"/>
            </a:rPr>
            <a:t> their </a:t>
          </a:r>
          <a:r>
            <a:rPr lang="en-US" sz="1600" i="1" baseline="0">
              <a:latin typeface="Tahoma" panose="020B0604030504040204" pitchFamily="34" charset="0"/>
              <a:ea typeface="Tahoma" panose="020B0604030504040204" pitchFamily="34" charset="0"/>
              <a:cs typeface="Tahoma" panose="020B0604030504040204" pitchFamily="34" charset="0"/>
            </a:rPr>
            <a:t>more</a:t>
          </a:r>
          <a:r>
            <a:rPr lang="en-US" sz="1600" baseline="0">
              <a:latin typeface="Tahoma" panose="020B0604030504040204" pitchFamily="34" charset="0"/>
              <a:ea typeface="Tahoma" panose="020B0604030504040204" pitchFamily="34" charset="0"/>
              <a:cs typeface="Tahoma" panose="020B0604030504040204" pitchFamily="34" charset="0"/>
            </a:rPr>
            <a:t> resolved social-needs. </a:t>
          </a:r>
        </a:p>
        <a:p>
          <a:pPr algn="r">
            <a:spcBef>
              <a:spcPts val="600"/>
            </a:spcBef>
            <a:spcAft>
              <a:spcPts val="600"/>
            </a:spcAft>
          </a:pPr>
          <a:r>
            <a:rPr lang="en-US" sz="1100" baseline="0">
              <a:solidFill>
                <a:srgbClr val="C00000"/>
              </a:solidFill>
              <a:latin typeface="Tahoma" panose="020B0604030504040204" pitchFamily="34" charset="0"/>
              <a:ea typeface="Tahoma" panose="020B0604030504040204" pitchFamily="34" charset="0"/>
              <a:cs typeface="Tahoma" panose="020B0604030504040204" pitchFamily="34" charset="0"/>
            </a:rPr>
            <a:t>They must conserve their traditionally loyal relationships, they must guard their loved ones from individual threats of violence, they must protect their hard-earned property, they must preserve free enterprise, and resist any outside threats to their working way of cohesive life. </a:t>
          </a: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 </a:t>
          </a:r>
        </a:p>
        <a:p>
          <a:pPr algn="r"/>
          <a:r>
            <a:rPr lang="en-US" sz="1300" spc="-50" baseline="0">
              <a:latin typeface="Tahoma" panose="020B0604030504040204" pitchFamily="34" charset="0"/>
              <a:ea typeface="Tahoma" panose="020B0604030504040204" pitchFamily="34" charset="0"/>
              <a:cs typeface="Tahoma" panose="020B0604030504040204" pitchFamily="34" charset="0"/>
            </a:rPr>
            <a:t>They must because their lives count on these to </a:t>
          </a:r>
          <a:r>
            <a:rPr lang="en-US" sz="1300" b="1" spc="-50" baseline="0">
              <a:solidFill>
                <a:srgbClr val="C80000"/>
              </a:solidFill>
              <a:latin typeface="Tahoma" panose="020B0604030504040204" pitchFamily="34" charset="0"/>
              <a:ea typeface="Tahoma" panose="020B0604030504040204" pitchFamily="34" charset="0"/>
              <a:cs typeface="Tahoma" panose="020B0604030504040204" pitchFamily="34" charset="0"/>
            </a:rPr>
            <a:t>guard</a:t>
          </a:r>
          <a:r>
            <a:rPr lang="en-US" sz="1300" spc="-50" baseline="0">
              <a:latin typeface="Tahoma" panose="020B0604030504040204" pitchFamily="34" charset="0"/>
              <a:ea typeface="Tahoma" panose="020B0604030504040204" pitchFamily="34" charset="0"/>
              <a:cs typeface="Tahoma" panose="020B0604030504040204" pitchFamily="34" charset="0"/>
            </a:rPr>
            <a:t> their painfully impacted social-needs. How this painfully impacts </a:t>
          </a:r>
          <a:r>
            <a:rPr lang="en-US" sz="1300" spc="-60" baseline="0">
              <a:latin typeface="Tahoma" panose="020B0604030504040204" pitchFamily="34" charset="0"/>
              <a:ea typeface="Tahoma" panose="020B0604030504040204" pitchFamily="34" charset="0"/>
              <a:cs typeface="Tahoma" panose="020B0604030504040204" pitchFamily="34" charset="0"/>
            </a:rPr>
            <a:t>you is a separate matter,</a:t>
          </a:r>
          <a:r>
            <a:rPr lang="en-US" sz="1300" spc="-50" baseline="0">
              <a:latin typeface="Tahoma" panose="020B0604030504040204" pitchFamily="34" charset="0"/>
              <a:ea typeface="Tahoma" panose="020B0604030504040204" pitchFamily="34" charset="0"/>
              <a:cs typeface="Tahoma" panose="020B0604030504040204" pitchFamily="34" charset="0"/>
            </a:rPr>
            <a:t> covered below.</a:t>
          </a:r>
        </a:p>
      </xdr:txBody>
    </xdr:sp>
    <xdr:clientData/>
  </xdr:twoCellAnchor>
  <xdr:twoCellAnchor>
    <xdr:from>
      <xdr:col>1</xdr:col>
      <xdr:colOff>30480</xdr:colOff>
      <xdr:row>548</xdr:row>
      <xdr:rowOff>91440</xdr:rowOff>
    </xdr:from>
    <xdr:to>
      <xdr:col>12</xdr:col>
      <xdr:colOff>434340</xdr:colOff>
      <xdr:row>552</xdr:row>
      <xdr:rowOff>76200</xdr:rowOff>
    </xdr:to>
    <xdr:sp macro="" textlink="">
      <xdr:nvSpPr>
        <xdr:cNvPr id="18" name="Rectangle: Rounded Corners 17">
          <a:extLst>
            <a:ext uri="{FF2B5EF4-FFF2-40B4-BE49-F238E27FC236}">
              <a16:creationId xmlns:a16="http://schemas.microsoft.com/office/drawing/2014/main" id="{00000000-0008-0000-0200-000012000000}"/>
            </a:ext>
          </a:extLst>
        </xdr:cNvPr>
        <xdr:cNvSpPr/>
      </xdr:nvSpPr>
      <xdr:spPr>
        <a:xfrm>
          <a:off x="152400" y="92247720"/>
          <a:ext cx="5852160" cy="685800"/>
        </a:xfrm>
        <a:prstGeom prst="roundRect">
          <a:avLst>
            <a:gd name="adj" fmla="val 31111"/>
          </a:avLst>
        </a:prstGeom>
        <a:solidFill>
          <a:srgbClr val="7030A0"/>
        </a:solidFill>
        <a:ln w="28575">
          <a:solidFill>
            <a:srgbClr val="FF99FF"/>
          </a:solidFill>
        </a:ln>
        <a:effectLst>
          <a:outerShdw blurRad="50800" dist="38100" dir="5400000" algn="t" rotWithShape="0">
            <a:prstClr val="black">
              <a:alpha val="40000"/>
            </a:prstClr>
          </a:outerShdw>
        </a:effectLst>
        <a:scene3d>
          <a:camera prst="orthographicFront"/>
          <a:lightRig rig="threePt" dir="t"/>
        </a:scene3d>
        <a:sp3d>
          <a:bevelT w="152400" h="50800" prst="softRound"/>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685800" tIns="0" rIns="68580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baseline="0">
              <a:solidFill>
                <a:srgbClr val="FF99FF"/>
              </a:solidFill>
              <a:effectLst>
                <a:outerShdw blurRad="50800" dist="38100" dir="5400000" algn="t" rotWithShape="0">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Those forcibly opposing the needs of another easily becomes the evil they fear in the other.</a:t>
          </a:r>
          <a:endParaRPr lang="en-US" sz="1400">
            <a:solidFill>
              <a:srgbClr val="FF99FF"/>
            </a:solidFill>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25615</xdr:colOff>
      <xdr:row>461</xdr:row>
      <xdr:rowOff>30461</xdr:rowOff>
    </xdr:from>
    <xdr:to>
      <xdr:col>6</xdr:col>
      <xdr:colOff>444715</xdr:colOff>
      <xdr:row>483</xdr:row>
      <xdr:rowOff>91362</xdr:rowOff>
    </xdr:to>
    <xdr:grpSp>
      <xdr:nvGrpSpPr>
        <xdr:cNvPr id="2338" name="Group 2337">
          <a:extLst>
            <a:ext uri="{FF2B5EF4-FFF2-40B4-BE49-F238E27FC236}">
              <a16:creationId xmlns:a16="http://schemas.microsoft.com/office/drawing/2014/main" id="{00000000-0008-0000-0200-000022090000}"/>
            </a:ext>
          </a:extLst>
        </xdr:cNvPr>
        <xdr:cNvGrpSpPr>
          <a:grpSpLocks noChangeAspect="1"/>
        </xdr:cNvGrpSpPr>
      </xdr:nvGrpSpPr>
      <xdr:grpSpPr>
        <a:xfrm>
          <a:off x="25615" y="93771701"/>
          <a:ext cx="3048000" cy="3916621"/>
          <a:chOff x="16390877" y="104371619"/>
          <a:chExt cx="3394451" cy="4176376"/>
        </a:xfrm>
      </xdr:grpSpPr>
      <xdr:sp macro="" textlink="">
        <xdr:nvSpPr>
          <xdr:cNvPr id="2340" name="Speech Bubble: Oval 2339">
            <a:extLst>
              <a:ext uri="{FF2B5EF4-FFF2-40B4-BE49-F238E27FC236}">
                <a16:creationId xmlns:a16="http://schemas.microsoft.com/office/drawing/2014/main" id="{00000000-0008-0000-0200-000024090000}"/>
              </a:ext>
            </a:extLst>
          </xdr:cNvPr>
          <xdr:cNvSpPr/>
        </xdr:nvSpPr>
        <xdr:spPr>
          <a:xfrm>
            <a:off x="16390877" y="104371619"/>
            <a:ext cx="3394451" cy="926292"/>
          </a:xfrm>
          <a:prstGeom prst="wedgeEllipseCallout">
            <a:avLst>
              <a:gd name="adj1" fmla="val -26576"/>
              <a:gd name="adj2" fmla="val 97459"/>
            </a:avLst>
          </a:prstGeom>
          <a:solidFill>
            <a:srgbClr val="0070C0"/>
          </a:solidFill>
          <a:ln>
            <a:solidFill>
              <a:srgbClr val="0070C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nvGrpSpPr>
          <xdr:cNvPr id="2339" name="Group 2338">
            <a:extLst>
              <a:ext uri="{FF2B5EF4-FFF2-40B4-BE49-F238E27FC236}">
                <a16:creationId xmlns:a16="http://schemas.microsoft.com/office/drawing/2014/main" id="{00000000-0008-0000-0200-000023090000}"/>
              </a:ext>
            </a:extLst>
          </xdr:cNvPr>
          <xdr:cNvGrpSpPr/>
        </xdr:nvGrpSpPr>
        <xdr:grpSpPr>
          <a:xfrm>
            <a:off x="16602074" y="105804805"/>
            <a:ext cx="1053296" cy="2743190"/>
            <a:chOff x="16602074" y="105804805"/>
            <a:chExt cx="1053296" cy="2743190"/>
          </a:xfrm>
        </xdr:grpSpPr>
        <xdr:grpSp>
          <xdr:nvGrpSpPr>
            <xdr:cNvPr id="2341" name="Group 2340">
              <a:extLst>
                <a:ext uri="{FF2B5EF4-FFF2-40B4-BE49-F238E27FC236}">
                  <a16:creationId xmlns:a16="http://schemas.microsoft.com/office/drawing/2014/main" id="{00000000-0008-0000-0200-000025090000}"/>
                </a:ext>
              </a:extLst>
            </xdr:cNvPr>
            <xdr:cNvGrpSpPr>
              <a:grpSpLocks noChangeAspect="1"/>
            </xdr:cNvGrpSpPr>
          </xdr:nvGrpSpPr>
          <xdr:grpSpPr>
            <a:xfrm>
              <a:off x="16602074" y="105804805"/>
              <a:ext cx="1053296" cy="2743190"/>
              <a:chOff x="4819649" y="105558344"/>
              <a:chExt cx="2600325" cy="6772262"/>
            </a:xfrm>
            <a:solidFill>
              <a:srgbClr val="00B0F0"/>
            </a:solidFill>
          </xdr:grpSpPr>
          <xdr:sp macro="" textlink="">
            <xdr:nvSpPr>
              <xdr:cNvPr id="2346" name="Rectangle: Rounded Corners 2345">
                <a:extLst>
                  <a:ext uri="{FF2B5EF4-FFF2-40B4-BE49-F238E27FC236}">
                    <a16:creationId xmlns:a16="http://schemas.microsoft.com/office/drawing/2014/main" id="{00000000-0008-0000-0200-00002A090000}"/>
                  </a:ext>
                </a:extLst>
              </xdr:cNvPr>
              <xdr:cNvSpPr/>
            </xdr:nvSpPr>
            <xdr:spPr>
              <a:xfrm>
                <a:off x="4819649" y="107206134"/>
                <a:ext cx="457199" cy="2286005"/>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47" name="Rectangle: Rounded Corners 2346">
                <a:extLst>
                  <a:ext uri="{FF2B5EF4-FFF2-40B4-BE49-F238E27FC236}">
                    <a16:creationId xmlns:a16="http://schemas.microsoft.com/office/drawing/2014/main" id="{00000000-0008-0000-0200-00002B090000}"/>
                  </a:ext>
                </a:extLst>
              </xdr:cNvPr>
              <xdr:cNvSpPr/>
            </xdr:nvSpPr>
            <xdr:spPr>
              <a:xfrm>
                <a:off x="6962775" y="107206134"/>
                <a:ext cx="457199" cy="2286005"/>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48" name="Rectangle: Rounded Corners 2347">
                <a:extLst>
                  <a:ext uri="{FF2B5EF4-FFF2-40B4-BE49-F238E27FC236}">
                    <a16:creationId xmlns:a16="http://schemas.microsoft.com/office/drawing/2014/main" id="{00000000-0008-0000-0200-00002C090000}"/>
                  </a:ext>
                </a:extLst>
              </xdr:cNvPr>
              <xdr:cNvSpPr/>
            </xdr:nvSpPr>
            <xdr:spPr>
              <a:xfrm rot="16200000">
                <a:off x="5553073" y="106139349"/>
                <a:ext cx="1133480" cy="2581277"/>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49" name="Rectangle: Rounded Corners 2348">
                <a:extLst>
                  <a:ext uri="{FF2B5EF4-FFF2-40B4-BE49-F238E27FC236}">
                    <a16:creationId xmlns:a16="http://schemas.microsoft.com/office/drawing/2014/main" id="{00000000-0008-0000-0200-00002D090000}"/>
                  </a:ext>
                </a:extLst>
              </xdr:cNvPr>
              <xdr:cNvSpPr/>
            </xdr:nvSpPr>
            <xdr:spPr>
              <a:xfrm rot="16200000">
                <a:off x="5557836" y="105553582"/>
                <a:ext cx="1133480"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50" name="Rectangle: Rounded Corners 2349">
                <a:extLst>
                  <a:ext uri="{FF2B5EF4-FFF2-40B4-BE49-F238E27FC236}">
                    <a16:creationId xmlns:a16="http://schemas.microsoft.com/office/drawing/2014/main" id="{00000000-0008-0000-0200-00002E090000}"/>
                  </a:ext>
                </a:extLst>
              </xdr:cNvPr>
              <xdr:cNvSpPr/>
            </xdr:nvSpPr>
            <xdr:spPr>
              <a:xfrm rot="16200000">
                <a:off x="5210177" y="108006242"/>
                <a:ext cx="1828801"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51" name="Rectangle: Rounded Corners 2350">
                <a:extLst>
                  <a:ext uri="{FF2B5EF4-FFF2-40B4-BE49-F238E27FC236}">
                    <a16:creationId xmlns:a16="http://schemas.microsoft.com/office/drawing/2014/main" id="{00000000-0008-0000-0200-00002F090000}"/>
                  </a:ext>
                </a:extLst>
              </xdr:cNvPr>
              <xdr:cNvSpPr/>
            </xdr:nvSpPr>
            <xdr:spPr>
              <a:xfrm>
                <a:off x="5419726" y="107301392"/>
                <a:ext cx="640079" cy="5029214"/>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52" name="Rectangle: Rounded Corners 2351">
                <a:extLst>
                  <a:ext uri="{FF2B5EF4-FFF2-40B4-BE49-F238E27FC236}">
                    <a16:creationId xmlns:a16="http://schemas.microsoft.com/office/drawing/2014/main" id="{00000000-0008-0000-0200-000030090000}"/>
                  </a:ext>
                </a:extLst>
              </xdr:cNvPr>
              <xdr:cNvSpPr/>
            </xdr:nvSpPr>
            <xdr:spPr>
              <a:xfrm>
                <a:off x="6200775" y="107301389"/>
                <a:ext cx="640079" cy="5029215"/>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42" name="Group 2341">
              <a:extLst>
                <a:ext uri="{FF2B5EF4-FFF2-40B4-BE49-F238E27FC236}">
                  <a16:creationId xmlns:a16="http://schemas.microsoft.com/office/drawing/2014/main" id="{00000000-0008-0000-0200-000026090000}"/>
                </a:ext>
              </a:extLst>
            </xdr:cNvPr>
            <xdr:cNvGrpSpPr/>
          </xdr:nvGrpSpPr>
          <xdr:grpSpPr>
            <a:xfrm>
              <a:off x="16655688" y="106437442"/>
              <a:ext cx="953589" cy="1109382"/>
              <a:chOff x="1638300" y="401840"/>
              <a:chExt cx="1112520" cy="1371600"/>
            </a:xfrm>
          </xdr:grpSpPr>
          <xdr:sp macro="" textlink="">
            <xdr:nvSpPr>
              <xdr:cNvPr id="2343" name="Rectangle 2342">
                <a:extLst>
                  <a:ext uri="{FF2B5EF4-FFF2-40B4-BE49-F238E27FC236}">
                    <a16:creationId xmlns:a16="http://schemas.microsoft.com/office/drawing/2014/main" id="{00000000-0008-0000-0200-000027090000}"/>
                  </a:ext>
                </a:extLst>
              </xdr:cNvPr>
              <xdr:cNvSpPr/>
            </xdr:nvSpPr>
            <xdr:spPr>
              <a:xfrm>
                <a:off x="1638300" y="401840"/>
                <a:ext cx="457200" cy="1371600"/>
              </a:xfrm>
              <a:prstGeom prst="rect">
                <a:avLst/>
              </a:prstGeom>
              <a:gradFill>
                <a:gsLst>
                  <a:gs pos="0">
                    <a:schemeClr val="bg1">
                      <a:lumMod val="95000"/>
                    </a:schemeClr>
                  </a:gs>
                  <a:gs pos="29000">
                    <a:schemeClr val="bg1">
                      <a:lumMod val="95000"/>
                    </a:schemeClr>
                  </a:gs>
                  <a:gs pos="30000">
                    <a:schemeClr val="accent6">
                      <a:lumMod val="40000"/>
                      <a:lumOff val="60000"/>
                    </a:schemeClr>
                  </a:gs>
                  <a:gs pos="100000">
                    <a:schemeClr val="accent6">
                      <a:lumMod val="60000"/>
                      <a:lumOff val="40000"/>
                    </a:schemeClr>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44" name="Rectangle 2343">
                <a:extLst>
                  <a:ext uri="{FF2B5EF4-FFF2-40B4-BE49-F238E27FC236}">
                    <a16:creationId xmlns:a16="http://schemas.microsoft.com/office/drawing/2014/main" id="{00000000-0008-0000-0200-000028090000}"/>
                  </a:ext>
                </a:extLst>
              </xdr:cNvPr>
              <xdr:cNvSpPr/>
            </xdr:nvSpPr>
            <xdr:spPr>
              <a:xfrm>
                <a:off x="2293620" y="401840"/>
                <a:ext cx="457200" cy="1371600"/>
              </a:xfrm>
              <a:prstGeom prst="rect">
                <a:avLst/>
              </a:prstGeom>
              <a:gradFill>
                <a:gsLst>
                  <a:gs pos="0">
                    <a:schemeClr val="bg1">
                      <a:lumMod val="95000"/>
                    </a:schemeClr>
                  </a:gs>
                  <a:gs pos="39000">
                    <a:schemeClr val="bg1">
                      <a:lumMod val="95000"/>
                    </a:schemeClr>
                  </a:gs>
                  <a:gs pos="40000">
                    <a:srgbClr val="F0CDFF"/>
                  </a:gs>
                  <a:gs pos="100000">
                    <a:srgbClr val="D7B9FF"/>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45" name="Straight Connector 2344">
                <a:extLst>
                  <a:ext uri="{FF2B5EF4-FFF2-40B4-BE49-F238E27FC236}">
                    <a16:creationId xmlns:a16="http://schemas.microsoft.com/office/drawing/2014/main" id="{00000000-0008-0000-0200-000029090000}"/>
                  </a:ext>
                </a:extLst>
              </xdr:cNvPr>
              <xdr:cNvCxnSpPr/>
            </xdr:nvCxnSpPr>
            <xdr:spPr>
              <a:xfrm flipH="1" flipV="1">
                <a:off x="2095500" y="820335"/>
                <a:ext cx="198120" cy="129739"/>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grpSp>
    <xdr:clientData/>
  </xdr:twoCellAnchor>
  <xdr:twoCellAnchor>
    <xdr:from>
      <xdr:col>7</xdr:col>
      <xdr:colOff>45717</xdr:colOff>
      <xdr:row>461</xdr:row>
      <xdr:rowOff>30461</xdr:rowOff>
    </xdr:from>
    <xdr:to>
      <xdr:col>13</xdr:col>
      <xdr:colOff>91437</xdr:colOff>
      <xdr:row>483</xdr:row>
      <xdr:rowOff>106665</xdr:rowOff>
    </xdr:to>
    <xdr:grpSp>
      <xdr:nvGrpSpPr>
        <xdr:cNvPr id="2353" name="Group 2352">
          <a:extLst>
            <a:ext uri="{FF2B5EF4-FFF2-40B4-BE49-F238E27FC236}">
              <a16:creationId xmlns:a16="http://schemas.microsoft.com/office/drawing/2014/main" id="{00000000-0008-0000-0200-000031090000}"/>
            </a:ext>
          </a:extLst>
        </xdr:cNvPr>
        <xdr:cNvGrpSpPr>
          <a:grpSpLocks noChangeAspect="1"/>
        </xdr:cNvGrpSpPr>
      </xdr:nvGrpSpPr>
      <xdr:grpSpPr>
        <a:xfrm>
          <a:off x="3177537" y="93771701"/>
          <a:ext cx="3063240" cy="3931924"/>
          <a:chOff x="15792437" y="104350839"/>
          <a:chExt cx="3360336" cy="4157901"/>
        </a:xfrm>
      </xdr:grpSpPr>
      <xdr:grpSp>
        <xdr:nvGrpSpPr>
          <xdr:cNvPr id="2354" name="Group 2353">
            <a:extLst>
              <a:ext uri="{FF2B5EF4-FFF2-40B4-BE49-F238E27FC236}">
                <a16:creationId xmlns:a16="http://schemas.microsoft.com/office/drawing/2014/main" id="{00000000-0008-0000-0200-000032090000}"/>
              </a:ext>
            </a:extLst>
          </xdr:cNvPr>
          <xdr:cNvGrpSpPr/>
        </xdr:nvGrpSpPr>
        <xdr:grpSpPr>
          <a:xfrm>
            <a:off x="17926049" y="105765540"/>
            <a:ext cx="1053296" cy="2743200"/>
            <a:chOff x="17926049" y="105765540"/>
            <a:chExt cx="1053296" cy="2743200"/>
          </a:xfrm>
        </xdr:grpSpPr>
        <xdr:grpSp>
          <xdr:nvGrpSpPr>
            <xdr:cNvPr id="2356" name="Group 2355">
              <a:extLst>
                <a:ext uri="{FF2B5EF4-FFF2-40B4-BE49-F238E27FC236}">
                  <a16:creationId xmlns:a16="http://schemas.microsoft.com/office/drawing/2014/main" id="{00000000-0008-0000-0200-000034090000}"/>
                </a:ext>
              </a:extLst>
            </xdr:cNvPr>
            <xdr:cNvGrpSpPr>
              <a:grpSpLocks noChangeAspect="1"/>
            </xdr:cNvGrpSpPr>
          </xdr:nvGrpSpPr>
          <xdr:grpSpPr>
            <a:xfrm>
              <a:off x="17926049" y="105765540"/>
              <a:ext cx="1053296" cy="2743200"/>
              <a:chOff x="4819649" y="105531775"/>
              <a:chExt cx="2600325" cy="6772276"/>
            </a:xfrm>
            <a:solidFill>
              <a:srgbClr val="FF7171"/>
            </a:solidFill>
          </xdr:grpSpPr>
          <xdr:sp macro="" textlink="">
            <xdr:nvSpPr>
              <xdr:cNvPr id="2361" name="Rectangle: Rounded Corners 2360">
                <a:extLst>
                  <a:ext uri="{FF2B5EF4-FFF2-40B4-BE49-F238E27FC236}">
                    <a16:creationId xmlns:a16="http://schemas.microsoft.com/office/drawing/2014/main" id="{00000000-0008-0000-0200-000039090000}"/>
                  </a:ext>
                </a:extLst>
              </xdr:cNvPr>
              <xdr:cNvSpPr/>
            </xdr:nvSpPr>
            <xdr:spPr>
              <a:xfrm>
                <a:off x="4819649" y="107179603"/>
                <a:ext cx="457201" cy="2286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2" name="Rectangle: Rounded Corners 2361">
                <a:extLst>
                  <a:ext uri="{FF2B5EF4-FFF2-40B4-BE49-F238E27FC236}">
                    <a16:creationId xmlns:a16="http://schemas.microsoft.com/office/drawing/2014/main" id="{00000000-0008-0000-0200-00003A090000}"/>
                  </a:ext>
                </a:extLst>
              </xdr:cNvPr>
              <xdr:cNvSpPr/>
            </xdr:nvSpPr>
            <xdr:spPr>
              <a:xfrm>
                <a:off x="6962773" y="107179603"/>
                <a:ext cx="457201" cy="2286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3" name="Rectangle: Rounded Corners 2362">
                <a:extLst>
                  <a:ext uri="{FF2B5EF4-FFF2-40B4-BE49-F238E27FC236}">
                    <a16:creationId xmlns:a16="http://schemas.microsoft.com/office/drawing/2014/main" id="{00000000-0008-0000-0200-00003B090000}"/>
                  </a:ext>
                </a:extLst>
              </xdr:cNvPr>
              <xdr:cNvSpPr/>
            </xdr:nvSpPr>
            <xdr:spPr>
              <a:xfrm rot="16200000">
                <a:off x="5553074" y="106112802"/>
                <a:ext cx="1133478"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4" name="Rectangle: Rounded Corners 2363">
                <a:extLst>
                  <a:ext uri="{FF2B5EF4-FFF2-40B4-BE49-F238E27FC236}">
                    <a16:creationId xmlns:a16="http://schemas.microsoft.com/office/drawing/2014/main" id="{00000000-0008-0000-0200-00003C090000}"/>
                  </a:ext>
                </a:extLst>
              </xdr:cNvPr>
              <xdr:cNvSpPr/>
            </xdr:nvSpPr>
            <xdr:spPr>
              <a:xfrm rot="16200000">
                <a:off x="5557838" y="105527012"/>
                <a:ext cx="1133478" cy="1143003"/>
              </a:xfrm>
              <a:prstGeom prst="roundRect">
                <a:avLst>
                  <a:gd name="adj" fmla="val 47917"/>
                </a:avLst>
              </a:prstGeom>
              <a:solidFill>
                <a:srgbClr val="FF505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5" name="Rectangle: Rounded Corners 2364">
                <a:extLst>
                  <a:ext uri="{FF2B5EF4-FFF2-40B4-BE49-F238E27FC236}">
                    <a16:creationId xmlns:a16="http://schemas.microsoft.com/office/drawing/2014/main" id="{00000000-0008-0000-0200-00003D090000}"/>
                  </a:ext>
                </a:extLst>
              </xdr:cNvPr>
              <xdr:cNvSpPr/>
            </xdr:nvSpPr>
            <xdr:spPr>
              <a:xfrm rot="16200000">
                <a:off x="5210177" y="107979697"/>
                <a:ext cx="1828800"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6" name="Rectangle: Rounded Corners 2365">
                <a:extLst>
                  <a:ext uri="{FF2B5EF4-FFF2-40B4-BE49-F238E27FC236}">
                    <a16:creationId xmlns:a16="http://schemas.microsoft.com/office/drawing/2014/main" id="{00000000-0008-0000-0200-00003E090000}"/>
                  </a:ext>
                </a:extLst>
              </xdr:cNvPr>
              <xdr:cNvSpPr/>
            </xdr:nvSpPr>
            <xdr:spPr>
              <a:xfrm>
                <a:off x="5419725" y="107274852"/>
                <a:ext cx="640080" cy="5029199"/>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7" name="Rectangle: Rounded Corners 2366">
                <a:extLst>
                  <a:ext uri="{FF2B5EF4-FFF2-40B4-BE49-F238E27FC236}">
                    <a16:creationId xmlns:a16="http://schemas.microsoft.com/office/drawing/2014/main" id="{00000000-0008-0000-0200-00003F090000}"/>
                  </a:ext>
                </a:extLst>
              </xdr:cNvPr>
              <xdr:cNvSpPr/>
            </xdr:nvSpPr>
            <xdr:spPr>
              <a:xfrm>
                <a:off x="6200776" y="107274852"/>
                <a:ext cx="640080" cy="5029199"/>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57" name="Group 2356">
              <a:extLst>
                <a:ext uri="{FF2B5EF4-FFF2-40B4-BE49-F238E27FC236}">
                  <a16:creationId xmlns:a16="http://schemas.microsoft.com/office/drawing/2014/main" id="{00000000-0008-0000-0200-000035090000}"/>
                </a:ext>
              </a:extLst>
            </xdr:cNvPr>
            <xdr:cNvGrpSpPr/>
          </xdr:nvGrpSpPr>
          <xdr:grpSpPr>
            <a:xfrm>
              <a:off x="17977758" y="106398109"/>
              <a:ext cx="953589" cy="1109382"/>
              <a:chOff x="1638300" y="388557"/>
              <a:chExt cx="1112520" cy="1371600"/>
            </a:xfrm>
          </xdr:grpSpPr>
          <xdr:sp macro="" textlink="">
            <xdr:nvSpPr>
              <xdr:cNvPr id="2358" name="Rectangle 2357">
                <a:extLst>
                  <a:ext uri="{FF2B5EF4-FFF2-40B4-BE49-F238E27FC236}">
                    <a16:creationId xmlns:a16="http://schemas.microsoft.com/office/drawing/2014/main" id="{00000000-0008-0000-0200-000036090000}"/>
                  </a:ext>
                </a:extLst>
              </xdr:cNvPr>
              <xdr:cNvSpPr/>
            </xdr:nvSpPr>
            <xdr:spPr>
              <a:xfrm>
                <a:off x="1638300" y="388557"/>
                <a:ext cx="457200" cy="1371600"/>
              </a:xfrm>
              <a:prstGeom prst="rect">
                <a:avLst/>
              </a:prstGeom>
              <a:gradFill>
                <a:gsLst>
                  <a:gs pos="0">
                    <a:schemeClr val="bg1">
                      <a:lumMod val="95000"/>
                    </a:schemeClr>
                  </a:gs>
                  <a:gs pos="39000">
                    <a:schemeClr val="bg1">
                      <a:lumMod val="95000"/>
                    </a:schemeClr>
                  </a:gs>
                  <a:gs pos="40000">
                    <a:schemeClr val="accent6">
                      <a:lumMod val="40000"/>
                      <a:lumOff val="60000"/>
                    </a:schemeClr>
                  </a:gs>
                  <a:gs pos="100000">
                    <a:schemeClr val="accent6">
                      <a:lumMod val="60000"/>
                      <a:lumOff val="40000"/>
                    </a:schemeClr>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59" name="Rectangle 2358">
                <a:extLst>
                  <a:ext uri="{FF2B5EF4-FFF2-40B4-BE49-F238E27FC236}">
                    <a16:creationId xmlns:a16="http://schemas.microsoft.com/office/drawing/2014/main" id="{00000000-0008-0000-0200-000037090000}"/>
                  </a:ext>
                </a:extLst>
              </xdr:cNvPr>
              <xdr:cNvSpPr/>
            </xdr:nvSpPr>
            <xdr:spPr>
              <a:xfrm>
                <a:off x="2293620" y="388557"/>
                <a:ext cx="457200" cy="1371600"/>
              </a:xfrm>
              <a:prstGeom prst="rect">
                <a:avLst/>
              </a:prstGeom>
              <a:gradFill>
                <a:gsLst>
                  <a:gs pos="0">
                    <a:schemeClr val="bg1">
                      <a:lumMod val="95000"/>
                    </a:schemeClr>
                  </a:gs>
                  <a:gs pos="29000">
                    <a:schemeClr val="bg1">
                      <a:lumMod val="95000"/>
                    </a:schemeClr>
                  </a:gs>
                  <a:gs pos="30000">
                    <a:srgbClr val="F0CDFF"/>
                  </a:gs>
                  <a:gs pos="100000">
                    <a:srgbClr val="D7B9FF"/>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60" name="Straight Connector 2359">
                <a:extLst>
                  <a:ext uri="{FF2B5EF4-FFF2-40B4-BE49-F238E27FC236}">
                    <a16:creationId xmlns:a16="http://schemas.microsoft.com/office/drawing/2014/main" id="{00000000-0008-0000-0200-000038090000}"/>
                  </a:ext>
                </a:extLst>
              </xdr:cNvPr>
              <xdr:cNvCxnSpPr/>
            </xdr:nvCxnSpPr>
            <xdr:spPr>
              <a:xfrm flipV="1">
                <a:off x="2094288" y="79982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55" name="Speech Bubble: Oval 2354">
            <a:extLst>
              <a:ext uri="{FF2B5EF4-FFF2-40B4-BE49-F238E27FC236}">
                <a16:creationId xmlns:a16="http://schemas.microsoft.com/office/drawing/2014/main" id="{00000000-0008-0000-0200-000033090000}"/>
              </a:ext>
            </a:extLst>
          </xdr:cNvPr>
          <xdr:cNvSpPr/>
        </xdr:nvSpPr>
        <xdr:spPr>
          <a:xfrm flipH="1">
            <a:off x="15792437" y="104350839"/>
            <a:ext cx="3360336" cy="915778"/>
          </a:xfrm>
          <a:prstGeom prst="wedgeEllipseCallout">
            <a:avLst>
              <a:gd name="adj1" fmla="val -24638"/>
              <a:gd name="adj2" fmla="val 100778"/>
            </a:avLst>
          </a:prstGeom>
          <a:solidFill>
            <a:srgbClr val="C00000"/>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7</xdr:col>
      <xdr:colOff>169815</xdr:colOff>
      <xdr:row>462</xdr:row>
      <xdr:rowOff>1131</xdr:rowOff>
    </xdr:from>
    <xdr:to>
      <xdr:col>12</xdr:col>
      <xdr:colOff>436515</xdr:colOff>
      <xdr:row>465</xdr:row>
      <xdr:rowOff>92571</xdr:rowOff>
    </xdr:to>
    <xdr:sp macro="" textlink="">
      <xdr:nvSpPr>
        <xdr:cNvPr id="1598" name="Government serves best when it serves least.">
          <a:extLst>
            <a:ext uri="{FF2B5EF4-FFF2-40B4-BE49-F238E27FC236}">
              <a16:creationId xmlns:a16="http://schemas.microsoft.com/office/drawing/2014/main" id="{00000000-0008-0000-0200-00003E060000}"/>
            </a:ext>
          </a:extLst>
        </xdr:cNvPr>
        <xdr:cNvSpPr txBox="1">
          <a:spLocks/>
        </xdr:cNvSpPr>
      </xdr:nvSpPr>
      <xdr:spPr>
        <a:xfrm>
          <a:off x="3263535" y="93833811"/>
          <a:ext cx="2743200" cy="6172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800"/>
            </a:lnSpc>
            <a:buNone/>
          </a:pPr>
          <a:r>
            <a:rPr lang="en-US" sz="1800" b="1" spc="-100"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"Government serves best </a:t>
          </a:r>
          <a:r>
            <a:rPr lang="en-US" sz="1800" b="1">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when it serves least."</a:t>
          </a:r>
        </a:p>
      </xdr:txBody>
    </xdr:sp>
    <xdr:clientData/>
  </xdr:twoCellAnchor>
  <xdr:twoCellAnchor>
    <xdr:from>
      <xdr:col>1</xdr:col>
      <xdr:colOff>45719</xdr:colOff>
      <xdr:row>462</xdr:row>
      <xdr:rowOff>15240</xdr:rowOff>
    </xdr:from>
    <xdr:to>
      <xdr:col>6</xdr:col>
      <xdr:colOff>312419</xdr:colOff>
      <xdr:row>465</xdr:row>
      <xdr:rowOff>130670</xdr:rowOff>
    </xdr:to>
    <xdr:sp macro="" textlink="">
      <xdr:nvSpPr>
        <xdr:cNvPr id="1599" name="Government exists as a force for good.">
          <a:extLst>
            <a:ext uri="{FF2B5EF4-FFF2-40B4-BE49-F238E27FC236}">
              <a16:creationId xmlns:a16="http://schemas.microsoft.com/office/drawing/2014/main" id="{00000000-0008-0000-0200-00003F060000}"/>
            </a:ext>
          </a:extLst>
        </xdr:cNvPr>
        <xdr:cNvSpPr txBox="1">
          <a:spLocks/>
        </xdr:cNvSpPr>
      </xdr:nvSpPr>
      <xdr:spPr>
        <a:xfrm>
          <a:off x="167639" y="93847920"/>
          <a:ext cx="2743200" cy="64121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800"/>
            </a:lnSpc>
            <a:buNone/>
          </a:pPr>
          <a:r>
            <a:rPr lang="en-US" sz="1800" b="1">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a:t>
          </a:r>
          <a:r>
            <a:rPr lang="en-US" sz="1800" b="1" kern="1200" spc="-30"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Government must serve</a:t>
          </a:r>
          <a:r>
            <a:rPr lang="en-US" sz="1800" b="1"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 </a:t>
          </a:r>
          <a:r>
            <a:rPr lang="en-US" sz="1800" b="1" kern="1200" spc="0"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the least advantaged</a:t>
          </a:r>
          <a:r>
            <a:rPr lang="en-US" sz="1800" b="1">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a:t>
          </a:r>
        </a:p>
      </xdr:txBody>
    </xdr:sp>
    <xdr:clientData/>
  </xdr:twoCellAnchor>
  <xdr:twoCellAnchor>
    <xdr:from>
      <xdr:col>0</xdr:col>
      <xdr:colOff>93616</xdr:colOff>
      <xdr:row>484</xdr:row>
      <xdr:rowOff>38100</xdr:rowOff>
    </xdr:from>
    <xdr:to>
      <xdr:col>5</xdr:col>
      <xdr:colOff>367936</xdr:colOff>
      <xdr:row>491</xdr:row>
      <xdr:rowOff>22860</xdr:rowOff>
    </xdr:to>
    <xdr:sp macro="" textlink="">
      <xdr:nvSpPr>
        <xdr:cNvPr id="1600" name="You believe whatever serves your needs.">
          <a:extLst>
            <a:ext uri="{FF2B5EF4-FFF2-40B4-BE49-F238E27FC236}">
              <a16:creationId xmlns:a16="http://schemas.microsoft.com/office/drawing/2014/main" id="{00000000-0008-0000-0200-000040060000}"/>
            </a:ext>
          </a:extLst>
        </xdr:cNvPr>
        <xdr:cNvSpPr txBox="1">
          <a:spLocks/>
        </xdr:cNvSpPr>
      </xdr:nvSpPr>
      <xdr:spPr>
        <a:xfrm>
          <a:off x="93616" y="89214960"/>
          <a:ext cx="2377440" cy="12115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0" spc="-5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Why rely on government to protect the vulnerable from the many historical forms of destructive exploitation? Because</a:t>
          </a:r>
          <a:r>
            <a:rPr lang="en-US" sz="1400" b="0" spc="-50" baseline="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it best </a:t>
          </a:r>
          <a:r>
            <a:rPr lang="en-US" sz="1400" b="1" i="1" spc="-50" baseline="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relieves</a:t>
          </a:r>
          <a:r>
            <a:rPr lang="en-US" sz="1400" b="0" spc="-50" baseline="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less resolved</a:t>
          </a:r>
          <a:r>
            <a:rPr lang="en-US" sz="1400" b="0" spc="-50" baseline="0">
              <a:ln>
                <a:solidFill>
                  <a:srgbClr val="0070C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a:t>
          </a:r>
          <a:r>
            <a:rPr lang="en-US" sz="1400" b="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social-needs</a:t>
          </a:r>
          <a:r>
            <a:rPr lang="en-US" sz="1400" b="0" spc="-50" baseline="0">
              <a:ln>
                <a:solidFill>
                  <a:srgbClr val="0070C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a:t>
          </a:r>
          <a:endParaRPr lang="en-US" sz="1400" b="0" spc="-50">
            <a:ln>
              <a:solidFill>
                <a:srgbClr val="0070C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457200</xdr:colOff>
      <xdr:row>484</xdr:row>
      <xdr:rowOff>38100</xdr:rowOff>
    </xdr:from>
    <xdr:to>
      <xdr:col>13</xdr:col>
      <xdr:colOff>0</xdr:colOff>
      <xdr:row>491</xdr:row>
      <xdr:rowOff>27432</xdr:rowOff>
    </xdr:to>
    <xdr:sp macro="" textlink="">
      <xdr:nvSpPr>
        <xdr:cNvPr id="1601" name="You believe whatever serves your needs.">
          <a:extLst>
            <a:ext uri="{FF2B5EF4-FFF2-40B4-BE49-F238E27FC236}">
              <a16:creationId xmlns:a16="http://schemas.microsoft.com/office/drawing/2014/main" id="{00000000-0008-0000-0200-000041060000}"/>
            </a:ext>
          </a:extLst>
        </xdr:cNvPr>
        <xdr:cNvSpPr txBox="1">
          <a:spLocks/>
        </xdr:cNvSpPr>
      </xdr:nvSpPr>
      <xdr:spPr>
        <a:xfrm>
          <a:off x="3550920" y="89214960"/>
          <a:ext cx="2514600" cy="121615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0" kern="120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Why </a:t>
          </a:r>
          <a:r>
            <a:rPr lang="en-US" sz="1400" b="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rely on government only </a:t>
          </a:r>
          <a:r>
            <a:rPr lang="en-US" sz="1400" b="0" spc="-70" baseline="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for the few services we cannot</a:t>
          </a:r>
          <a:r>
            <a:rPr lang="en-US" sz="1400" b="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provide for ourselves, such as national defense? Because it </a:t>
          </a:r>
          <a:r>
            <a:rPr lang="en-US" sz="1400" b="1" i="1"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guards</a:t>
          </a:r>
          <a:r>
            <a:rPr lang="en-US" sz="1400" b="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traditionally more resolved </a:t>
          </a: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social-needs</a:t>
          </a:r>
          <a:r>
            <a:rPr lang="en-US" sz="1400" b="0" spc="-50">
              <a:ln>
                <a:solidFill>
                  <a:srgbClr val="C00000"/>
                </a:solidFill>
              </a:ln>
              <a:solidFill>
                <a:srgbClr val="FF505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2176</xdr:colOff>
      <xdr:row>466</xdr:row>
      <xdr:rowOff>35557</xdr:rowOff>
    </xdr:from>
    <xdr:to>
      <xdr:col>6</xdr:col>
      <xdr:colOff>268876</xdr:colOff>
      <xdr:row>468</xdr:row>
      <xdr:rowOff>142237</xdr:rowOff>
    </xdr:to>
    <xdr:sp macro="" textlink="">
      <xdr:nvSpPr>
        <xdr:cNvPr id="2718" name="You believe whatever serves your needs.">
          <a:extLst>
            <a:ext uri="{FF2B5EF4-FFF2-40B4-BE49-F238E27FC236}">
              <a16:creationId xmlns:a16="http://schemas.microsoft.com/office/drawing/2014/main" id="{00000000-0008-0000-0200-00009E0A0000}"/>
            </a:ext>
          </a:extLst>
        </xdr:cNvPr>
        <xdr:cNvSpPr txBox="1">
          <a:spLocks/>
        </xdr:cNvSpPr>
      </xdr:nvSpPr>
      <xdr:spPr>
        <a:xfrm>
          <a:off x="124096" y="94569277"/>
          <a:ext cx="2743200" cy="457200"/>
        </a:xfrm>
        <a:prstGeom prst="rect">
          <a:avLst/>
        </a:prstGeom>
        <a:effectLst>
          <a:glow rad="127000">
            <a:schemeClr val="tx1"/>
          </a:glow>
        </a:effectLst>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1"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In a humanly dense</a:t>
          </a:r>
          <a:r>
            <a:rPr lang="en-US" sz="1400" b="1" spc="-50" baseline="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 setting, such as urban centers, </a:t>
          </a:r>
          <a:endParaRPr lang="en-US" sz="1400" b="1"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endParaRPr>
        </a:p>
      </xdr:txBody>
    </xdr:sp>
    <xdr:clientData/>
  </xdr:twoCellAnchor>
  <xdr:twoCellAnchor>
    <xdr:from>
      <xdr:col>7</xdr:col>
      <xdr:colOff>205740</xdr:colOff>
      <xdr:row>466</xdr:row>
      <xdr:rowOff>37786</xdr:rowOff>
    </xdr:from>
    <xdr:to>
      <xdr:col>12</xdr:col>
      <xdr:colOff>472440</xdr:colOff>
      <xdr:row>468</xdr:row>
      <xdr:rowOff>144466</xdr:rowOff>
    </xdr:to>
    <xdr:sp macro="" textlink="">
      <xdr:nvSpPr>
        <xdr:cNvPr id="2719" name="You believe whatever serves your needs.">
          <a:extLst>
            <a:ext uri="{FF2B5EF4-FFF2-40B4-BE49-F238E27FC236}">
              <a16:creationId xmlns:a16="http://schemas.microsoft.com/office/drawing/2014/main" id="{00000000-0008-0000-0200-00009F0A0000}"/>
            </a:ext>
          </a:extLst>
        </xdr:cNvPr>
        <xdr:cNvSpPr txBox="1">
          <a:spLocks/>
        </xdr:cNvSpPr>
      </xdr:nvSpPr>
      <xdr:spPr>
        <a:xfrm>
          <a:off x="3299460" y="94571506"/>
          <a:ext cx="2743200" cy="4572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1" kern="1200"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In a humanly sparse setting, such as rural villages,</a:t>
          </a:r>
          <a:r>
            <a:rPr lang="en-US" sz="1400" b="1" kern="1200" spc="-50" baseline="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 </a:t>
          </a:r>
          <a:endParaRPr lang="en-US" sz="1400" b="1"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endParaRPr>
        </a:p>
      </xdr:txBody>
    </xdr:sp>
    <xdr:clientData/>
  </xdr:twoCellAnchor>
  <xdr:twoCellAnchor>
    <xdr:from>
      <xdr:col>7</xdr:col>
      <xdr:colOff>171450</xdr:colOff>
      <xdr:row>469</xdr:row>
      <xdr:rowOff>14926</xdr:rowOff>
    </xdr:from>
    <xdr:to>
      <xdr:col>10</xdr:col>
      <xdr:colOff>381000</xdr:colOff>
      <xdr:row>473</xdr:row>
      <xdr:rowOff>45406</xdr:rowOff>
    </xdr:to>
    <xdr:sp macro="" textlink="">
      <xdr:nvSpPr>
        <xdr:cNvPr id="1596" name="You believe whatever serves your needs.">
          <a:extLst>
            <a:ext uri="{FF2B5EF4-FFF2-40B4-BE49-F238E27FC236}">
              <a16:creationId xmlns:a16="http://schemas.microsoft.com/office/drawing/2014/main" id="{00000000-0008-0000-0200-00003C060000}"/>
            </a:ext>
          </a:extLst>
        </xdr:cNvPr>
        <xdr:cNvSpPr txBox="1">
          <a:spLocks/>
        </xdr:cNvSpPr>
      </xdr:nvSpPr>
      <xdr:spPr>
        <a:xfrm>
          <a:off x="3200400" y="93131326"/>
          <a:ext cx="1666875" cy="7162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0" kern="1200" spc="-8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your situation makes it necessary </a:t>
          </a:r>
          <a:r>
            <a:rPr lang="en-US" sz="1400" b="0" kern="1200" spc="-5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to guard</a:t>
          </a: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your resolved social-needs (like cohesion).</a:t>
          </a:r>
        </a:p>
      </xdr:txBody>
    </xdr:sp>
    <xdr:clientData/>
  </xdr:twoCellAnchor>
  <xdr:twoCellAnchor>
    <xdr:from>
      <xdr:col>3</xdr:col>
      <xdr:colOff>182880</xdr:colOff>
      <xdr:row>469</xdr:row>
      <xdr:rowOff>7306</xdr:rowOff>
    </xdr:from>
    <xdr:to>
      <xdr:col>6</xdr:col>
      <xdr:colOff>352425</xdr:colOff>
      <xdr:row>473</xdr:row>
      <xdr:rowOff>37786</xdr:rowOff>
    </xdr:to>
    <xdr:sp macro="" textlink="">
      <xdr:nvSpPr>
        <xdr:cNvPr id="1597" name="You believe whatever serves your needs.">
          <a:extLst>
            <a:ext uri="{FF2B5EF4-FFF2-40B4-BE49-F238E27FC236}">
              <a16:creationId xmlns:a16="http://schemas.microsoft.com/office/drawing/2014/main" id="{00000000-0008-0000-0200-00003D060000}"/>
            </a:ext>
          </a:extLst>
        </xdr:cNvPr>
        <xdr:cNvSpPr txBox="1">
          <a:spLocks/>
        </xdr:cNvSpPr>
      </xdr:nvSpPr>
      <xdr:spPr>
        <a:xfrm>
          <a:off x="1268730" y="93123706"/>
          <a:ext cx="1626870" cy="7162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0" kern="1200" spc="-5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your situation makes it difficult to fully</a:t>
          </a:r>
          <a:r>
            <a:rPr lang="en-US" sz="1400" b="0" kern="1200" spc="-50" baseline="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 resolve your social-needs (like inclusion).</a:t>
          </a:r>
        </a:p>
      </xdr:txBody>
    </xdr:sp>
    <xdr:clientData/>
  </xdr:twoCellAnchor>
  <xdr:twoCellAnchor>
    <xdr:from>
      <xdr:col>7</xdr:col>
      <xdr:colOff>388620</xdr:colOff>
      <xdr:row>473</xdr:row>
      <xdr:rowOff>68266</xdr:rowOff>
    </xdr:from>
    <xdr:to>
      <xdr:col>10</xdr:col>
      <xdr:colOff>365760</xdr:colOff>
      <xdr:row>483</xdr:row>
      <xdr:rowOff>144780</xdr:rowOff>
    </xdr:to>
    <xdr:sp macro="" textlink="">
      <xdr:nvSpPr>
        <xdr:cNvPr id="2372" name="You believe whatever serves your needs.">
          <a:extLst>
            <a:ext uri="{FF2B5EF4-FFF2-40B4-BE49-F238E27FC236}">
              <a16:creationId xmlns:a16="http://schemas.microsoft.com/office/drawing/2014/main" id="{00000000-0008-0000-0200-000044090000}"/>
            </a:ext>
          </a:extLst>
        </xdr:cNvPr>
        <xdr:cNvSpPr txBox="1">
          <a:spLocks/>
        </xdr:cNvSpPr>
      </xdr:nvSpPr>
      <xdr:spPr>
        <a:xfrm>
          <a:off x="3482340" y="95828806"/>
          <a:ext cx="1463040" cy="182911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As the </a:t>
          </a:r>
          <a:r>
            <a:rPr lang="en-US" sz="1400" b="0" kern="1200" spc="-70" baseline="0">
              <a:ln>
                <a:solidFill>
                  <a:srgbClr val="00B0F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wide-oriented</a:t>
          </a:r>
          <a:r>
            <a:rPr lang="en-US" sz="1400" b="0" kern="1200" spc="-7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expand the </a:t>
          </a: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role of government to serve their prioritized need, it tends to detract from your more resolved social-needs at the more local level.</a:t>
          </a:r>
          <a:endParaRPr lang="en-US" sz="1400" b="0" spc="-5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3</xdr:col>
      <xdr:colOff>182880</xdr:colOff>
      <xdr:row>473</xdr:row>
      <xdr:rowOff>68266</xdr:rowOff>
    </xdr:from>
    <xdr:to>
      <xdr:col>6</xdr:col>
      <xdr:colOff>160020</xdr:colOff>
      <xdr:row>483</xdr:row>
      <xdr:rowOff>144466</xdr:rowOff>
    </xdr:to>
    <xdr:sp macro="" textlink="">
      <xdr:nvSpPr>
        <xdr:cNvPr id="2373" name="You believe whatever serves your needs.">
          <a:extLst>
            <a:ext uri="{FF2B5EF4-FFF2-40B4-BE49-F238E27FC236}">
              <a16:creationId xmlns:a16="http://schemas.microsoft.com/office/drawing/2014/main" id="{00000000-0008-0000-0200-000045090000}"/>
            </a:ext>
          </a:extLst>
        </xdr:cNvPr>
        <xdr:cNvSpPr txBox="1">
          <a:spLocks/>
        </xdr:cNvSpPr>
      </xdr:nvSpPr>
      <xdr:spPr>
        <a:xfrm>
          <a:off x="1295400" y="95828806"/>
          <a:ext cx="1463040" cy="1828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0" kern="1200" spc="-50" baseline="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As the </a:t>
          </a:r>
          <a:r>
            <a:rPr lang="en-US" sz="1400" b="0" kern="1200" spc="-50" baseline="0">
              <a:ln>
                <a:solidFill>
                  <a:srgbClr val="FF0000"/>
                </a:solidFill>
              </a:ln>
              <a:solidFill>
                <a:srgbClr val="FF0000"/>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deep-oriented</a:t>
          </a:r>
          <a:r>
            <a:rPr lang="en-US" sz="1400" b="0" kern="1200" spc="-50" baseline="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 shrink the role of government to serve their prioritized need, it tends to detract from your less resolved social-needs at the societal level.</a:t>
          </a:r>
          <a:endParaRPr lang="en-US" sz="1400" b="0" spc="-5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2</xdr:col>
      <xdr:colOff>66711</xdr:colOff>
      <xdr:row>842</xdr:row>
      <xdr:rowOff>175259</xdr:rowOff>
    </xdr:from>
    <xdr:to>
      <xdr:col>11</xdr:col>
      <xdr:colOff>411481</xdr:colOff>
      <xdr:row>847</xdr:row>
      <xdr:rowOff>167639</xdr:rowOff>
    </xdr:to>
    <xdr:sp macro="" textlink="">
      <xdr:nvSpPr>
        <xdr:cNvPr id="2374" name="TextBox 2373">
          <a:extLst>
            <a:ext uri="{FF2B5EF4-FFF2-40B4-BE49-F238E27FC236}">
              <a16:creationId xmlns:a16="http://schemas.microsoft.com/office/drawing/2014/main" id="{00000000-0008-0000-0200-000046090000}"/>
            </a:ext>
          </a:extLst>
        </xdr:cNvPr>
        <xdr:cNvSpPr txBox="1"/>
      </xdr:nvSpPr>
      <xdr:spPr>
        <a:xfrm>
          <a:off x="683931" y="164066219"/>
          <a:ext cx="4802470" cy="868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Aft>
              <a:spcPts val="600"/>
            </a:spcAft>
          </a:pPr>
          <a:r>
            <a:rPr lang="en-US" sz="1200" baseline="0">
              <a:latin typeface="Tahoma" panose="020B0604030504040204" pitchFamily="34" charset="0"/>
              <a:ea typeface="Tahoma" panose="020B0604030504040204" pitchFamily="34" charset="0"/>
              <a:cs typeface="Tahoma" panose="020B0604030504040204" pitchFamily="34" charset="0"/>
            </a:rPr>
            <a:t>Political fighting can never apply to the core needs themselves. </a:t>
          </a:r>
        </a:p>
        <a:p>
          <a:pPr algn="ctr"/>
          <a:r>
            <a:rPr lang="en-US" sz="3200" b="1" baseline="0">
              <a:solidFill>
                <a:srgbClr val="3C1E5A"/>
              </a:solidFill>
              <a:latin typeface="Tahoma" panose="020B0604030504040204" pitchFamily="34" charset="0"/>
              <a:ea typeface="Tahoma" panose="020B0604030504040204" pitchFamily="34" charset="0"/>
              <a:cs typeface="Tahoma" panose="020B0604030504040204" pitchFamily="34" charset="0"/>
            </a:rPr>
            <a:t>On the one hand...</a:t>
          </a:r>
          <a:endParaRPr lang="en-US" sz="3200" baseline="0">
            <a:solidFill>
              <a:srgbClr val="3C1E5A"/>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152400</xdr:colOff>
      <xdr:row>848</xdr:row>
      <xdr:rowOff>114300</xdr:rowOff>
    </xdr:from>
    <xdr:to>
      <xdr:col>12</xdr:col>
      <xdr:colOff>190500</xdr:colOff>
      <xdr:row>862</xdr:row>
      <xdr:rowOff>60960</xdr:rowOff>
    </xdr:to>
    <xdr:grpSp>
      <xdr:nvGrpSpPr>
        <xdr:cNvPr id="21" name="Group 20">
          <a:extLst>
            <a:ext uri="{FF2B5EF4-FFF2-40B4-BE49-F238E27FC236}">
              <a16:creationId xmlns:a16="http://schemas.microsoft.com/office/drawing/2014/main" id="{00000000-0008-0000-0200-000015000000}"/>
            </a:ext>
          </a:extLst>
        </xdr:cNvPr>
        <xdr:cNvGrpSpPr/>
      </xdr:nvGrpSpPr>
      <xdr:grpSpPr>
        <a:xfrm>
          <a:off x="266700" y="165635940"/>
          <a:ext cx="5570220" cy="2400300"/>
          <a:chOff x="274320" y="165056820"/>
          <a:chExt cx="5486400" cy="2400300"/>
        </a:xfrm>
      </xdr:grpSpPr>
      <xdr:sp macro="" textlink="">
        <xdr:nvSpPr>
          <xdr:cNvPr id="20" name="Speech Bubble: Oval 19">
            <a:extLst>
              <a:ext uri="{FF2B5EF4-FFF2-40B4-BE49-F238E27FC236}">
                <a16:creationId xmlns:a16="http://schemas.microsoft.com/office/drawing/2014/main" id="{00000000-0008-0000-0200-000014000000}"/>
              </a:ext>
            </a:extLst>
          </xdr:cNvPr>
          <xdr:cNvSpPr/>
        </xdr:nvSpPr>
        <xdr:spPr>
          <a:xfrm>
            <a:off x="274320" y="165056820"/>
            <a:ext cx="5486400" cy="68580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sp macro="" textlink="">
        <xdr:nvSpPr>
          <xdr:cNvPr id="1587" name="Speech Bubble: Oval 1586">
            <a:extLst>
              <a:ext uri="{FF2B5EF4-FFF2-40B4-BE49-F238E27FC236}">
                <a16:creationId xmlns:a16="http://schemas.microsoft.com/office/drawing/2014/main" id="{00000000-0008-0000-0200-000033060000}"/>
              </a:ext>
            </a:extLst>
          </xdr:cNvPr>
          <xdr:cNvSpPr/>
        </xdr:nvSpPr>
        <xdr:spPr>
          <a:xfrm>
            <a:off x="274320" y="166283640"/>
            <a:ext cx="5486400" cy="68580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sp macro="" textlink="">
        <xdr:nvSpPr>
          <xdr:cNvPr id="1588" name="Speech Bubble: Oval 1587">
            <a:extLst>
              <a:ext uri="{FF2B5EF4-FFF2-40B4-BE49-F238E27FC236}">
                <a16:creationId xmlns:a16="http://schemas.microsoft.com/office/drawing/2014/main" id="{00000000-0008-0000-0200-000034060000}"/>
              </a:ext>
            </a:extLst>
          </xdr:cNvPr>
          <xdr:cNvSpPr/>
        </xdr:nvSpPr>
        <xdr:spPr>
          <a:xfrm flipH="1">
            <a:off x="274320" y="165666420"/>
            <a:ext cx="5486400" cy="68580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sp macro="" textlink="">
        <xdr:nvSpPr>
          <xdr:cNvPr id="1595" name="Speech Bubble: Oval 1594">
            <a:extLst>
              <a:ext uri="{FF2B5EF4-FFF2-40B4-BE49-F238E27FC236}">
                <a16:creationId xmlns:a16="http://schemas.microsoft.com/office/drawing/2014/main" id="{00000000-0008-0000-0200-00003B060000}"/>
              </a:ext>
            </a:extLst>
          </xdr:cNvPr>
          <xdr:cNvSpPr/>
        </xdr:nvSpPr>
        <xdr:spPr>
          <a:xfrm flipH="1">
            <a:off x="274320" y="166908480"/>
            <a:ext cx="5486400" cy="54864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grpSp>
    <xdr:clientData/>
  </xdr:twoCellAnchor>
  <xdr:twoCellAnchor>
    <xdr:from>
      <xdr:col>1</xdr:col>
      <xdr:colOff>15240</xdr:colOff>
      <xdr:row>848</xdr:row>
      <xdr:rowOff>153216</xdr:rowOff>
    </xdr:from>
    <xdr:to>
      <xdr:col>13</xdr:col>
      <xdr:colOff>15240</xdr:colOff>
      <xdr:row>869</xdr:row>
      <xdr:rowOff>130356</xdr:rowOff>
    </xdr:to>
    <xdr:sp macro="" textlink="">
      <xdr:nvSpPr>
        <xdr:cNvPr id="2375" name="TextBox 2374">
          <a:extLst>
            <a:ext uri="{FF2B5EF4-FFF2-40B4-BE49-F238E27FC236}">
              <a16:creationId xmlns:a16="http://schemas.microsoft.com/office/drawing/2014/main" id="{00000000-0008-0000-0200-000047090000}"/>
            </a:ext>
          </a:extLst>
        </xdr:cNvPr>
        <xdr:cNvSpPr txBox="1"/>
      </xdr:nvSpPr>
      <xdr:spPr>
        <a:xfrm>
          <a:off x="137160" y="156980436"/>
          <a:ext cx="5943600" cy="365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spc="-20" baseline="0">
              <a:ln>
                <a:solidFill>
                  <a:srgbClr val="FFC3F5"/>
                </a:solidFill>
              </a:ln>
              <a:solidFill>
                <a:srgbClr val="F0CDFF"/>
              </a:solidFill>
              <a:latin typeface="Verdana" panose="020B0604030504040204" pitchFamily="34" charset="0"/>
              <a:ea typeface="Verdana" panose="020B0604030504040204" pitchFamily="34" charset="0"/>
            </a:rPr>
            <a:t>"The hottest places in hell are reserved for those who, in times of great moral crisis, maintain their neutrality." </a:t>
          </a:r>
          <a:r>
            <a:rPr lang="en-US" sz="1400" spc="-20" baseline="0">
              <a:ln>
                <a:noFill/>
              </a:ln>
              <a:solidFill>
                <a:srgbClr val="E178FF"/>
              </a:solidFill>
              <a:latin typeface="Verdana" panose="020B0604030504040204" pitchFamily="34" charset="0"/>
              <a:ea typeface="Verdana" panose="020B0604030504040204" pitchFamily="34" charset="0"/>
            </a:rPr>
            <a:t>- </a:t>
          </a:r>
          <a:r>
            <a:rPr lang="en-US" sz="1400" i="1" spc="-20" baseline="0">
              <a:ln>
                <a:noFill/>
              </a:ln>
              <a:solidFill>
                <a:srgbClr val="E178FF"/>
              </a:solidFill>
              <a:latin typeface="Verdana" panose="020B0604030504040204" pitchFamily="34" charset="0"/>
              <a:ea typeface="Verdana" panose="020B0604030504040204" pitchFamily="34" charset="0"/>
            </a:rPr>
            <a:t>Dante Aligheiri</a:t>
          </a:r>
        </a:p>
        <a:p>
          <a:endParaRPr lang="en-US" sz="1200" baseline="0">
            <a:ln>
              <a:solidFill>
                <a:srgbClr val="FFC3F5"/>
              </a:solidFill>
            </a:ln>
            <a:solidFill>
              <a:srgbClr val="E178FF"/>
            </a:solidFill>
            <a:latin typeface="Verdana" panose="020B0604030504040204" pitchFamily="34" charset="0"/>
            <a:ea typeface="Verdana" panose="020B0604030504040204" pitchFamily="34" charset="0"/>
          </a:endParaRPr>
        </a:p>
        <a:p>
          <a:pPr lvl="1"/>
          <a:r>
            <a:rPr lang="en-US" sz="1400" baseline="0">
              <a:ln>
                <a:solidFill>
                  <a:srgbClr val="FFC3F5"/>
                </a:solidFill>
              </a:ln>
              <a:solidFill>
                <a:srgbClr val="F0CDFF"/>
              </a:solidFill>
              <a:latin typeface="Verdana" panose="020B0604030504040204" pitchFamily="34" charset="0"/>
              <a:ea typeface="Verdana" panose="020B0604030504040204" pitchFamily="34" charset="0"/>
            </a:rPr>
            <a:t>"Take sides. Neutrality helps the oppressor, never the victim." </a:t>
          </a:r>
          <a:r>
            <a:rPr lang="en-US" sz="1400" baseline="0">
              <a:ln>
                <a:noFill/>
              </a:ln>
              <a:solidFill>
                <a:srgbClr val="E178FF"/>
              </a:solidFill>
              <a:latin typeface="Verdana" panose="020B0604030504040204" pitchFamily="34" charset="0"/>
              <a:ea typeface="Verdana" panose="020B0604030504040204" pitchFamily="34" charset="0"/>
            </a:rPr>
            <a:t>- </a:t>
          </a:r>
          <a:r>
            <a:rPr lang="en-US" sz="1400" i="1" baseline="0">
              <a:ln>
                <a:noFill/>
              </a:ln>
              <a:solidFill>
                <a:srgbClr val="E178FF"/>
              </a:solidFill>
              <a:latin typeface="Verdana" panose="020B0604030504040204" pitchFamily="34" charset="0"/>
              <a:ea typeface="Verdana" panose="020B0604030504040204" pitchFamily="34" charset="0"/>
            </a:rPr>
            <a:t>Elie Eiesel</a:t>
          </a:r>
        </a:p>
        <a:p>
          <a:endParaRPr lang="en-US" sz="1200" baseline="0">
            <a:ln>
              <a:solidFill>
                <a:srgbClr val="FFC3F5"/>
              </a:solidFill>
            </a:ln>
            <a:solidFill>
              <a:srgbClr val="E178FF"/>
            </a:solidFill>
            <a:latin typeface="Verdana" panose="020B0604030504040204" pitchFamily="34" charset="0"/>
            <a:ea typeface="Verdana" panose="020B0604030504040204" pitchFamily="34" charset="0"/>
          </a:endParaRPr>
        </a:p>
        <a:p>
          <a:r>
            <a:rPr lang="en-US" sz="1400" baseline="0">
              <a:ln>
                <a:solidFill>
                  <a:srgbClr val="FFC3F5"/>
                </a:solidFill>
              </a:ln>
              <a:solidFill>
                <a:srgbClr val="F0CDFF"/>
              </a:solidFill>
              <a:latin typeface="Verdana" panose="020B0604030504040204" pitchFamily="34" charset="0"/>
              <a:ea typeface="Verdana" panose="020B0604030504040204" pitchFamily="34" charset="0"/>
            </a:rPr>
            <a:t>"If you are neutral in situations of injustice, you have chosen the side of the oppressor." </a:t>
          </a:r>
          <a:r>
            <a:rPr lang="en-US" sz="1400" baseline="0">
              <a:ln>
                <a:noFill/>
              </a:ln>
              <a:solidFill>
                <a:srgbClr val="E178FF"/>
              </a:solidFill>
              <a:latin typeface="Verdana" panose="020B0604030504040204" pitchFamily="34" charset="0"/>
              <a:ea typeface="Verdana" panose="020B0604030504040204" pitchFamily="34" charset="0"/>
            </a:rPr>
            <a:t>- </a:t>
          </a:r>
          <a:r>
            <a:rPr lang="en-US" sz="1400" i="1" baseline="0">
              <a:ln>
                <a:noFill/>
              </a:ln>
              <a:solidFill>
                <a:srgbClr val="E178FF"/>
              </a:solidFill>
              <a:latin typeface="Verdana" panose="020B0604030504040204" pitchFamily="34" charset="0"/>
              <a:ea typeface="Verdana" panose="020B0604030504040204" pitchFamily="34" charset="0"/>
            </a:rPr>
            <a:t>Desmond Tutu</a:t>
          </a:r>
        </a:p>
        <a:p>
          <a:endParaRPr lang="en-US" sz="1400" baseline="0">
            <a:ln>
              <a:solidFill>
                <a:srgbClr val="FFC3F5"/>
              </a:solidFill>
            </a:ln>
            <a:solidFill>
              <a:srgbClr val="E178FF"/>
            </a:solidFill>
            <a:latin typeface="Verdana" panose="020B0604030504040204" pitchFamily="34" charset="0"/>
            <a:ea typeface="Verdana" panose="020B0604030504040204" pitchFamily="34" charset="0"/>
          </a:endParaRPr>
        </a:p>
        <a:p>
          <a:pPr lvl="1"/>
          <a:r>
            <a:rPr lang="en-US" sz="1400" spc="-20" baseline="0">
              <a:ln>
                <a:solidFill>
                  <a:srgbClr val="FFC3F5"/>
                </a:solidFill>
              </a:ln>
              <a:solidFill>
                <a:srgbClr val="F0CDFF"/>
              </a:solidFill>
              <a:latin typeface="Verdana" panose="020B0604030504040204" pitchFamily="34" charset="0"/>
              <a:ea typeface="Verdana" panose="020B0604030504040204" pitchFamily="34" charset="0"/>
            </a:rPr>
            <a:t>"Neutral men are the devils' allies." </a:t>
          </a:r>
          <a:r>
            <a:rPr lang="en-US" sz="1400" spc="-20" baseline="0">
              <a:ln>
                <a:noFill/>
              </a:ln>
              <a:solidFill>
                <a:srgbClr val="E178FF"/>
              </a:solidFill>
              <a:latin typeface="Verdana" panose="020B0604030504040204" pitchFamily="34" charset="0"/>
              <a:ea typeface="Verdana" panose="020B0604030504040204" pitchFamily="34" charset="0"/>
            </a:rPr>
            <a:t>- </a:t>
          </a:r>
          <a:r>
            <a:rPr lang="en-US" sz="1400" i="1" spc="-20" baseline="0">
              <a:ln>
                <a:noFill/>
              </a:ln>
              <a:solidFill>
                <a:srgbClr val="E178FF"/>
              </a:solidFill>
              <a:latin typeface="Verdana" panose="020B0604030504040204" pitchFamily="34" charset="0"/>
              <a:ea typeface="Verdana" panose="020B0604030504040204" pitchFamily="34" charset="0"/>
            </a:rPr>
            <a:t>Edwin Hubbel Chapin</a:t>
          </a:r>
        </a:p>
        <a:p>
          <a:endParaRPr lang="en-US" sz="1400" baseline="0">
            <a:solidFill>
              <a:srgbClr val="A0FFCD"/>
            </a:solidFill>
            <a:latin typeface="Verdana" panose="020B0604030504040204" pitchFamily="34" charset="0"/>
            <a:ea typeface="Verdana" panose="020B0604030504040204" pitchFamily="34" charset="0"/>
          </a:endParaRPr>
        </a:p>
        <a:p>
          <a:pPr algn="ctr">
            <a:spcBef>
              <a:spcPts val="1200"/>
            </a:spcBef>
            <a:spcAft>
              <a:spcPts val="600"/>
            </a:spcAft>
          </a:pPr>
          <a:r>
            <a:rPr lang="en-US" sz="3200" b="1" baseline="0">
              <a:solidFill>
                <a:srgbClr val="A0FFCD"/>
              </a:solidFill>
              <a:latin typeface="Verdana" panose="020B0604030504040204" pitchFamily="34" charset="0"/>
              <a:ea typeface="Verdana" panose="020B0604030504040204" pitchFamily="34" charset="0"/>
              <a:cs typeface="Arial" panose="020B0604020202020204" pitchFamily="34" charset="0"/>
            </a:rPr>
            <a:t>HOWEVER...</a:t>
          </a:r>
        </a:p>
        <a:p>
          <a:pPr algn="ctr"/>
          <a:r>
            <a:rPr lang="en-US" sz="1400" b="1" spc="80" baseline="0">
              <a:solidFill>
                <a:srgbClr val="A0FFCD"/>
              </a:solidFill>
              <a:latin typeface="Verdana" panose="020B0604030504040204" pitchFamily="34" charset="0"/>
              <a:ea typeface="Verdana" panose="020B0604030504040204" pitchFamily="34" charset="0"/>
              <a:cs typeface="Arial" panose="020B0604020202020204" pitchFamily="34" charset="0"/>
            </a:rPr>
            <a:t>Taking a side against what another </a:t>
          </a:r>
          <a:r>
            <a:rPr lang="en-US" sz="1400" b="1" i="1" spc="80" baseline="0">
              <a:ln>
                <a:solidFill>
                  <a:srgbClr val="A0FFCD"/>
                </a:solidFill>
              </a:ln>
              <a:solidFill>
                <a:srgbClr val="A0FFCD"/>
              </a:solidFill>
              <a:latin typeface="Verdana" panose="020B0604030504040204" pitchFamily="34" charset="0"/>
              <a:ea typeface="Verdana" panose="020B0604030504040204" pitchFamily="34" charset="0"/>
              <a:cs typeface="Arial" panose="020B0604020202020204" pitchFamily="34" charset="0"/>
            </a:rPr>
            <a:t>needs</a:t>
          </a:r>
          <a:r>
            <a:rPr lang="en-US" sz="1400" b="1" spc="80" baseline="0">
              <a:solidFill>
                <a:srgbClr val="A0FFCD"/>
              </a:solidFill>
              <a:latin typeface="Verdana" panose="020B0604030504040204" pitchFamily="34" charset="0"/>
              <a:ea typeface="Verdana" panose="020B0604030504040204" pitchFamily="34" charset="0"/>
              <a:cs typeface="Arial" panose="020B0604020202020204" pitchFamily="34" charset="0"/>
            </a:rPr>
            <a:t> does not</a:t>
          </a:r>
          <a:r>
            <a:rPr lang="en-US" sz="1400" b="1" baseline="0">
              <a:solidFill>
                <a:srgbClr val="A0FFCD"/>
              </a:solidFill>
              <a:latin typeface="Verdana" panose="020B0604030504040204" pitchFamily="34" charset="0"/>
              <a:ea typeface="Verdana" panose="020B0604030504040204" pitchFamily="34" charset="0"/>
              <a:cs typeface="Arial" panose="020B0604020202020204" pitchFamily="34" charset="0"/>
            </a:rPr>
            <a:t> extinguish moral conflict, but enflames it</a:t>
          </a:r>
          <a:r>
            <a:rPr lang="en-US" sz="1400" baseline="0">
              <a:solidFill>
                <a:srgbClr val="A0FFCD"/>
              </a:solidFill>
              <a:latin typeface="Verdana" panose="020B0604030504040204" pitchFamily="34" charset="0"/>
              <a:ea typeface="Verdana" panose="020B0604030504040204" pitchFamily="34" charset="0"/>
              <a:cs typeface="Arial" panose="020B0604020202020204" pitchFamily="34" charset="0"/>
            </a:rPr>
            <a:t>. - Steph Turner</a:t>
          </a:r>
        </a:p>
      </xdr:txBody>
    </xdr:sp>
    <xdr:clientData/>
  </xdr:twoCellAnchor>
  <xdr:twoCellAnchor>
    <xdr:from>
      <xdr:col>2</xdr:col>
      <xdr:colOff>373379</xdr:colOff>
      <xdr:row>826</xdr:row>
      <xdr:rowOff>106680</xdr:rowOff>
    </xdr:from>
    <xdr:to>
      <xdr:col>11</xdr:col>
      <xdr:colOff>304799</xdr:colOff>
      <xdr:row>841</xdr:row>
      <xdr:rowOff>3810</xdr:rowOff>
    </xdr:to>
    <xdr:sp macro="" textlink="">
      <xdr:nvSpPr>
        <xdr:cNvPr id="1586" name="Government exists as a force for good.">
          <a:extLst>
            <a:ext uri="{FF2B5EF4-FFF2-40B4-BE49-F238E27FC236}">
              <a16:creationId xmlns:a16="http://schemas.microsoft.com/office/drawing/2014/main" id="{00000000-0008-0000-0200-000032060000}"/>
            </a:ext>
          </a:extLst>
        </xdr:cNvPr>
        <xdr:cNvSpPr txBox="1">
          <a:spLocks/>
        </xdr:cNvSpPr>
      </xdr:nvSpPr>
      <xdr:spPr>
        <a:xfrm>
          <a:off x="973454" y="158345505"/>
          <a:ext cx="4303395" cy="24688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800" b="1" i="1">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So</a:t>
          </a:r>
          <a:r>
            <a:rPr lang="en-US" sz="1800" b="1" i="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what </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if you oppose those who oppose you. Anyone can be defensive and wait for the others to make the first move.</a:t>
          </a:r>
        </a:p>
        <a:p>
          <a:pPr marL="0" indent="0" algn="l">
            <a:lnSpc>
              <a:spcPct val="100000"/>
            </a:lnSpc>
            <a:spcBef>
              <a:spcPts val="1200"/>
            </a:spcBef>
            <a:buNone/>
          </a:pP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Be </a:t>
          </a:r>
          <a:r>
            <a:rPr lang="en-US" sz="1800" b="1" baseline="0">
              <a:gradFill flip="none" rotWithShape="1">
                <a:gsLst>
                  <a:gs pos="0">
                    <a:srgbClr val="A0FFCD">
                      <a:shade val="30000"/>
                      <a:satMod val="115000"/>
                    </a:srgbClr>
                  </a:gs>
                  <a:gs pos="50000">
                    <a:srgbClr val="A0FFCD">
                      <a:shade val="67500"/>
                      <a:satMod val="115000"/>
                    </a:srgbClr>
                  </a:gs>
                  <a:gs pos="100000">
                    <a:srgbClr val="A0FFCD">
                      <a:shade val="100000"/>
                      <a:satMod val="115000"/>
                    </a:srgbClr>
                  </a:gs>
                </a:gsLst>
                <a:lin ang="16200000" scaled="1"/>
                <a:tileRect/>
              </a:gra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remarkable</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by </a:t>
          </a:r>
          <a:r>
            <a:rPr lang="en-US" sz="1800" b="1" i="1" baseline="0">
              <a:solidFill>
                <a:srgbClr val="A0FFCD"/>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you</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moving  first. Offer what </a:t>
          </a:r>
          <a:r>
            <a:rPr lang="en-US" sz="1800" b="1" i="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you</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can to those who politically oppose you. We dare you to be great!</a:t>
          </a:r>
          <a:endParaRPr lang="en-US" sz="1800" b="1">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endParaRPr>
        </a:p>
      </xdr:txBody>
    </xdr:sp>
    <xdr:clientData/>
  </xdr:twoCellAnchor>
  <xdr:twoCellAnchor>
    <xdr:from>
      <xdr:col>1</xdr:col>
      <xdr:colOff>167640</xdr:colOff>
      <xdr:row>901</xdr:row>
      <xdr:rowOff>45720</xdr:rowOff>
    </xdr:from>
    <xdr:to>
      <xdr:col>12</xdr:col>
      <xdr:colOff>388620</xdr:colOff>
      <xdr:row>917</xdr:row>
      <xdr:rowOff>76200</xdr:rowOff>
    </xdr:to>
    <xdr:grpSp>
      <xdr:nvGrpSpPr>
        <xdr:cNvPr id="11" name="Group 10">
          <a:extLst>
            <a:ext uri="{FF2B5EF4-FFF2-40B4-BE49-F238E27FC236}">
              <a16:creationId xmlns:a16="http://schemas.microsoft.com/office/drawing/2014/main" id="{00000000-0008-0000-0200-00000B000000}"/>
            </a:ext>
          </a:extLst>
        </xdr:cNvPr>
        <xdr:cNvGrpSpPr/>
      </xdr:nvGrpSpPr>
      <xdr:grpSpPr>
        <a:xfrm>
          <a:off x="281940" y="175061880"/>
          <a:ext cx="5753100" cy="2834640"/>
          <a:chOff x="289560" y="174879000"/>
          <a:chExt cx="5669280" cy="2834640"/>
        </a:xfrm>
      </xdr:grpSpPr>
      <xdr:sp macro="" textlink="">
        <xdr:nvSpPr>
          <xdr:cNvPr id="54" name="Rectangle: Rounded Corners 53">
            <a:extLst>
              <a:ext uri="{FF2B5EF4-FFF2-40B4-BE49-F238E27FC236}">
                <a16:creationId xmlns:a16="http://schemas.microsoft.com/office/drawing/2014/main" id="{00000000-0008-0000-0200-000036000000}"/>
              </a:ext>
            </a:extLst>
          </xdr:cNvPr>
          <xdr:cNvSpPr/>
        </xdr:nvSpPr>
        <xdr:spPr>
          <a:xfrm>
            <a:off x="289560" y="174879000"/>
            <a:ext cx="5669280" cy="2834640"/>
          </a:xfrm>
          <a:prstGeom prst="roundRect">
            <a:avLst/>
          </a:prstGeom>
          <a:solidFill>
            <a:srgbClr val="E178FF">
              <a:alpha val="5098"/>
            </a:srgbClr>
          </a:solidFill>
          <a:ln w="9525" cmpd="sng">
            <a:noFill/>
          </a:ln>
          <a:effectLst>
            <a:outerShdw blurRad="63500" sx="102000" sy="102000" algn="c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bIns="0" rtlCol="0" anchor="b"/>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3200" b="1" baseline="0">
                <a:solidFill>
                  <a:srgbClr val="F5D2FF"/>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Wellness is psychosocial</a:t>
            </a:r>
            <a:r>
              <a:rPr lang="en-US" sz="1200" b="1" baseline="0">
                <a:solidFill>
                  <a:srgbClr val="E178FF"/>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p>
        </xdr:txBody>
      </xdr:sp>
      <xdr:grpSp>
        <xdr:nvGrpSpPr>
          <xdr:cNvPr id="25" name="Group 24">
            <a:extLst>
              <a:ext uri="{FF2B5EF4-FFF2-40B4-BE49-F238E27FC236}">
                <a16:creationId xmlns:a16="http://schemas.microsoft.com/office/drawing/2014/main" id="{00000000-0008-0000-0200-000019000000}"/>
              </a:ext>
            </a:extLst>
          </xdr:cNvPr>
          <xdr:cNvGrpSpPr/>
        </xdr:nvGrpSpPr>
        <xdr:grpSpPr>
          <a:xfrm>
            <a:off x="326877" y="175104908"/>
            <a:ext cx="5577759" cy="1976569"/>
            <a:chOff x="6598137" y="128211428"/>
            <a:chExt cx="5577759" cy="1976569"/>
          </a:xfrm>
        </xdr:grpSpPr>
        <xdr:grpSp>
          <xdr:nvGrpSpPr>
            <xdr:cNvPr id="1651" name="Group 1650">
              <a:extLst>
                <a:ext uri="{FF2B5EF4-FFF2-40B4-BE49-F238E27FC236}">
                  <a16:creationId xmlns:a16="http://schemas.microsoft.com/office/drawing/2014/main" id="{00000000-0008-0000-0200-000073060000}"/>
                </a:ext>
              </a:extLst>
            </xdr:cNvPr>
            <xdr:cNvGrpSpPr/>
          </xdr:nvGrpSpPr>
          <xdr:grpSpPr>
            <a:xfrm>
              <a:off x="6643082" y="129775408"/>
              <a:ext cx="5480282" cy="412589"/>
              <a:chOff x="6403140" y="11490406"/>
              <a:chExt cx="2765483" cy="386211"/>
            </a:xfrm>
            <a:effectLst>
              <a:outerShdw blurRad="63500" sx="102000" sy="102000" algn="ctr" rotWithShape="0">
                <a:prstClr val="black">
                  <a:alpha val="40000"/>
                </a:prstClr>
              </a:outerShdw>
            </a:effectLst>
          </xdr:grpSpPr>
          <xdr:sp macro="" textlink="">
            <xdr:nvSpPr>
              <xdr:cNvPr id="1652" name="Right Brace 1651">
                <a:extLst>
                  <a:ext uri="{FF2B5EF4-FFF2-40B4-BE49-F238E27FC236}">
                    <a16:creationId xmlns:a16="http://schemas.microsoft.com/office/drawing/2014/main" id="{00000000-0008-0000-0200-000074060000}"/>
                  </a:ext>
                </a:extLst>
              </xdr:cNvPr>
              <xdr:cNvSpPr/>
            </xdr:nvSpPr>
            <xdr:spPr>
              <a:xfrm rot="5400000">
                <a:off x="7693286" y="10870572"/>
                <a:ext cx="182880" cy="1614995"/>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53" name="Right Bracket 1652">
                <a:extLst>
                  <a:ext uri="{FF2B5EF4-FFF2-40B4-BE49-F238E27FC236}">
                    <a16:creationId xmlns:a16="http://schemas.microsoft.com/office/drawing/2014/main" id="{00000000-0008-0000-0200-000075060000}"/>
                  </a:ext>
                </a:extLst>
              </xdr:cNvPr>
              <xdr:cNvSpPr/>
            </xdr:nvSpPr>
            <xdr:spPr>
              <a:xfrm rot="5400000">
                <a:off x="6938861" y="10957479"/>
                <a:ext cx="82127" cy="115357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54" name="Right Bracket 1653">
                <a:extLst>
                  <a:ext uri="{FF2B5EF4-FFF2-40B4-BE49-F238E27FC236}">
                    <a16:creationId xmlns:a16="http://schemas.microsoft.com/office/drawing/2014/main" id="{00000000-0008-0000-0200-000076060000}"/>
                  </a:ext>
                </a:extLst>
              </xdr:cNvPr>
              <xdr:cNvSpPr/>
            </xdr:nvSpPr>
            <xdr:spPr>
              <a:xfrm rot="5400000">
                <a:off x="8550773" y="10954684"/>
                <a:ext cx="82127" cy="1153572"/>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55" name="Flowchart: Delay 1654">
                <a:extLst>
                  <a:ext uri="{FF2B5EF4-FFF2-40B4-BE49-F238E27FC236}">
                    <a16:creationId xmlns:a16="http://schemas.microsoft.com/office/drawing/2014/main" id="{00000000-0008-0000-0200-00007706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1894" name="Group 1893">
              <a:extLst>
                <a:ext uri="{FF2B5EF4-FFF2-40B4-BE49-F238E27FC236}">
                  <a16:creationId xmlns:a16="http://schemas.microsoft.com/office/drawing/2014/main" id="{00000000-0008-0000-0200-000066070000}"/>
                </a:ext>
              </a:extLst>
            </xdr:cNvPr>
            <xdr:cNvGrpSpPr/>
          </xdr:nvGrpSpPr>
          <xdr:grpSpPr>
            <a:xfrm>
              <a:off x="6598137" y="128211428"/>
              <a:ext cx="5577759" cy="1659837"/>
              <a:chOff x="5173197" y="1094588"/>
              <a:chExt cx="5577759" cy="1659837"/>
            </a:xfrm>
            <a:noFill/>
          </xdr:grpSpPr>
          <xdr:sp macro="" textlink="">
            <xdr:nvSpPr>
              <xdr:cNvPr id="1895" name="TextBox 1894">
                <a:extLst>
                  <a:ext uri="{FF2B5EF4-FFF2-40B4-BE49-F238E27FC236}">
                    <a16:creationId xmlns:a16="http://schemas.microsoft.com/office/drawing/2014/main" id="{00000000-0008-0000-0200-000067070000}"/>
                  </a:ext>
                </a:extLst>
              </xdr:cNvPr>
              <xdr:cNvSpPr txBox="1"/>
            </xdr:nvSpPr>
            <xdr:spPr>
              <a:xfrm rot="21300000">
                <a:off x="5173197" y="1094588"/>
                <a:ext cx="2514600" cy="1645920"/>
              </a:xfrm>
              <a:prstGeom prst="rect">
                <a:avLst/>
              </a:prstGeom>
              <a:solidFill>
                <a:srgbClr val="FF99FF">
                  <a:alpha val="20000"/>
                </a:srgbClr>
              </a:solidFill>
              <a:ln w="9525" cmpd="sng">
                <a:solidFill>
                  <a:srgbClr val="7030A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FFC3F5"/>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Your</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to </a:t>
                </a: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me</a:t>
                </a:r>
              </a:p>
              <a:p>
                <a:pPr algn="ctr">
                  <a:spcBef>
                    <a:spcPts val="600"/>
                  </a:spcBef>
                </a:pPr>
                <a:r>
                  <a:rPr lang="en-US" sz="12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can only be </a:t>
                </a:r>
              </a:p>
              <a:p>
                <a:pPr algn="ctr">
                  <a:spcBef>
                    <a:spcPts val="0"/>
                  </a:spcBef>
                </a:pPr>
                <a:r>
                  <a:rPr lang="en-US" sz="12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as good as</a:t>
                </a:r>
              </a:p>
              <a:p>
                <a:pPr algn="ctr">
                  <a:spcBef>
                    <a:spcPts val="600"/>
                  </a:spcBef>
                </a:pP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my</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a:t>
                </a:r>
                <a:b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b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to </a:t>
                </a:r>
                <a:r>
                  <a:rPr lang="en-US" sz="1600" b="1" baseline="0">
                    <a:solidFill>
                      <a:srgbClr val="FFC3F5"/>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400"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896" name="TextBox 1895">
                <a:extLst>
                  <a:ext uri="{FF2B5EF4-FFF2-40B4-BE49-F238E27FC236}">
                    <a16:creationId xmlns:a16="http://schemas.microsoft.com/office/drawing/2014/main" id="{00000000-0008-0000-0200-000068070000}"/>
                  </a:ext>
                </a:extLst>
              </xdr:cNvPr>
              <xdr:cNvSpPr txBox="1"/>
            </xdr:nvSpPr>
            <xdr:spPr>
              <a:xfrm rot="315309">
                <a:off x="8236356" y="1108505"/>
                <a:ext cx="2514600" cy="1645920"/>
              </a:xfrm>
              <a:prstGeom prst="rect">
                <a:avLst/>
              </a:prstGeom>
              <a:solidFill>
                <a:srgbClr val="FF99FF">
                  <a:alpha val="20000"/>
                </a:srgbClr>
              </a:solidFill>
              <a:ln w="9525" cmpd="sng">
                <a:solidFill>
                  <a:srgbClr val="7030A0"/>
                </a:solidFill>
                <a:prstDash val="sysDot"/>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A0FFCD"/>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My</a:t>
                </a: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a:t>
                </a:r>
                <a:b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b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to </a:t>
                </a:r>
                <a:r>
                  <a:rPr lang="en-US" sz="1600" b="1" baseline="0">
                    <a:solidFill>
                      <a:srgbClr val="FFC3F5"/>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a:t>
                </a:r>
              </a:p>
              <a:p>
                <a:pPr algn="ctr">
                  <a:spcBef>
                    <a:spcPts val="600"/>
                  </a:spcBef>
                </a:pPr>
                <a:r>
                  <a:rPr lang="en-US" sz="12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can only be </a:t>
                </a:r>
              </a:p>
              <a:p>
                <a:pPr algn="ctr">
                  <a:spcBef>
                    <a:spcPts val="0"/>
                  </a:spcBef>
                </a:pPr>
                <a:r>
                  <a:rPr lang="en-US" sz="12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as good as</a:t>
                </a:r>
              </a:p>
              <a:p>
                <a:pPr algn="ctr">
                  <a:spcBef>
                    <a:spcPts val="600"/>
                  </a:spcBef>
                </a:pPr>
                <a:r>
                  <a:rPr lang="en-US" sz="1600" b="1" baseline="0">
                    <a:solidFill>
                      <a:srgbClr val="FFC3F5"/>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your</a:t>
                </a: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to </a:t>
                </a:r>
                <a:r>
                  <a:rPr lang="en-US" sz="1600" b="1" baseline="0">
                    <a:solidFill>
                      <a:srgbClr val="A0FFCD"/>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me</a:t>
                </a: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400"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grpSp>
      </xdr:grpSp>
    </xdr:grpSp>
    <xdr:clientData/>
  </xdr:twoCellAnchor>
  <xdr:twoCellAnchor>
    <xdr:from>
      <xdr:col>5</xdr:col>
      <xdr:colOff>457558</xdr:colOff>
      <xdr:row>607</xdr:row>
      <xdr:rowOff>151851</xdr:rowOff>
    </xdr:from>
    <xdr:to>
      <xdr:col>6</xdr:col>
      <xdr:colOff>189515</xdr:colOff>
      <xdr:row>609</xdr:row>
      <xdr:rowOff>54693</xdr:rowOff>
    </xdr:to>
    <xdr:sp macro="" textlink="">
      <xdr:nvSpPr>
        <xdr:cNvPr id="1927" name="Freeform: Shape 1926">
          <a:extLst>
            <a:ext uri="{FF2B5EF4-FFF2-40B4-BE49-F238E27FC236}">
              <a16:creationId xmlns:a16="http://schemas.microsoft.com/office/drawing/2014/main" id="{00000000-0008-0000-0200-000087070000}"/>
            </a:ext>
          </a:extLst>
        </xdr:cNvPr>
        <xdr:cNvSpPr/>
      </xdr:nvSpPr>
      <xdr:spPr>
        <a:xfrm>
          <a:off x="2560678"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3C1E5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295852</xdr:colOff>
      <xdr:row>607</xdr:row>
      <xdr:rowOff>151851</xdr:rowOff>
    </xdr:from>
    <xdr:to>
      <xdr:col>8</xdr:col>
      <xdr:colOff>27809</xdr:colOff>
      <xdr:row>609</xdr:row>
      <xdr:rowOff>54693</xdr:rowOff>
    </xdr:to>
    <xdr:sp macro="" textlink="">
      <xdr:nvSpPr>
        <xdr:cNvPr id="1928" name="Freeform: Shape 1927">
          <a:extLst>
            <a:ext uri="{FF2B5EF4-FFF2-40B4-BE49-F238E27FC236}">
              <a16:creationId xmlns:a16="http://schemas.microsoft.com/office/drawing/2014/main" id="{00000000-0008-0000-0200-000088070000}"/>
            </a:ext>
          </a:extLst>
        </xdr:cNvPr>
        <xdr:cNvSpPr/>
      </xdr:nvSpPr>
      <xdr:spPr>
        <a:xfrm flipH="1">
          <a:off x="3389572"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chemeClr val="accent6">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104140</xdr:colOff>
      <xdr:row>603</xdr:row>
      <xdr:rowOff>144595</xdr:rowOff>
    </xdr:from>
    <xdr:to>
      <xdr:col>13</xdr:col>
      <xdr:colOff>16764</xdr:colOff>
      <xdr:row>610</xdr:row>
      <xdr:rowOff>82279</xdr:rowOff>
    </xdr:to>
    <xdr:grpSp>
      <xdr:nvGrpSpPr>
        <xdr:cNvPr id="1930" name="Group 1929">
          <a:extLst>
            <a:ext uri="{FF2B5EF4-FFF2-40B4-BE49-F238E27FC236}">
              <a16:creationId xmlns:a16="http://schemas.microsoft.com/office/drawing/2014/main" id="{00000000-0008-0000-0200-00008A070000}"/>
            </a:ext>
          </a:extLst>
        </xdr:cNvPr>
        <xdr:cNvGrpSpPr/>
      </xdr:nvGrpSpPr>
      <xdr:grpSpPr>
        <a:xfrm>
          <a:off x="104140" y="119549995"/>
          <a:ext cx="6061964" cy="1210224"/>
          <a:chOff x="104140" y="2900155"/>
          <a:chExt cx="5978144" cy="1134024"/>
        </a:xfrm>
      </xdr:grpSpPr>
      <xdr:sp macro="" textlink="">
        <xdr:nvSpPr>
          <xdr:cNvPr id="1932" name="Rectangle 1931">
            <a:extLst>
              <a:ext uri="{FF2B5EF4-FFF2-40B4-BE49-F238E27FC236}">
                <a16:creationId xmlns:a16="http://schemas.microsoft.com/office/drawing/2014/main" id="{00000000-0008-0000-0200-00008C070000}"/>
              </a:ext>
            </a:extLst>
          </xdr:cNvPr>
          <xdr:cNvSpPr/>
        </xdr:nvSpPr>
        <xdr:spPr>
          <a:xfrm>
            <a:off x="2655558" y="2900155"/>
            <a:ext cx="931916" cy="1134024"/>
          </a:xfrm>
          <a:prstGeom prst="rect">
            <a:avLst/>
          </a:prstGeom>
          <a:noFill/>
        </xdr:spPr>
        <xdr:txBody>
          <a:bodyPr wrap="none" lIns="91440" tIns="45720" rIns="91440" bIns="45720">
            <a:noAutofit/>
          </a:bodyPr>
          <a:lstStyle/>
          <a:p>
            <a:pPr algn="ctr">
              <a:lnSpc>
                <a:spcPts val="9600"/>
              </a:lnSpc>
            </a:pPr>
            <a:r>
              <a:rPr lang="en-US" sz="9600" b="1" cap="none" spc="0">
                <a:ln w="38100">
                  <a:solidFill>
                    <a:srgbClr val="CC00CC"/>
                  </a:solidFill>
                  <a:prstDash val="solid"/>
                </a:ln>
                <a:noFill/>
                <a:effectLst>
                  <a:outerShdw blurRad="38100" dist="22860" dir="5400000" algn="tl" rotWithShape="0">
                    <a:srgbClr val="000000">
                      <a:alpha val="30000"/>
                    </a:srgbClr>
                  </a:outerShdw>
                </a:effectLst>
                <a:latin typeface="Arial Black" panose="020B0A04020102020204" pitchFamily="34" charset="0"/>
              </a:rPr>
              <a:t>?</a:t>
            </a:r>
          </a:p>
        </xdr:txBody>
      </xdr:sp>
      <xdr:sp macro="" textlink="">
        <xdr:nvSpPr>
          <xdr:cNvPr id="1935" name="Speech Bubble: Rectangle with Corners Rounded 1934">
            <a:extLst>
              <a:ext uri="{FF2B5EF4-FFF2-40B4-BE49-F238E27FC236}">
                <a16:creationId xmlns:a16="http://schemas.microsoft.com/office/drawing/2014/main" id="{00000000-0008-0000-0200-00008F070000}"/>
              </a:ext>
            </a:extLst>
          </xdr:cNvPr>
          <xdr:cNvSpPr/>
        </xdr:nvSpPr>
        <xdr:spPr>
          <a:xfrm flipH="1">
            <a:off x="3556180" y="3106362"/>
            <a:ext cx="2526104" cy="868102"/>
          </a:xfrm>
          <a:prstGeom prst="wedgeRoundRectCallout">
            <a:avLst>
              <a:gd name="adj1" fmla="val 57738"/>
              <a:gd name="adj2" fmla="val 2500"/>
              <a:gd name="adj3" fmla="val 16667"/>
            </a:avLst>
          </a:prstGeom>
          <a:noFill/>
          <a:ln w="57150">
            <a:solidFill>
              <a:srgbClr val="96FFC8">
                <a:alpha val="80000"/>
              </a:srgb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36" name="Speech Bubble: Rectangle with Corners Rounded 1935">
            <a:extLst>
              <a:ext uri="{FF2B5EF4-FFF2-40B4-BE49-F238E27FC236}">
                <a16:creationId xmlns:a16="http://schemas.microsoft.com/office/drawing/2014/main" id="{00000000-0008-0000-0200-000090070000}"/>
              </a:ext>
            </a:extLst>
          </xdr:cNvPr>
          <xdr:cNvSpPr/>
        </xdr:nvSpPr>
        <xdr:spPr>
          <a:xfrm>
            <a:off x="104140" y="3106362"/>
            <a:ext cx="2522061" cy="868102"/>
          </a:xfrm>
          <a:prstGeom prst="wedgeRoundRectCallout">
            <a:avLst>
              <a:gd name="adj1" fmla="val 57738"/>
              <a:gd name="adj2" fmla="val 2500"/>
              <a:gd name="adj3" fmla="val 16667"/>
            </a:avLst>
          </a:prstGeom>
          <a:noFill/>
          <a:ln w="57150">
            <a:solidFill>
              <a:srgbClr val="D7B9FF">
                <a:alpha val="85098"/>
              </a:srgbClr>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6</xdr:col>
      <xdr:colOff>0</xdr:colOff>
      <xdr:row>629</xdr:row>
      <xdr:rowOff>83820</xdr:rowOff>
    </xdr:from>
    <xdr:to>
      <xdr:col>8</xdr:col>
      <xdr:colOff>60960</xdr:colOff>
      <xdr:row>639</xdr:row>
      <xdr:rowOff>68580</xdr:rowOff>
    </xdr:to>
    <xdr:sp macro="" textlink="">
      <xdr:nvSpPr>
        <xdr:cNvPr id="1937" name="TextBox 1936">
          <a:extLst>
            <a:ext uri="{FF2B5EF4-FFF2-40B4-BE49-F238E27FC236}">
              <a16:creationId xmlns:a16="http://schemas.microsoft.com/office/drawing/2014/main" id="{00000000-0008-0000-0200-000091070000}"/>
            </a:ext>
          </a:extLst>
        </xdr:cNvPr>
        <xdr:cNvSpPr txBox="1"/>
      </xdr:nvSpPr>
      <xdr:spPr>
        <a:xfrm>
          <a:off x="2598420" y="124007880"/>
          <a:ext cx="1051560" cy="1737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100" b="1">
              <a:ln>
                <a:solidFill>
                  <a:srgbClr val="CC00CC"/>
                </a:solidFill>
              </a:ln>
              <a:solidFill>
                <a:srgbClr val="CC00CC"/>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As long</a:t>
          </a:r>
          <a:r>
            <a:rPr lang="en-US" sz="1100" b="1" baseline="0">
              <a:ln>
                <a:solidFill>
                  <a:srgbClr val="CC00CC"/>
                </a:solidFill>
              </a:ln>
              <a:solidFill>
                <a:srgbClr val="CC00CC"/>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 as you remain stuck in </a:t>
          </a:r>
          <a:r>
            <a:rPr lang="en-US" sz="1100" b="1" i="1" spc="-30" baseline="0">
              <a:ln>
                <a:solidFill>
                  <a:srgbClr val="CC00CC"/>
                </a:solidFill>
              </a:ln>
              <a:solidFill>
                <a:srgbClr val="7030A0"/>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psychosocial</a:t>
          </a:r>
          <a:r>
            <a:rPr lang="en-US" sz="1100" b="1" i="1" baseline="0">
              <a:ln>
                <a:solidFill>
                  <a:srgbClr val="CC00CC"/>
                </a:solidFill>
              </a:ln>
              <a:solidFill>
                <a:srgbClr val="7030A0"/>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 imbalance</a:t>
          </a:r>
          <a:r>
            <a:rPr lang="en-US" sz="1100" b="1" baseline="0">
              <a:ln>
                <a:solidFill>
                  <a:srgbClr val="CC00CC"/>
                </a:solidFill>
              </a:ln>
              <a:solidFill>
                <a:srgbClr val="CC00CC"/>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 you will be in constant</a:t>
          </a:r>
          <a:r>
            <a:rPr lang="en-US" sz="1100" b="1" baseline="0">
              <a:ln>
                <a:solidFill>
                  <a:srgbClr val="CC00CC"/>
                </a:solidFill>
              </a:ln>
              <a:solidFill>
                <a:srgbClr val="FF99FF"/>
              </a:solidFill>
              <a:latin typeface="Tahoma" panose="020B0604030504040204" pitchFamily="34" charset="0"/>
              <a:ea typeface="Tahoma" panose="020B0604030504040204" pitchFamily="34" charset="0"/>
              <a:cs typeface="Tahoma" panose="020B0604030504040204" pitchFamily="34" charset="0"/>
            </a:rPr>
            <a:t> </a:t>
          </a:r>
          <a:r>
            <a:rPr lang="en-US" sz="2400" b="0" baseline="0">
              <a:solidFill>
                <a:srgbClr val="FFFF00"/>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pain</a:t>
          </a:r>
          <a:r>
            <a:rPr lang="en-US" sz="1100" baseline="0">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238794</xdr:colOff>
      <xdr:row>872</xdr:row>
      <xdr:rowOff>137160</xdr:rowOff>
    </xdr:from>
    <xdr:to>
      <xdr:col>12</xdr:col>
      <xdr:colOff>276894</xdr:colOff>
      <xdr:row>877</xdr:row>
      <xdr:rowOff>22860</xdr:rowOff>
    </xdr:to>
    <xdr:sp macro="" textlink="">
      <xdr:nvSpPr>
        <xdr:cNvPr id="1942" name="TextBox 1941">
          <a:extLst>
            <a:ext uri="{FF2B5EF4-FFF2-40B4-BE49-F238E27FC236}">
              <a16:creationId xmlns:a16="http://schemas.microsoft.com/office/drawing/2014/main" id="{00000000-0008-0000-0200-000096070000}"/>
            </a:ext>
          </a:extLst>
        </xdr:cNvPr>
        <xdr:cNvSpPr txBox="1"/>
      </xdr:nvSpPr>
      <xdr:spPr>
        <a:xfrm>
          <a:off x="360714" y="169613580"/>
          <a:ext cx="5486400" cy="762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685800" rIns="685800" rtlCol="0" anchor="ctr"/>
        <a:lstStyle/>
        <a:p>
          <a:pPr algn="ctr"/>
          <a:r>
            <a:rPr lang="en-US" sz="2000" b="1">
              <a:solidFill>
                <a:srgbClr val="F5D2FF"/>
              </a:solidFill>
              <a:latin typeface="Tahoma" panose="020B0604030504040204" pitchFamily="34" charset="0"/>
              <a:ea typeface="Tahoma" panose="020B0604030504040204" pitchFamily="34" charset="0"/>
              <a:cs typeface="Tahoma" panose="020B0604030504040204" pitchFamily="34" charset="0"/>
            </a:rPr>
            <a:t>Let's understand others as</a:t>
          </a:r>
          <a:r>
            <a:rPr lang="en-US" sz="2000" b="1" baseline="0">
              <a:solidFill>
                <a:srgbClr val="F5D2FF"/>
              </a:solidFill>
              <a:latin typeface="Tahoma" panose="020B0604030504040204" pitchFamily="34" charset="0"/>
              <a:ea typeface="Tahoma" panose="020B0604030504040204" pitchFamily="34" charset="0"/>
              <a:cs typeface="Tahoma" panose="020B0604030504040204" pitchFamily="34" charset="0"/>
            </a:rPr>
            <a:t> we seek others to understand us</a:t>
          </a:r>
          <a:r>
            <a:rPr lang="en-US" sz="2000" b="1">
              <a:solidFill>
                <a:srgbClr val="F5D2FF"/>
              </a:solidFill>
              <a:latin typeface="Tahoma" panose="020B0604030504040204" pitchFamily="34" charset="0"/>
              <a:ea typeface="Tahoma" panose="020B0604030504040204" pitchFamily="34" charset="0"/>
              <a:cs typeface="Tahoma" panose="020B0604030504040204" pitchFamily="34" charset="0"/>
            </a:rPr>
            <a:t>. </a:t>
          </a:r>
          <a:endParaRPr lang="en-US" sz="1800" b="1" baseline="0">
            <a:solidFill>
              <a:srgbClr val="F5D2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22860</xdr:colOff>
      <xdr:row>647</xdr:row>
      <xdr:rowOff>158115</xdr:rowOff>
    </xdr:from>
    <xdr:to>
      <xdr:col>13</xdr:col>
      <xdr:colOff>68580</xdr:colOff>
      <xdr:row>653</xdr:row>
      <xdr:rowOff>125730</xdr:rowOff>
    </xdr:to>
    <xdr:sp macro="" textlink="">
      <xdr:nvSpPr>
        <xdr:cNvPr id="1943" name="TextBox 1942">
          <a:extLst>
            <a:ext uri="{FF2B5EF4-FFF2-40B4-BE49-F238E27FC236}">
              <a16:creationId xmlns:a16="http://schemas.microsoft.com/office/drawing/2014/main" id="{00000000-0008-0000-0200-000097070000}"/>
            </a:ext>
          </a:extLst>
        </xdr:cNvPr>
        <xdr:cNvSpPr txBox="1"/>
      </xdr:nvSpPr>
      <xdr:spPr>
        <a:xfrm>
          <a:off x="22860" y="124907040"/>
          <a:ext cx="5989320" cy="1005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400" spc="-20" baseline="0">
              <a:latin typeface="Tahoma" panose="020B0604030504040204" pitchFamily="34" charset="0"/>
              <a:ea typeface="Tahoma" panose="020B0604030504040204" pitchFamily="34" charset="0"/>
              <a:cs typeface="Tahoma" panose="020B0604030504040204" pitchFamily="34" charset="0"/>
            </a:rPr>
            <a:t>Anankelogy finds a continuum from those extremely to moderately </a:t>
          </a:r>
          <a:r>
            <a:rPr lang="en-US" sz="1400" spc="-20" baseline="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rPr>
            <a:t>wide-oriented</a:t>
          </a:r>
          <a:r>
            <a:rPr lang="en-US" sz="1400" spc="-20" baseline="0">
              <a:latin typeface="Tahoma" panose="020B0604030504040204" pitchFamily="34" charset="0"/>
              <a:ea typeface="Tahoma" panose="020B0604030504040204" pitchFamily="34" charset="0"/>
              <a:cs typeface="Tahoma" panose="020B0604030504040204" pitchFamily="34" charset="0"/>
            </a:rPr>
            <a:t> to those </a:t>
          </a:r>
          <a:r>
            <a:rPr lang="en-US" sz="1400" baseline="0">
              <a:latin typeface="Tahoma" panose="020B0604030504040204" pitchFamily="34" charset="0"/>
              <a:ea typeface="Tahoma" panose="020B0604030504040204" pitchFamily="34" charset="0"/>
              <a:cs typeface="Tahoma" panose="020B0604030504040204" pitchFamily="34" charset="0"/>
            </a:rPr>
            <a:t>who</a:t>
          </a:r>
          <a:r>
            <a:rPr lang="en-US" sz="1400" spc="20" baseline="0">
              <a:latin typeface="Tahoma" panose="020B0604030504040204" pitchFamily="34" charset="0"/>
              <a:ea typeface="Tahoma" panose="020B0604030504040204" pitchFamily="34" charset="0"/>
              <a:cs typeface="Tahoma" panose="020B0604030504040204" pitchFamily="34" charset="0"/>
            </a:rPr>
            <a:t> are moderately to extremely </a:t>
          </a:r>
          <a:r>
            <a:rPr lang="en-US" sz="1400" spc="20" baseline="0">
              <a:ln>
                <a:solidFill>
                  <a:srgbClr val="C00000"/>
                </a:solidFill>
              </a:ln>
              <a:solidFill>
                <a:srgbClr val="FF0000"/>
              </a:solidFill>
              <a:latin typeface="Tahoma" panose="020B0604030504040204" pitchFamily="34" charset="0"/>
              <a:ea typeface="Tahoma" panose="020B0604030504040204" pitchFamily="34" charset="0"/>
              <a:cs typeface="Tahoma" panose="020B0604030504040204" pitchFamily="34" charset="0"/>
            </a:rPr>
            <a:t>deep-oriented</a:t>
          </a:r>
          <a:r>
            <a:rPr lang="en-US" sz="1400" spc="20" baseline="0">
              <a:latin typeface="Tahoma" panose="020B0604030504040204" pitchFamily="34" charset="0"/>
              <a:ea typeface="Tahoma" panose="020B0604030504040204" pitchFamily="34" charset="0"/>
              <a:cs typeface="Tahoma" panose="020B0604030504040204" pitchFamily="34" charset="0"/>
            </a:rPr>
            <a:t>. This range of specific </a:t>
          </a:r>
          <a:r>
            <a:rPr lang="en-US" sz="1400" i="1" spc="20" baseline="0">
              <a:latin typeface="Tahoma" panose="020B0604030504040204" pitchFamily="34" charset="0"/>
              <a:ea typeface="Tahoma" panose="020B0604030504040204" pitchFamily="34" charset="0"/>
              <a:cs typeface="Tahoma" panose="020B0604030504040204" pitchFamily="34" charset="0"/>
            </a:rPr>
            <a:t>psychosocial </a:t>
          </a:r>
          <a:r>
            <a:rPr lang="en-US" sz="1400" i="1" baseline="0">
              <a:latin typeface="Tahoma" panose="020B0604030504040204" pitchFamily="34" charset="0"/>
              <a:ea typeface="Tahoma" panose="020B0604030504040204" pitchFamily="34" charset="0"/>
              <a:cs typeface="Tahoma" panose="020B0604030504040204" pitchFamily="34" charset="0"/>
            </a:rPr>
            <a:t>orientations </a:t>
          </a:r>
          <a:r>
            <a:rPr lang="en-US" sz="1400" baseline="0">
              <a:latin typeface="Tahoma" panose="020B0604030504040204" pitchFamily="34" charset="0"/>
              <a:ea typeface="Tahoma" panose="020B0604030504040204" pitchFamily="34" charset="0"/>
              <a:cs typeface="Tahoma" panose="020B0604030504040204" pitchFamily="34" charset="0"/>
            </a:rPr>
            <a:t>form the basis for much of our spectrum of political diversity. </a:t>
          </a:r>
        </a:p>
      </xdr:txBody>
    </xdr:sp>
    <xdr:clientData/>
  </xdr:twoCellAnchor>
  <xdr:twoCellAnchor>
    <xdr:from>
      <xdr:col>0</xdr:col>
      <xdr:colOff>106680</xdr:colOff>
      <xdr:row>793</xdr:row>
      <xdr:rowOff>106680</xdr:rowOff>
    </xdr:from>
    <xdr:to>
      <xdr:col>12</xdr:col>
      <xdr:colOff>480060</xdr:colOff>
      <xdr:row>808</xdr:row>
      <xdr:rowOff>144780</xdr:rowOff>
    </xdr:to>
    <xdr:sp macro="" textlink="">
      <xdr:nvSpPr>
        <xdr:cNvPr id="1938" name="psychosocial reduction">
          <a:extLst>
            <a:ext uri="{FF2B5EF4-FFF2-40B4-BE49-F238E27FC236}">
              <a16:creationId xmlns:a16="http://schemas.microsoft.com/office/drawing/2014/main" id="{00000000-0008-0000-0200-000092070000}"/>
            </a:ext>
          </a:extLst>
        </xdr:cNvPr>
        <xdr:cNvSpPr txBox="1"/>
      </xdr:nvSpPr>
      <xdr:spPr>
        <a:xfrm>
          <a:off x="106680" y="172638720"/>
          <a:ext cx="5943600" cy="3017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nSpc>
              <a:spcPts val="1500"/>
            </a:lnSpc>
          </a:pP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We cannot function fully while suffering </a:t>
          </a:r>
          <a:r>
            <a:rPr lang="en-US" sz="1400"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psychosocial imbalance</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when our </a:t>
          </a:r>
          <a:r>
            <a:rPr lang="en-US" sz="1400" baseline="0">
              <a:ln>
                <a:solidFill>
                  <a:srgbClr val="1E5A28"/>
                </a:solidFill>
              </a:ln>
              <a:solidFill>
                <a:srgbClr val="1E5A28"/>
              </a:solidFill>
              <a:effectLst/>
              <a:latin typeface="Tahoma" panose="020B0604030504040204" pitchFamily="34" charset="0"/>
              <a:ea typeface="Tahoma" panose="020B0604030504040204" pitchFamily="34" charset="0"/>
              <a:cs typeface="Tahoma" panose="020B0604030504040204" pitchFamily="34" charset="0"/>
            </a:rPr>
            <a:t>self-needs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and </a:t>
          </a:r>
          <a:r>
            <a:rPr lang="en-US" sz="1400" baseline="0">
              <a:ln>
                <a:solidFill>
                  <a:srgbClr val="411E5A"/>
                </a:solidFill>
              </a:ln>
              <a:solidFill>
                <a:srgbClr val="411E5A"/>
              </a:solidFill>
              <a:effectLst/>
              <a:latin typeface="Tahoma" panose="020B0604030504040204" pitchFamily="34" charset="0"/>
              <a:ea typeface="Tahoma" panose="020B0604030504040204" pitchFamily="34" charset="0"/>
              <a:cs typeface="Tahoma" panose="020B0604030504040204" pitchFamily="34" charset="0"/>
            </a:rPr>
            <a:t>social-needs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remain in painful tension with each other.</a:t>
          </a:r>
        </a:p>
        <a:p>
          <a:endPar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endParaRPr>
        </a:p>
        <a:p>
          <a:pPr lvl="1">
            <a:lnSpc>
              <a:spcPts val="1400"/>
            </a:lnSpc>
          </a:pP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The </a:t>
          </a:r>
          <a:r>
            <a:rPr lang="en-US" sz="1400" b="1"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less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your </a:t>
          </a:r>
          <a:r>
            <a:rPr lang="en-US" sz="1400" baseline="0">
              <a:ln>
                <a:solidFill>
                  <a:srgbClr val="1E5A28"/>
                </a:solidFill>
              </a:ln>
              <a:solidFill>
                <a:srgbClr val="1E5A28"/>
              </a:solidFill>
              <a:effectLst/>
              <a:latin typeface="Tahoma" panose="020B0604030504040204" pitchFamily="34" charset="0"/>
              <a:ea typeface="Tahoma" panose="020B0604030504040204" pitchFamily="34" charset="0"/>
              <a:cs typeface="Tahoma" panose="020B0604030504040204" pitchFamily="34" charset="0"/>
            </a:rPr>
            <a:t>self-needs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and </a:t>
          </a:r>
          <a:r>
            <a:rPr lang="en-US" sz="1400" baseline="0">
              <a:ln>
                <a:solidFill>
                  <a:srgbClr val="411E5A"/>
                </a:solidFill>
              </a:ln>
              <a:solidFill>
                <a:srgbClr val="411E5A"/>
              </a:solidFill>
              <a:effectLst/>
              <a:latin typeface="Tahoma" panose="020B0604030504040204" pitchFamily="34" charset="0"/>
              <a:ea typeface="Tahoma" panose="020B0604030504040204" pitchFamily="34" charset="0"/>
              <a:cs typeface="Tahoma" panose="020B0604030504040204" pitchFamily="34" charset="0"/>
            </a:rPr>
            <a:t>social-needs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resolve on par with each other, the </a:t>
          </a:r>
          <a:r>
            <a:rPr lang="en-US" sz="1400" b="1"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more</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you struggle in pain. Your other needs cannot fully resolve, leaving you with </a:t>
          </a:r>
          <a:r>
            <a:rPr lang="en-US" sz="1400" b="1"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less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energy to live your life. </a:t>
          </a:r>
        </a:p>
        <a:p>
          <a:endParaRPr lang="en-US" sz="1400" baseline="0">
            <a:latin typeface="Tahoma" panose="020B0604030504040204" pitchFamily="34" charset="0"/>
            <a:ea typeface="Tahoma" panose="020B0604030504040204" pitchFamily="34" charset="0"/>
            <a:cs typeface="Tahoma" panose="020B0604030504040204" pitchFamily="34" charset="0"/>
          </a:endParaRPr>
        </a:p>
        <a:p>
          <a:pPr>
            <a:lnSpc>
              <a:spcPts val="1500"/>
            </a:lnSpc>
          </a:pPr>
          <a:r>
            <a:rPr lang="en-US" sz="1400" spc="-10" baseline="0">
              <a:latin typeface="Tahoma" panose="020B0604030504040204" pitchFamily="34" charset="0"/>
              <a:ea typeface="Tahoma" panose="020B0604030504040204" pitchFamily="34" charset="0"/>
              <a:cs typeface="Tahoma" panose="020B0604030504040204" pitchFamily="34" charset="0"/>
            </a:rPr>
            <a:t>We can only function fully from a position of </a:t>
          </a:r>
          <a:r>
            <a:rPr lang="en-US" sz="1400" i="1" spc="-10" baseline="0">
              <a:latin typeface="Tahoma" panose="020B0604030504040204" pitchFamily="34" charset="0"/>
              <a:ea typeface="Tahoma" panose="020B0604030504040204" pitchFamily="34" charset="0"/>
              <a:cs typeface="Tahoma" panose="020B0604030504040204" pitchFamily="34" charset="0"/>
            </a:rPr>
            <a:t>psychosocial equilibrium</a:t>
          </a:r>
          <a:r>
            <a:rPr lang="en-US" sz="1400" spc="-10" baseline="0">
              <a:latin typeface="Tahoma" panose="020B0604030504040204" pitchFamily="34" charset="0"/>
              <a:ea typeface="Tahoma" panose="020B0604030504040204" pitchFamily="34" charset="0"/>
              <a:cs typeface="Tahoma" panose="020B0604030504040204" pitchFamily="34" charset="0"/>
            </a:rPr>
            <a:t>, when </a:t>
          </a:r>
          <a:r>
            <a:rPr lang="en-US" sz="1400" baseline="0">
              <a:latin typeface="Tahoma" panose="020B0604030504040204" pitchFamily="34" charset="0"/>
              <a:ea typeface="Tahoma" panose="020B0604030504040204" pitchFamily="34" charset="0"/>
              <a:cs typeface="Tahoma" panose="020B0604030504040204" pitchFamily="34" charset="0"/>
            </a:rPr>
            <a:t>our internal </a:t>
          </a:r>
          <a:r>
            <a:rPr lang="en-US" sz="1400" baseline="0">
              <a:ln>
                <a:solidFill>
                  <a:srgbClr val="1E5A28"/>
                </a:solidFill>
              </a:ln>
              <a:solidFill>
                <a:srgbClr val="1E5A28"/>
              </a:solidFill>
              <a:latin typeface="Tahoma" panose="020B0604030504040204" pitchFamily="34" charset="0"/>
              <a:ea typeface="Tahoma" panose="020B0604030504040204" pitchFamily="34" charset="0"/>
              <a:cs typeface="Tahoma" panose="020B0604030504040204" pitchFamily="34" charset="0"/>
            </a:rPr>
            <a:t>self-needs</a:t>
          </a:r>
          <a:r>
            <a:rPr lang="en-US" sz="1400" baseline="0">
              <a:latin typeface="Tahoma" panose="020B0604030504040204" pitchFamily="34" charset="0"/>
              <a:ea typeface="Tahoma" panose="020B0604030504040204" pitchFamily="34" charset="0"/>
              <a:cs typeface="Tahoma" panose="020B0604030504040204" pitchFamily="34" charset="0"/>
            </a:rPr>
            <a:t> remain in relative balance with our external </a:t>
          </a:r>
          <a:r>
            <a:rPr lang="en-US" sz="1400" baseline="0">
              <a:ln>
                <a:solidFill>
                  <a:srgbClr val="411E5A"/>
                </a:solidFill>
              </a:ln>
              <a:solidFill>
                <a:srgbClr val="411E5A"/>
              </a:solidFill>
              <a:latin typeface="Tahoma" panose="020B0604030504040204" pitchFamily="34" charset="0"/>
              <a:ea typeface="Tahoma" panose="020B0604030504040204" pitchFamily="34" charset="0"/>
              <a:cs typeface="Tahoma" panose="020B0604030504040204" pitchFamily="34" charset="0"/>
            </a:rPr>
            <a:t>social-needs</a:t>
          </a:r>
          <a:r>
            <a:rPr lang="en-US" sz="1400" baseline="0">
              <a:latin typeface="Tahoma" panose="020B0604030504040204" pitchFamily="34" charset="0"/>
              <a:ea typeface="Tahoma" panose="020B0604030504040204" pitchFamily="34" charset="0"/>
              <a:cs typeface="Tahoma" panose="020B0604030504040204" pitchFamily="34" charset="0"/>
            </a:rPr>
            <a:t>. </a:t>
          </a:r>
        </a:p>
        <a:p>
          <a:endParaRPr lang="en-US" sz="1400" baseline="0">
            <a:latin typeface="Tahoma" panose="020B0604030504040204" pitchFamily="34" charset="0"/>
            <a:ea typeface="Tahoma" panose="020B0604030504040204" pitchFamily="34" charset="0"/>
            <a:cs typeface="Tahoma" panose="020B0604030504040204" pitchFamily="34" charset="0"/>
          </a:endParaRPr>
        </a:p>
        <a:p>
          <a:pPr lvl="1">
            <a:lnSpc>
              <a:spcPts val="1400"/>
            </a:lnSpc>
          </a:pPr>
          <a:r>
            <a:rPr lang="en-US" sz="1400" baseline="0">
              <a:latin typeface="Tahoma" panose="020B0604030504040204" pitchFamily="34" charset="0"/>
              <a:ea typeface="Tahoma" panose="020B0604030504040204" pitchFamily="34" charset="0"/>
              <a:cs typeface="Tahoma" panose="020B0604030504040204" pitchFamily="34" charset="0"/>
            </a:rPr>
            <a:t>The </a:t>
          </a:r>
          <a:r>
            <a:rPr lang="en-US" sz="1400" b="1" i="1" baseline="0">
              <a:latin typeface="Tahoma" panose="020B0604030504040204" pitchFamily="34" charset="0"/>
              <a:ea typeface="Tahoma" panose="020B0604030504040204" pitchFamily="34" charset="0"/>
              <a:cs typeface="Tahoma" panose="020B0604030504040204" pitchFamily="34" charset="0"/>
            </a:rPr>
            <a:t>more</a:t>
          </a:r>
          <a:r>
            <a:rPr lang="en-US" sz="1400" baseline="0">
              <a:latin typeface="Tahoma" panose="020B0604030504040204" pitchFamily="34" charset="0"/>
              <a:ea typeface="Tahoma" panose="020B0604030504040204" pitchFamily="34" charset="0"/>
              <a:cs typeface="Tahoma" panose="020B0604030504040204" pitchFamily="34" charset="0"/>
            </a:rPr>
            <a:t> your </a:t>
          </a:r>
          <a:r>
            <a:rPr lang="en-US" sz="1400" baseline="0">
              <a:ln>
                <a:solidFill>
                  <a:srgbClr val="1E5A28"/>
                </a:solidFill>
              </a:ln>
              <a:solidFill>
                <a:srgbClr val="1E5A28"/>
              </a:solidFill>
              <a:latin typeface="Tahoma" panose="020B0604030504040204" pitchFamily="34" charset="0"/>
              <a:ea typeface="Tahoma" panose="020B0604030504040204" pitchFamily="34" charset="0"/>
              <a:cs typeface="Tahoma" panose="020B0604030504040204" pitchFamily="34" charset="0"/>
            </a:rPr>
            <a:t>self-needs</a:t>
          </a:r>
          <a:r>
            <a:rPr lang="en-US" sz="1400" baseline="0">
              <a:latin typeface="Tahoma" panose="020B0604030504040204" pitchFamily="34" charset="0"/>
              <a:ea typeface="Tahoma" panose="020B0604030504040204" pitchFamily="34" charset="0"/>
              <a:cs typeface="Tahoma" panose="020B0604030504040204" pitchFamily="34" charset="0"/>
            </a:rPr>
            <a:t> and </a:t>
          </a:r>
          <a:r>
            <a:rPr lang="en-US" sz="1400" baseline="0">
              <a:ln>
                <a:solidFill>
                  <a:srgbClr val="411E5A"/>
                </a:solidFill>
              </a:ln>
              <a:solidFill>
                <a:srgbClr val="411E5A"/>
              </a:solidFill>
              <a:latin typeface="Tahoma" panose="020B0604030504040204" pitchFamily="34" charset="0"/>
              <a:ea typeface="Tahoma" panose="020B0604030504040204" pitchFamily="34" charset="0"/>
              <a:cs typeface="Tahoma" panose="020B0604030504040204" pitchFamily="34" charset="0"/>
            </a:rPr>
            <a:t>social-needs</a:t>
          </a:r>
          <a:r>
            <a:rPr lang="en-US" sz="1400" baseline="0">
              <a:latin typeface="Tahoma" panose="020B0604030504040204" pitchFamily="34" charset="0"/>
              <a:ea typeface="Tahoma" panose="020B0604030504040204" pitchFamily="34" charset="0"/>
              <a:cs typeface="Tahoma" panose="020B0604030504040204" pitchFamily="34" charset="0"/>
            </a:rPr>
            <a:t> resolve on par with each other, the </a:t>
          </a:r>
          <a:r>
            <a:rPr lang="en-US" sz="1400" b="1" i="1" baseline="0">
              <a:latin typeface="Tahoma" panose="020B0604030504040204" pitchFamily="34" charset="0"/>
              <a:ea typeface="Tahoma" panose="020B0604030504040204" pitchFamily="34" charset="0"/>
              <a:cs typeface="Tahoma" panose="020B0604030504040204" pitchFamily="34" charset="0"/>
            </a:rPr>
            <a:t>less</a:t>
          </a:r>
          <a:r>
            <a:rPr lang="en-US" sz="1400" baseline="0">
              <a:latin typeface="Tahoma" panose="020B0604030504040204" pitchFamily="34" charset="0"/>
              <a:ea typeface="Tahoma" panose="020B0604030504040204" pitchFamily="34" charset="0"/>
              <a:cs typeface="Tahoma" panose="020B0604030504040204" pitchFamily="34" charset="0"/>
            </a:rPr>
            <a:t> you struggle in pain. Your other needs can then more fully resolve, giving you </a:t>
          </a:r>
          <a:r>
            <a:rPr lang="en-US" sz="1400" b="1" i="1" baseline="0">
              <a:latin typeface="Tahoma" panose="020B0604030504040204" pitchFamily="34" charset="0"/>
              <a:ea typeface="Tahoma" panose="020B0604030504040204" pitchFamily="34" charset="0"/>
              <a:cs typeface="Tahoma" panose="020B0604030504040204" pitchFamily="34" charset="0"/>
            </a:rPr>
            <a:t>more</a:t>
          </a:r>
          <a:r>
            <a:rPr lang="en-US" sz="1400" baseline="0">
              <a:latin typeface="Tahoma" panose="020B0604030504040204" pitchFamily="34" charset="0"/>
              <a:ea typeface="Tahoma" panose="020B0604030504040204" pitchFamily="34" charset="0"/>
              <a:cs typeface="Tahoma" panose="020B0604030504040204" pitchFamily="34" charset="0"/>
            </a:rPr>
            <a:t> energy to live life fully. </a:t>
          </a:r>
          <a:endParaRPr lang="en-US" sz="160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45720</xdr:colOff>
      <xdr:row>779</xdr:row>
      <xdr:rowOff>15241</xdr:rowOff>
    </xdr:from>
    <xdr:to>
      <xdr:col>13</xdr:col>
      <xdr:colOff>45720</xdr:colOff>
      <xdr:row>782</xdr:row>
      <xdr:rowOff>76201</xdr:rowOff>
    </xdr:to>
    <xdr:sp macro="" textlink="">
      <xdr:nvSpPr>
        <xdr:cNvPr id="1945" name="psychosocial reduction">
          <a:extLst>
            <a:ext uri="{FF2B5EF4-FFF2-40B4-BE49-F238E27FC236}">
              <a16:creationId xmlns:a16="http://schemas.microsoft.com/office/drawing/2014/main" id="{00000000-0008-0000-0200-000099070000}"/>
            </a:ext>
          </a:extLst>
        </xdr:cNvPr>
        <xdr:cNvSpPr txBox="1"/>
      </xdr:nvSpPr>
      <xdr:spPr>
        <a:xfrm>
          <a:off x="167640" y="153108661"/>
          <a:ext cx="5943600" cy="586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rIns="0" rtlCol="0" anchor="t"/>
        <a:lstStyle/>
        <a:p>
          <a:r>
            <a:rPr lang="en-US" sz="1400" spc="-30" baseline="0">
              <a:latin typeface="Tahoma" panose="020B0604030504040204" pitchFamily="34" charset="0"/>
              <a:ea typeface="Tahoma" panose="020B0604030504040204" pitchFamily="34" charset="0"/>
              <a:cs typeface="Tahoma" panose="020B0604030504040204" pitchFamily="34" charset="0"/>
            </a:rPr>
            <a:t>Political fighting normalizes the problem of "psychosocial imbalance." If kept generalizing for relief, you easily cling to either psychosocial extreme:</a:t>
          </a:r>
        </a:p>
      </xdr:txBody>
    </xdr:sp>
    <xdr:clientData/>
  </xdr:twoCellAnchor>
  <xdr:twoCellAnchor>
    <xdr:from>
      <xdr:col>7</xdr:col>
      <xdr:colOff>266700</xdr:colOff>
      <xdr:row>782</xdr:row>
      <xdr:rowOff>95250</xdr:rowOff>
    </xdr:from>
    <xdr:to>
      <xdr:col>13</xdr:col>
      <xdr:colOff>38100</xdr:colOff>
      <xdr:row>787</xdr:row>
      <xdr:rowOff>60960</xdr:rowOff>
    </xdr:to>
    <xdr:sp macro="" textlink="">
      <xdr:nvSpPr>
        <xdr:cNvPr id="1946" name="psychosocial reduction">
          <a:extLst>
            <a:ext uri="{FF2B5EF4-FFF2-40B4-BE49-F238E27FC236}">
              <a16:creationId xmlns:a16="http://schemas.microsoft.com/office/drawing/2014/main" id="{00000000-0008-0000-0200-00009A070000}"/>
            </a:ext>
          </a:extLst>
        </xdr:cNvPr>
        <xdr:cNvSpPr txBox="1"/>
      </xdr:nvSpPr>
      <xdr:spPr>
        <a:xfrm>
          <a:off x="3295650" y="150609300"/>
          <a:ext cx="2686050" cy="822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emphasize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internal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psychological factors </a:t>
          </a:r>
        </a:p>
        <a:p>
          <a:pPr algn="ctr">
            <a:spcBef>
              <a:spcPts val="300"/>
            </a:spcBef>
          </a:pP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to the neglect of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external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socio-environmental factors</a:t>
          </a:r>
        </a:p>
      </xdr:txBody>
    </xdr:sp>
    <xdr:clientData/>
  </xdr:twoCellAnchor>
  <xdr:twoCellAnchor>
    <xdr:from>
      <xdr:col>1</xdr:col>
      <xdr:colOff>53340</xdr:colOff>
      <xdr:row>782</xdr:row>
      <xdr:rowOff>95250</xdr:rowOff>
    </xdr:from>
    <xdr:to>
      <xdr:col>6</xdr:col>
      <xdr:colOff>320040</xdr:colOff>
      <xdr:row>787</xdr:row>
      <xdr:rowOff>60960</xdr:rowOff>
    </xdr:to>
    <xdr:sp macro="" textlink="">
      <xdr:nvSpPr>
        <xdr:cNvPr id="1966" name="psychosocial reduction">
          <a:extLst>
            <a:ext uri="{FF2B5EF4-FFF2-40B4-BE49-F238E27FC236}">
              <a16:creationId xmlns:a16="http://schemas.microsoft.com/office/drawing/2014/main" id="{00000000-0008-0000-0200-0000AE070000}"/>
            </a:ext>
          </a:extLst>
        </xdr:cNvPr>
        <xdr:cNvSpPr txBox="1"/>
      </xdr:nvSpPr>
      <xdr:spPr>
        <a:xfrm>
          <a:off x="167640" y="150609300"/>
          <a:ext cx="2695575" cy="822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emphasize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external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socio-environmental  factors </a:t>
          </a:r>
        </a:p>
        <a:p>
          <a:pPr algn="ctr">
            <a:spcBef>
              <a:spcPts val="300"/>
            </a:spcBef>
          </a:pP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to the neglect of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internal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psychological</a:t>
          </a:r>
          <a:r>
            <a:rPr lang="en-US" sz="1100" b="1" baseline="0">
              <a:solidFill>
                <a:schemeClr val="dk1"/>
              </a:solidFill>
              <a:effectLst/>
              <a:latin typeface="+mn-lt"/>
              <a:ea typeface="+mn-ea"/>
              <a:cs typeface="+mn-cs"/>
            </a:rPr>
            <a:t> </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factors</a:t>
          </a:r>
        </a:p>
      </xdr:txBody>
    </xdr:sp>
    <xdr:clientData/>
  </xdr:twoCellAnchor>
  <xdr:twoCellAnchor>
    <xdr:from>
      <xdr:col>0</xdr:col>
      <xdr:colOff>66675</xdr:colOff>
      <xdr:row>813</xdr:row>
      <xdr:rowOff>66675</xdr:rowOff>
    </xdr:from>
    <xdr:to>
      <xdr:col>7</xdr:col>
      <xdr:colOff>0</xdr:colOff>
      <xdr:row>823</xdr:row>
      <xdr:rowOff>142875</xdr:rowOff>
    </xdr:to>
    <xdr:sp macro="" textlink="">
      <xdr:nvSpPr>
        <xdr:cNvPr id="2135" name="TextBox 2134">
          <a:extLst>
            <a:ext uri="{FF2B5EF4-FFF2-40B4-BE49-F238E27FC236}">
              <a16:creationId xmlns:a16="http://schemas.microsoft.com/office/drawing/2014/main" id="{00000000-0008-0000-0200-000057080000}"/>
            </a:ext>
          </a:extLst>
        </xdr:cNvPr>
        <xdr:cNvSpPr txBox="1"/>
      </xdr:nvSpPr>
      <xdr:spPr>
        <a:xfrm>
          <a:off x="66675" y="155895675"/>
          <a:ext cx="2962275" cy="1762125"/>
        </a:xfrm>
        <a:prstGeom prst="rect">
          <a:avLst/>
        </a:prstGeom>
        <a:solidFill>
          <a:srgbClr val="E178FF">
            <a:alpha val="5098"/>
          </a:srgbClr>
        </a:solidFill>
        <a:ln w="9525" cmpd="sng">
          <a:noFill/>
        </a:ln>
        <a:effectLst>
          <a:outerShdw blurRad="63500" sx="102000" sy="102000" algn="c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spcBef>
              <a:spcPts val="0"/>
            </a:spcBef>
            <a:spcAft>
              <a:spcPts val="600"/>
            </a:spcAft>
          </a:pPr>
          <a:r>
            <a:rPr lang="en-US" sz="2000" b="1" baseline="0">
              <a:solidFill>
                <a:srgbClr val="7030A0"/>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popular immature reaction?</a:t>
          </a:r>
        </a:p>
      </xdr:txBody>
    </xdr:sp>
    <xdr:clientData/>
  </xdr:twoCellAnchor>
  <xdr:twoCellAnchor>
    <xdr:from>
      <xdr:col>1</xdr:col>
      <xdr:colOff>186726</xdr:colOff>
      <xdr:row>787</xdr:row>
      <xdr:rowOff>45747</xdr:rowOff>
    </xdr:from>
    <xdr:to>
      <xdr:col>6</xdr:col>
      <xdr:colOff>346700</xdr:colOff>
      <xdr:row>792</xdr:row>
      <xdr:rowOff>17410</xdr:rowOff>
    </xdr:to>
    <xdr:grpSp>
      <xdr:nvGrpSpPr>
        <xdr:cNvPr id="28" name="Group 27">
          <a:extLst>
            <a:ext uri="{FF2B5EF4-FFF2-40B4-BE49-F238E27FC236}">
              <a16:creationId xmlns:a16="http://schemas.microsoft.com/office/drawing/2014/main" id="{00000000-0008-0000-0200-00001C000000}"/>
            </a:ext>
          </a:extLst>
        </xdr:cNvPr>
        <xdr:cNvGrpSpPr/>
      </xdr:nvGrpSpPr>
      <xdr:grpSpPr>
        <a:xfrm>
          <a:off x="301026" y="154670787"/>
          <a:ext cx="2674574" cy="847963"/>
          <a:chOff x="232446" y="172143447"/>
          <a:chExt cx="2636474" cy="847963"/>
        </a:xfrm>
      </xdr:grpSpPr>
      <xdr:sp macro="" textlink="">
        <xdr:nvSpPr>
          <xdr:cNvPr id="2114" name="TextBox 2113">
            <a:extLst>
              <a:ext uri="{FF2B5EF4-FFF2-40B4-BE49-F238E27FC236}">
                <a16:creationId xmlns:a16="http://schemas.microsoft.com/office/drawing/2014/main" id="{00000000-0008-0000-0200-000042080000}"/>
              </a:ext>
            </a:extLst>
          </xdr:cNvPr>
          <xdr:cNvSpPr txBox="1"/>
        </xdr:nvSpPr>
        <xdr:spPr>
          <a:xfrm rot="21300000">
            <a:off x="1771640" y="172143447"/>
            <a:ext cx="1097280" cy="640080"/>
          </a:xfrm>
          <a:prstGeom prst="rect">
            <a:avLst/>
          </a:prstGeom>
          <a:solidFill>
            <a:srgbClr val="A0FFCD">
              <a:alpha val="20000"/>
            </a:srgbClr>
          </a:solidFill>
          <a:ln w="9525" cmpd="sng">
            <a:solidFill>
              <a:srgbClr val="00B05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internal factors</a:t>
            </a:r>
          </a:p>
        </xdr:txBody>
      </xdr:sp>
      <xdr:grpSp>
        <xdr:nvGrpSpPr>
          <xdr:cNvPr id="2169" name="Group 2168">
            <a:extLst>
              <a:ext uri="{FF2B5EF4-FFF2-40B4-BE49-F238E27FC236}">
                <a16:creationId xmlns:a16="http://schemas.microsoft.com/office/drawing/2014/main" id="{00000000-0008-0000-0200-000079080000}"/>
              </a:ext>
            </a:extLst>
          </xdr:cNvPr>
          <xdr:cNvGrpSpPr/>
        </xdr:nvGrpSpPr>
        <xdr:grpSpPr>
          <a:xfrm>
            <a:off x="403863" y="172696768"/>
            <a:ext cx="2286000" cy="294642"/>
            <a:chOff x="6423132" y="11373244"/>
            <a:chExt cx="2733955" cy="503373"/>
          </a:xfrm>
          <a:effectLst>
            <a:outerShdw blurRad="63500" sx="102000" sy="102000" algn="ctr" rotWithShape="0">
              <a:prstClr val="black">
                <a:alpha val="40000"/>
              </a:prstClr>
            </a:outerShdw>
          </a:effectLst>
        </xdr:grpSpPr>
        <xdr:sp macro="" textlink="">
          <xdr:nvSpPr>
            <xdr:cNvPr id="2170" name="Right Brace 2169">
              <a:extLst>
                <a:ext uri="{FF2B5EF4-FFF2-40B4-BE49-F238E27FC236}">
                  <a16:creationId xmlns:a16="http://schemas.microsoft.com/office/drawing/2014/main" id="{00000000-0008-0000-0200-00007A080000}"/>
                </a:ext>
              </a:extLst>
            </xdr:cNvPr>
            <xdr:cNvSpPr/>
          </xdr:nvSpPr>
          <xdr:spPr>
            <a:xfrm rot="5100000">
              <a:off x="7697894" y="10763672"/>
              <a:ext cx="182880" cy="1828799"/>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171" name="Right Bracket 2170">
              <a:extLst>
                <a:ext uri="{FF2B5EF4-FFF2-40B4-BE49-F238E27FC236}">
                  <a16:creationId xmlns:a16="http://schemas.microsoft.com/office/drawing/2014/main" id="{00000000-0008-0000-0200-00007B080000}"/>
                </a:ext>
              </a:extLst>
            </xdr:cNvPr>
            <xdr:cNvSpPr/>
          </xdr:nvSpPr>
          <xdr:spPr>
            <a:xfrm rot="5400000">
              <a:off x="6839268" y="11187102"/>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72" name="Right Bracket 2171">
              <a:extLst>
                <a:ext uri="{FF2B5EF4-FFF2-40B4-BE49-F238E27FC236}">
                  <a16:creationId xmlns:a16="http://schemas.microsoft.com/office/drawing/2014/main" id="{00000000-0008-0000-0200-00007C080000}"/>
                </a:ext>
              </a:extLst>
            </xdr:cNvPr>
            <xdr:cNvSpPr/>
          </xdr:nvSpPr>
          <xdr:spPr>
            <a:xfrm rot="5400000">
              <a:off x="8658823" y="10957108"/>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81" name="Flowchart: Delay 2180">
              <a:extLst>
                <a:ext uri="{FF2B5EF4-FFF2-40B4-BE49-F238E27FC236}">
                  <a16:creationId xmlns:a16="http://schemas.microsoft.com/office/drawing/2014/main" id="{00000000-0008-0000-0200-00008508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sp macro="" textlink="">
        <xdr:nvSpPr>
          <xdr:cNvPr id="2193" name="TextBox 2192">
            <a:extLst>
              <a:ext uri="{FF2B5EF4-FFF2-40B4-BE49-F238E27FC236}">
                <a16:creationId xmlns:a16="http://schemas.microsoft.com/office/drawing/2014/main" id="{00000000-0008-0000-0200-000091080000}"/>
              </a:ext>
            </a:extLst>
          </xdr:cNvPr>
          <xdr:cNvSpPr txBox="1"/>
        </xdr:nvSpPr>
        <xdr:spPr>
          <a:xfrm rot="21300000">
            <a:off x="232446" y="172311085"/>
            <a:ext cx="1097280" cy="641154"/>
          </a:xfrm>
          <a:prstGeom prst="rect">
            <a:avLst/>
          </a:prstGeom>
          <a:solidFill>
            <a:srgbClr val="FF99FF">
              <a:alpha val="20000"/>
            </a:srgbClr>
          </a:solidFill>
          <a:ln w="9525" cmpd="sng">
            <a:solidFill>
              <a:srgbClr val="7030A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external factors</a:t>
            </a:r>
            <a:endParaRPr lang="en-US" sz="1400"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7</xdr:col>
      <xdr:colOff>240065</xdr:colOff>
      <xdr:row>787</xdr:row>
      <xdr:rowOff>68605</xdr:rowOff>
    </xdr:from>
    <xdr:to>
      <xdr:col>12</xdr:col>
      <xdr:colOff>400039</xdr:colOff>
      <xdr:row>792</xdr:row>
      <xdr:rowOff>17426</xdr:rowOff>
    </xdr:to>
    <xdr:grpSp>
      <xdr:nvGrpSpPr>
        <xdr:cNvPr id="26" name="Group 25">
          <a:extLst>
            <a:ext uri="{FF2B5EF4-FFF2-40B4-BE49-F238E27FC236}">
              <a16:creationId xmlns:a16="http://schemas.microsoft.com/office/drawing/2014/main" id="{00000000-0008-0000-0200-00001A000000}"/>
            </a:ext>
          </a:extLst>
        </xdr:cNvPr>
        <xdr:cNvGrpSpPr/>
      </xdr:nvGrpSpPr>
      <xdr:grpSpPr>
        <a:xfrm>
          <a:off x="3371885" y="154693645"/>
          <a:ext cx="2674574" cy="825121"/>
          <a:chOff x="3470945" y="172166305"/>
          <a:chExt cx="2636474" cy="825121"/>
        </a:xfrm>
      </xdr:grpSpPr>
      <xdr:grpSp>
        <xdr:nvGrpSpPr>
          <xdr:cNvPr id="2187" name="Group 2186">
            <a:extLst>
              <a:ext uri="{FF2B5EF4-FFF2-40B4-BE49-F238E27FC236}">
                <a16:creationId xmlns:a16="http://schemas.microsoft.com/office/drawing/2014/main" id="{00000000-0008-0000-0200-00008B080000}"/>
              </a:ext>
            </a:extLst>
          </xdr:cNvPr>
          <xdr:cNvGrpSpPr/>
        </xdr:nvGrpSpPr>
        <xdr:grpSpPr>
          <a:xfrm>
            <a:off x="3619504" y="172701867"/>
            <a:ext cx="2285999" cy="289559"/>
            <a:chOff x="6423133" y="11381929"/>
            <a:chExt cx="2733954" cy="494688"/>
          </a:xfrm>
          <a:effectLst>
            <a:outerShdw blurRad="63500" sx="102000" sy="102000" algn="ctr" rotWithShape="0">
              <a:prstClr val="black">
                <a:alpha val="40000"/>
              </a:prstClr>
            </a:outerShdw>
          </a:effectLst>
        </xdr:grpSpPr>
        <xdr:sp macro="" textlink="">
          <xdr:nvSpPr>
            <xdr:cNvPr id="2188" name="Right Brace 2187">
              <a:extLst>
                <a:ext uri="{FF2B5EF4-FFF2-40B4-BE49-F238E27FC236}">
                  <a16:creationId xmlns:a16="http://schemas.microsoft.com/office/drawing/2014/main" id="{00000000-0008-0000-0200-00008C080000}"/>
                </a:ext>
              </a:extLst>
            </xdr:cNvPr>
            <xdr:cNvSpPr/>
          </xdr:nvSpPr>
          <xdr:spPr>
            <a:xfrm rot="5700000">
              <a:off x="7697894" y="10763672"/>
              <a:ext cx="182880" cy="1828799"/>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190" name="Right Bracket 2189">
              <a:extLst>
                <a:ext uri="{FF2B5EF4-FFF2-40B4-BE49-F238E27FC236}">
                  <a16:creationId xmlns:a16="http://schemas.microsoft.com/office/drawing/2014/main" id="{00000000-0008-0000-0200-00008E080000}"/>
                </a:ext>
              </a:extLst>
            </xdr:cNvPr>
            <xdr:cNvSpPr/>
          </xdr:nvSpPr>
          <xdr:spPr>
            <a:xfrm rot="5400000">
              <a:off x="6839269" y="10965793"/>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91" name="Right Bracket 2190">
              <a:extLst>
                <a:ext uri="{FF2B5EF4-FFF2-40B4-BE49-F238E27FC236}">
                  <a16:creationId xmlns:a16="http://schemas.microsoft.com/office/drawing/2014/main" id="{00000000-0008-0000-0200-00008F080000}"/>
                </a:ext>
              </a:extLst>
            </xdr:cNvPr>
            <xdr:cNvSpPr/>
          </xdr:nvSpPr>
          <xdr:spPr>
            <a:xfrm rot="5400000">
              <a:off x="8658823" y="11178418"/>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92" name="Flowchart: Delay 2191">
              <a:extLst>
                <a:ext uri="{FF2B5EF4-FFF2-40B4-BE49-F238E27FC236}">
                  <a16:creationId xmlns:a16="http://schemas.microsoft.com/office/drawing/2014/main" id="{00000000-0008-0000-0200-00009008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sp macro="" textlink="">
        <xdr:nvSpPr>
          <xdr:cNvPr id="2195" name="TextBox 2194">
            <a:extLst>
              <a:ext uri="{FF2B5EF4-FFF2-40B4-BE49-F238E27FC236}">
                <a16:creationId xmlns:a16="http://schemas.microsoft.com/office/drawing/2014/main" id="{00000000-0008-0000-0200-000093080000}"/>
              </a:ext>
            </a:extLst>
          </xdr:cNvPr>
          <xdr:cNvSpPr txBox="1"/>
        </xdr:nvSpPr>
        <xdr:spPr>
          <a:xfrm rot="300000">
            <a:off x="5010139" y="172303468"/>
            <a:ext cx="1097280" cy="640080"/>
          </a:xfrm>
          <a:prstGeom prst="rect">
            <a:avLst/>
          </a:prstGeom>
          <a:solidFill>
            <a:srgbClr val="A0FFCD">
              <a:alpha val="20000"/>
            </a:srgbClr>
          </a:solidFill>
          <a:ln w="9525" cmpd="sng">
            <a:solidFill>
              <a:srgbClr val="00B05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internal factors</a:t>
            </a:r>
          </a:p>
        </xdr:txBody>
      </xdr:sp>
      <xdr:sp macro="" textlink="">
        <xdr:nvSpPr>
          <xdr:cNvPr id="2196" name="TextBox 2195">
            <a:extLst>
              <a:ext uri="{FF2B5EF4-FFF2-40B4-BE49-F238E27FC236}">
                <a16:creationId xmlns:a16="http://schemas.microsoft.com/office/drawing/2014/main" id="{00000000-0008-0000-0200-000094080000}"/>
              </a:ext>
            </a:extLst>
          </xdr:cNvPr>
          <xdr:cNvSpPr txBox="1"/>
        </xdr:nvSpPr>
        <xdr:spPr>
          <a:xfrm rot="300000">
            <a:off x="3470945" y="172166305"/>
            <a:ext cx="1097280" cy="641154"/>
          </a:xfrm>
          <a:prstGeom prst="rect">
            <a:avLst/>
          </a:prstGeom>
          <a:solidFill>
            <a:srgbClr val="FF99FF">
              <a:alpha val="20000"/>
            </a:srgbClr>
          </a:solidFill>
          <a:ln w="9525" cmpd="sng">
            <a:solidFill>
              <a:srgbClr val="7030A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external</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600" b="1"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factors</a:t>
            </a:r>
          </a:p>
        </xdr:txBody>
      </xdr:sp>
    </xdr:grpSp>
    <xdr:clientData/>
  </xdr:twoCellAnchor>
  <xdr:twoCellAnchor>
    <xdr:from>
      <xdr:col>5</xdr:col>
      <xdr:colOff>457558</xdr:colOff>
      <xdr:row>816</xdr:row>
      <xdr:rowOff>151851</xdr:rowOff>
    </xdr:from>
    <xdr:to>
      <xdr:col>6</xdr:col>
      <xdr:colOff>189515</xdr:colOff>
      <xdr:row>818</xdr:row>
      <xdr:rowOff>54693</xdr:rowOff>
    </xdr:to>
    <xdr:sp macro="" textlink="">
      <xdr:nvSpPr>
        <xdr:cNvPr id="2210" name="Freeform: Shape 2209">
          <a:extLst>
            <a:ext uri="{FF2B5EF4-FFF2-40B4-BE49-F238E27FC236}">
              <a16:creationId xmlns:a16="http://schemas.microsoft.com/office/drawing/2014/main" id="{00000000-0008-0000-0200-0000A2080000}"/>
            </a:ext>
          </a:extLst>
        </xdr:cNvPr>
        <xdr:cNvSpPr/>
      </xdr:nvSpPr>
      <xdr:spPr>
        <a:xfrm>
          <a:off x="2560678" y="120098271"/>
          <a:ext cx="227257" cy="25336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3C1E5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295852</xdr:colOff>
      <xdr:row>816</xdr:row>
      <xdr:rowOff>151851</xdr:rowOff>
    </xdr:from>
    <xdr:to>
      <xdr:col>8</xdr:col>
      <xdr:colOff>27809</xdr:colOff>
      <xdr:row>818</xdr:row>
      <xdr:rowOff>54693</xdr:rowOff>
    </xdr:to>
    <xdr:sp macro="" textlink="">
      <xdr:nvSpPr>
        <xdr:cNvPr id="2211" name="Freeform: Shape 2210">
          <a:extLst>
            <a:ext uri="{FF2B5EF4-FFF2-40B4-BE49-F238E27FC236}">
              <a16:creationId xmlns:a16="http://schemas.microsoft.com/office/drawing/2014/main" id="{00000000-0008-0000-0200-0000A3080000}"/>
            </a:ext>
          </a:extLst>
        </xdr:cNvPr>
        <xdr:cNvSpPr/>
      </xdr:nvSpPr>
      <xdr:spPr>
        <a:xfrm flipH="1">
          <a:off x="3389572" y="120098271"/>
          <a:ext cx="227257" cy="25336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chemeClr val="accent6">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96519</xdr:colOff>
      <xdr:row>812</xdr:row>
      <xdr:rowOff>78106</xdr:rowOff>
    </xdr:from>
    <xdr:to>
      <xdr:col>13</xdr:col>
      <xdr:colOff>25072</xdr:colOff>
      <xdr:row>819</xdr:row>
      <xdr:rowOff>61326</xdr:rowOff>
    </xdr:to>
    <xdr:grpSp>
      <xdr:nvGrpSpPr>
        <xdr:cNvPr id="2212" name="Group 2211">
          <a:extLst>
            <a:ext uri="{FF2B5EF4-FFF2-40B4-BE49-F238E27FC236}">
              <a16:creationId xmlns:a16="http://schemas.microsoft.com/office/drawing/2014/main" id="{00000000-0008-0000-0200-0000A4080000}"/>
            </a:ext>
          </a:extLst>
        </xdr:cNvPr>
        <xdr:cNvGrpSpPr/>
      </xdr:nvGrpSpPr>
      <xdr:grpSpPr>
        <a:xfrm>
          <a:off x="96519" y="159084646"/>
          <a:ext cx="6077893" cy="1210040"/>
          <a:chOff x="104139" y="3125966"/>
          <a:chExt cx="5994073" cy="879205"/>
        </a:xfrm>
      </xdr:grpSpPr>
      <xdr:sp macro="" textlink="">
        <xdr:nvSpPr>
          <xdr:cNvPr id="2213" name="Rectangle 2212">
            <a:extLst>
              <a:ext uri="{FF2B5EF4-FFF2-40B4-BE49-F238E27FC236}">
                <a16:creationId xmlns:a16="http://schemas.microsoft.com/office/drawing/2014/main" id="{00000000-0008-0000-0200-0000A5080000}"/>
              </a:ext>
            </a:extLst>
          </xdr:cNvPr>
          <xdr:cNvSpPr/>
        </xdr:nvSpPr>
        <xdr:spPr>
          <a:xfrm>
            <a:off x="2653455" y="3125966"/>
            <a:ext cx="931916" cy="879205"/>
          </a:xfrm>
          <a:prstGeom prst="rect">
            <a:avLst/>
          </a:prstGeom>
          <a:noFill/>
        </xdr:spPr>
        <xdr:txBody>
          <a:bodyPr wrap="none" lIns="91440" tIns="45720" rIns="91440" bIns="45720">
            <a:noAutofit/>
          </a:bodyPr>
          <a:lstStyle/>
          <a:p>
            <a:pPr algn="ctr">
              <a:lnSpc>
                <a:spcPts val="9600"/>
              </a:lnSpc>
            </a:pPr>
            <a:r>
              <a:rPr lang="en-US" sz="9600" b="1" cap="none" spc="0">
                <a:ln w="38100">
                  <a:solidFill>
                    <a:srgbClr val="730000"/>
                  </a:solidFill>
                  <a:prstDash val="solid"/>
                </a:ln>
                <a:noFill/>
                <a:effectLst>
                  <a:outerShdw blurRad="38100" dist="22860" dir="5400000" algn="tl" rotWithShape="0">
                    <a:srgbClr val="000000">
                      <a:alpha val="30000"/>
                    </a:srgbClr>
                  </a:outerShdw>
                </a:effectLst>
                <a:latin typeface="Arial Black" panose="020B0A04020102020204" pitchFamily="34" charset="0"/>
              </a:rPr>
              <a:t>?</a:t>
            </a:r>
          </a:p>
        </xdr:txBody>
      </xdr:sp>
      <xdr:sp macro="" textlink="">
        <xdr:nvSpPr>
          <xdr:cNvPr id="2214" name="Speech Bubble: Rectangle with Corners Rounded 2213">
            <a:extLst>
              <a:ext uri="{FF2B5EF4-FFF2-40B4-BE49-F238E27FC236}">
                <a16:creationId xmlns:a16="http://schemas.microsoft.com/office/drawing/2014/main" id="{00000000-0008-0000-0200-0000A6080000}"/>
              </a:ext>
            </a:extLst>
          </xdr:cNvPr>
          <xdr:cNvSpPr/>
        </xdr:nvSpPr>
        <xdr:spPr>
          <a:xfrm flipH="1">
            <a:off x="3556180" y="3315537"/>
            <a:ext cx="2542032" cy="658927"/>
          </a:xfrm>
          <a:prstGeom prst="wedgeRoundRectCallout">
            <a:avLst>
              <a:gd name="adj1" fmla="val 57738"/>
              <a:gd name="adj2" fmla="val 2500"/>
              <a:gd name="adj3" fmla="val 16667"/>
            </a:avLst>
          </a:prstGeom>
          <a:noFill/>
          <a:ln w="57150">
            <a:solidFill>
              <a:srgbClr val="96FFC8">
                <a:alpha val="80000"/>
              </a:srgb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15" name="Speech Bubble: Rectangle with Corners Rounded 2214">
            <a:extLst>
              <a:ext uri="{FF2B5EF4-FFF2-40B4-BE49-F238E27FC236}">
                <a16:creationId xmlns:a16="http://schemas.microsoft.com/office/drawing/2014/main" id="{00000000-0008-0000-0200-0000A7080000}"/>
              </a:ext>
            </a:extLst>
          </xdr:cNvPr>
          <xdr:cNvSpPr/>
        </xdr:nvSpPr>
        <xdr:spPr>
          <a:xfrm>
            <a:off x="104139" y="3315537"/>
            <a:ext cx="2542032" cy="658927"/>
          </a:xfrm>
          <a:prstGeom prst="wedgeRoundRectCallout">
            <a:avLst>
              <a:gd name="adj1" fmla="val 57738"/>
              <a:gd name="adj2" fmla="val 2500"/>
              <a:gd name="adj3" fmla="val 16667"/>
            </a:avLst>
          </a:prstGeom>
          <a:noFill/>
          <a:ln w="57150">
            <a:solidFill>
              <a:srgbClr val="D7B9FF">
                <a:alpha val="85098"/>
              </a:srgbClr>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7</xdr:col>
      <xdr:colOff>5715</xdr:colOff>
      <xdr:row>813</xdr:row>
      <xdr:rowOff>59055</xdr:rowOff>
    </xdr:from>
    <xdr:to>
      <xdr:col>13</xdr:col>
      <xdr:colOff>51435</xdr:colOff>
      <xdr:row>823</xdr:row>
      <xdr:rowOff>135255</xdr:rowOff>
    </xdr:to>
    <xdr:sp macro="" textlink="">
      <xdr:nvSpPr>
        <xdr:cNvPr id="2218" name="TextBox 2217">
          <a:extLst>
            <a:ext uri="{FF2B5EF4-FFF2-40B4-BE49-F238E27FC236}">
              <a16:creationId xmlns:a16="http://schemas.microsoft.com/office/drawing/2014/main" id="{00000000-0008-0000-0200-0000AA080000}"/>
            </a:ext>
          </a:extLst>
        </xdr:cNvPr>
        <xdr:cNvSpPr txBox="1"/>
      </xdr:nvSpPr>
      <xdr:spPr>
        <a:xfrm>
          <a:off x="3034665" y="155888055"/>
          <a:ext cx="2960370" cy="1762125"/>
        </a:xfrm>
        <a:prstGeom prst="rect">
          <a:avLst/>
        </a:prstGeom>
        <a:solidFill>
          <a:srgbClr val="E178FF">
            <a:alpha val="5098"/>
          </a:srgbClr>
        </a:solidFill>
        <a:ln w="9525" cmpd="sng">
          <a:noFill/>
        </a:ln>
        <a:effectLst>
          <a:outerShdw blurRad="63500" sx="102000" sy="102000" algn="c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182880" rtlCol="0" anchor="b"/>
        <a:lstStyle/>
        <a:p>
          <a:pPr algn="r">
            <a:spcBef>
              <a:spcPts val="0"/>
            </a:spcBef>
            <a:spcAft>
              <a:spcPts val="600"/>
            </a:spcAft>
          </a:pPr>
          <a:r>
            <a:rPr lang="en-US" sz="2000" b="1" baseline="0">
              <a:solidFill>
                <a:srgbClr val="00B050"/>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An uncommon mature response?</a:t>
          </a:r>
        </a:p>
      </xdr:txBody>
    </xdr:sp>
    <xdr:clientData/>
  </xdr:twoCellAnchor>
  <xdr:twoCellAnchor>
    <xdr:from>
      <xdr:col>1</xdr:col>
      <xdr:colOff>15240</xdr:colOff>
      <xdr:row>694</xdr:row>
      <xdr:rowOff>99060</xdr:rowOff>
    </xdr:from>
    <xdr:to>
      <xdr:col>13</xdr:col>
      <xdr:colOff>0</xdr:colOff>
      <xdr:row>698</xdr:row>
      <xdr:rowOff>144780</xdr:rowOff>
    </xdr:to>
    <xdr:sp macro="" textlink="">
      <xdr:nvSpPr>
        <xdr:cNvPr id="2222" name="TextBox 2221">
          <a:extLst>
            <a:ext uri="{FF2B5EF4-FFF2-40B4-BE49-F238E27FC236}">
              <a16:creationId xmlns:a16="http://schemas.microsoft.com/office/drawing/2014/main" id="{00000000-0008-0000-0200-0000AE080000}"/>
            </a:ext>
          </a:extLst>
        </xdr:cNvPr>
        <xdr:cNvSpPr txBox="1"/>
      </xdr:nvSpPr>
      <xdr:spPr>
        <a:xfrm>
          <a:off x="137160" y="127490220"/>
          <a:ext cx="5928360" cy="7467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150" b="0">
              <a:latin typeface="Tahoma" panose="020B0604030504040204" pitchFamily="34" charset="0"/>
              <a:ea typeface="Tahoma" panose="020B0604030504040204" pitchFamily="34" charset="0"/>
              <a:cs typeface="Tahoma" panose="020B0604030504040204" pitchFamily="34" charset="0"/>
            </a:rPr>
            <a:t>Political elites</a:t>
          </a:r>
          <a:r>
            <a:rPr lang="en-US" sz="1150" b="0" baseline="0">
              <a:latin typeface="Tahoma" panose="020B0604030504040204" pitchFamily="34" charset="0"/>
              <a:ea typeface="Tahoma" panose="020B0604030504040204" pitchFamily="34" charset="0"/>
              <a:cs typeface="Tahoma" panose="020B0604030504040204" pitchFamily="34" charset="0"/>
            </a:rPr>
            <a:t> rise to their positions of influence largely from accessing resources to resolve </a:t>
          </a:r>
          <a:r>
            <a:rPr lang="en-US" sz="1150" b="0" spc="-10" baseline="0">
              <a:latin typeface="Tahoma" panose="020B0604030504040204" pitchFamily="34" charset="0"/>
              <a:ea typeface="Tahoma" panose="020B0604030504040204" pitchFamily="34" charset="0"/>
              <a:cs typeface="Tahoma" panose="020B0604030504040204" pitchFamily="34" charset="0"/>
            </a:rPr>
            <a:t>needs at a level foreign to you. </a:t>
          </a:r>
          <a:r>
            <a:rPr lang="en-US" sz="1150" b="0" spc="-10">
              <a:latin typeface="Tahoma" panose="020B0604030504040204" pitchFamily="34" charset="0"/>
              <a:ea typeface="Tahoma" panose="020B0604030504040204" pitchFamily="34" charset="0"/>
              <a:cs typeface="Tahoma" panose="020B0604030504040204" pitchFamily="34" charset="0"/>
            </a:rPr>
            <a:t>Through</a:t>
          </a:r>
          <a:r>
            <a:rPr lang="en-US" sz="1150" b="0" spc="-10" baseline="0">
              <a:latin typeface="Tahoma" panose="020B0604030504040204" pitchFamily="34" charset="0"/>
              <a:ea typeface="Tahoma" panose="020B0604030504040204" pitchFamily="34" charset="0"/>
              <a:cs typeface="Tahoma" panose="020B0604030504040204" pitchFamily="34" charset="0"/>
            </a:rPr>
            <a:t> the lens of their more resolved psychosocial needs</a:t>
          </a:r>
          <a:r>
            <a:rPr lang="en-US" sz="1150" b="0" baseline="0">
              <a:latin typeface="Tahoma" panose="020B0604030504040204" pitchFamily="34" charset="0"/>
              <a:ea typeface="Tahoma" panose="020B0604030504040204" pitchFamily="34" charset="0"/>
              <a:cs typeface="Tahoma" panose="020B0604030504040204" pitchFamily="34" charset="0"/>
            </a:rPr>
            <a:t>, political centricism expressed in neoliberalism makes clear sense. How we put up with it remains a little cloudy. At least until now.</a:t>
          </a:r>
        </a:p>
      </xdr:txBody>
    </xdr:sp>
    <xdr:clientData/>
  </xdr:twoCellAnchor>
  <xdr:twoCellAnchor>
    <xdr:from>
      <xdr:col>1</xdr:col>
      <xdr:colOff>230520</xdr:colOff>
      <xdr:row>877</xdr:row>
      <xdr:rowOff>114300</xdr:rowOff>
    </xdr:from>
    <xdr:to>
      <xdr:col>12</xdr:col>
      <xdr:colOff>268620</xdr:colOff>
      <xdr:row>885</xdr:row>
      <xdr:rowOff>83820</xdr:rowOff>
    </xdr:to>
    <xdr:sp macro="" textlink="">
      <xdr:nvSpPr>
        <xdr:cNvPr id="2422" name="TextBox 2421">
          <a:extLst>
            <a:ext uri="{FF2B5EF4-FFF2-40B4-BE49-F238E27FC236}">
              <a16:creationId xmlns:a16="http://schemas.microsoft.com/office/drawing/2014/main" id="{00000000-0008-0000-0200-000076090000}"/>
            </a:ext>
          </a:extLst>
        </xdr:cNvPr>
        <xdr:cNvSpPr txBox="1"/>
      </xdr:nvSpPr>
      <xdr:spPr>
        <a:xfrm>
          <a:off x="352440" y="170741340"/>
          <a:ext cx="5486400" cy="1371600"/>
        </a:xfrm>
        <a:prstGeom prst="rect">
          <a:avLst/>
        </a:prstGeom>
        <a:noFill/>
        <a:ln w="9525" cmpd="sng">
          <a:solidFill>
            <a:srgbClr val="FF99FF">
              <a:alpha val="25000"/>
            </a:srgbClr>
          </a:solidFill>
        </a:ln>
        <a:effectLst>
          <a:outerShdw blurRad="63500" sx="102000" sy="102000" algn="ctr" rotWithShape="0">
            <a:srgbClr val="FF99FF">
              <a:alpha val="75000"/>
            </a:srgb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400" baseline="0">
              <a:solidFill>
                <a:srgbClr val="FF99FF"/>
              </a:solidFill>
              <a:latin typeface="Arial" panose="020B0604020202020204" pitchFamily="34" charset="0"/>
              <a:cs typeface="Arial" panose="020B0604020202020204" pitchFamily="34" charset="0"/>
            </a:rPr>
            <a:t>When stuck in </a:t>
          </a:r>
          <a:r>
            <a:rPr lang="en-US" sz="1400" baseline="0">
              <a:solidFill>
                <a:srgbClr val="FFFF00"/>
              </a:solidFill>
              <a:latin typeface="Arial" panose="020B0604020202020204" pitchFamily="34" charset="0"/>
              <a:cs typeface="Arial" panose="020B0604020202020204" pitchFamily="34" charset="0"/>
            </a:rPr>
            <a:t>pain</a:t>
          </a:r>
          <a:r>
            <a:rPr lang="en-US" sz="1400" baseline="0">
              <a:solidFill>
                <a:srgbClr val="FF99FF"/>
              </a:solidFill>
              <a:latin typeface="Arial" panose="020B0604020202020204" pitchFamily="34" charset="0"/>
              <a:cs typeface="Arial" panose="020B0604020202020204" pitchFamily="34" charset="0"/>
            </a:rPr>
            <a:t>,</a:t>
          </a:r>
        </a:p>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fast relief</a:t>
          </a:r>
        </a:p>
        <a:p>
          <a:pPr algn="ctr"/>
          <a:r>
            <a:rPr lang="en-US" sz="1400" b="0" baseline="0">
              <a:solidFill>
                <a:srgbClr val="FF99FF"/>
              </a:solidFill>
              <a:latin typeface="Arial Narrow" panose="020B0606020202030204" pitchFamily="34" charset="0"/>
            </a:rPr>
            <a:t>seems far more important than</a:t>
          </a:r>
          <a:r>
            <a:rPr lang="en-US" sz="1400" b="1" baseline="0">
              <a:solidFill>
                <a:srgbClr val="FF99FF"/>
              </a:solidFill>
            </a:rPr>
            <a:t> </a:t>
          </a:r>
        </a:p>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slow reason</a:t>
          </a: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 </a:t>
          </a:r>
        </a:p>
      </xdr:txBody>
    </xdr:sp>
    <xdr:clientData/>
  </xdr:twoCellAnchor>
  <xdr:twoCellAnchor>
    <xdr:from>
      <xdr:col>1</xdr:col>
      <xdr:colOff>230520</xdr:colOff>
      <xdr:row>885</xdr:row>
      <xdr:rowOff>9310</xdr:rowOff>
    </xdr:from>
    <xdr:to>
      <xdr:col>12</xdr:col>
      <xdr:colOff>268620</xdr:colOff>
      <xdr:row>897</xdr:row>
      <xdr:rowOff>100750</xdr:rowOff>
    </xdr:to>
    <xdr:sp macro="" textlink="">
      <xdr:nvSpPr>
        <xdr:cNvPr id="2423" name="TextBox 2422">
          <a:extLst>
            <a:ext uri="{FF2B5EF4-FFF2-40B4-BE49-F238E27FC236}">
              <a16:creationId xmlns:a16="http://schemas.microsoft.com/office/drawing/2014/main" id="{00000000-0008-0000-0200-000077090000}"/>
            </a:ext>
          </a:extLst>
        </xdr:cNvPr>
        <xdr:cNvSpPr txBox="1"/>
      </xdr:nvSpPr>
      <xdr:spPr>
        <a:xfrm>
          <a:off x="352440" y="172038430"/>
          <a:ext cx="5486400" cy="21945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But politial elites</a:t>
          </a:r>
        </a:p>
        <a:p>
          <a:pPr algn="ctr"/>
          <a:r>
            <a:rPr lang="en-US" sz="1400" b="0" baseline="0">
              <a:solidFill>
                <a:srgbClr val="FF99FF"/>
              </a:solidFill>
              <a:latin typeface="Arial Narrow" panose="020B0606020202030204" pitchFamily="34" charset="0"/>
            </a:rPr>
            <a:t>expect and depend on you to favor</a:t>
          </a:r>
        </a:p>
        <a:p>
          <a:pPr algn="ctr"/>
          <a:r>
            <a:rPr lang="en-US" sz="1600" b="1" baseline="0">
              <a:solidFill>
                <a:srgbClr val="FF99FF"/>
              </a:solidFill>
              <a:latin typeface="Tahoma" panose="020B0604030504040204" pitchFamily="34" charset="0"/>
              <a:ea typeface="Tahoma" panose="020B0604030504040204" pitchFamily="34" charset="0"/>
              <a:cs typeface="Tahoma" panose="020B0604030504040204" pitchFamily="34" charset="0"/>
            </a:rPr>
            <a:t>fast generalizing relief </a:t>
          </a:r>
        </a:p>
        <a:p>
          <a:pPr algn="ctr"/>
          <a:r>
            <a:rPr lang="en-US" sz="1800" b="0" i="1" baseline="0">
              <a:solidFill>
                <a:srgbClr val="FF99FF"/>
              </a:solidFill>
              <a:latin typeface="Arial Narrow" panose="020B0606020202030204" pitchFamily="34" charset="0"/>
            </a:rPr>
            <a:t>over</a:t>
          </a:r>
          <a:r>
            <a:rPr lang="en-US" sz="1400" b="1" baseline="0">
              <a:solidFill>
                <a:srgbClr val="FF99FF"/>
              </a:solidFill>
            </a:rPr>
            <a:t> </a:t>
          </a:r>
        </a:p>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slow reason</a:t>
          </a: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 </a:t>
          </a:r>
        </a:p>
        <a:p>
          <a:pPr algn="ct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to keep them in power</a:t>
          </a:r>
        </a:p>
        <a:p>
          <a:pPr algn="ct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over your expected inability to respond to specific needs.</a:t>
          </a:r>
        </a:p>
      </xdr:txBody>
    </xdr:sp>
    <xdr:clientData/>
  </xdr:twoCellAnchor>
  <xdr:twoCellAnchor>
    <xdr:from>
      <xdr:col>0</xdr:col>
      <xdr:colOff>114300</xdr:colOff>
      <xdr:row>586</xdr:row>
      <xdr:rowOff>36518</xdr:rowOff>
    </xdr:from>
    <xdr:to>
      <xdr:col>12</xdr:col>
      <xdr:colOff>487680</xdr:colOff>
      <xdr:row>597</xdr:row>
      <xdr:rowOff>130525</xdr:rowOff>
    </xdr:to>
    <xdr:grpSp>
      <xdr:nvGrpSpPr>
        <xdr:cNvPr id="34" name="Group 33">
          <a:extLst>
            <a:ext uri="{FF2B5EF4-FFF2-40B4-BE49-F238E27FC236}">
              <a16:creationId xmlns:a16="http://schemas.microsoft.com/office/drawing/2014/main" id="{00000000-0008-0000-0200-000022000000}"/>
            </a:ext>
          </a:extLst>
        </xdr:cNvPr>
        <xdr:cNvGrpSpPr/>
      </xdr:nvGrpSpPr>
      <xdr:grpSpPr>
        <a:xfrm>
          <a:off x="114300" y="116256758"/>
          <a:ext cx="6019800" cy="2021867"/>
          <a:chOff x="22860" y="115845278"/>
          <a:chExt cx="6134100" cy="2021867"/>
        </a:xfrm>
      </xdr:grpSpPr>
      <xdr:sp macro="" textlink="">
        <xdr:nvSpPr>
          <xdr:cNvPr id="2425" name="Block Arc 2424">
            <a:extLst>
              <a:ext uri="{FF2B5EF4-FFF2-40B4-BE49-F238E27FC236}">
                <a16:creationId xmlns:a16="http://schemas.microsoft.com/office/drawing/2014/main" id="{00000000-0008-0000-0200-000079090000}"/>
              </a:ext>
            </a:extLst>
          </xdr:cNvPr>
          <xdr:cNvSpPr/>
        </xdr:nvSpPr>
        <xdr:spPr>
          <a:xfrm>
            <a:off x="3581400" y="116799360"/>
            <a:ext cx="2575560" cy="350520"/>
          </a:xfrm>
          <a:prstGeom prst="blockArc">
            <a:avLst/>
          </a:prstGeom>
          <a:pattFill prst="shingle">
            <a:fgClr>
              <a:srgbClr val="FF7171"/>
            </a:fgClr>
            <a:bgClr>
              <a:schemeClr val="bg1"/>
            </a:bgClr>
          </a:pattFill>
          <a:ln w="3175">
            <a:solidFill>
              <a:srgbClr val="FF7171"/>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32" name="Block Arc 31">
            <a:extLst>
              <a:ext uri="{FF2B5EF4-FFF2-40B4-BE49-F238E27FC236}">
                <a16:creationId xmlns:a16="http://schemas.microsoft.com/office/drawing/2014/main" id="{00000000-0008-0000-0200-000020000000}"/>
              </a:ext>
            </a:extLst>
          </xdr:cNvPr>
          <xdr:cNvSpPr/>
        </xdr:nvSpPr>
        <xdr:spPr>
          <a:xfrm>
            <a:off x="22860" y="116799360"/>
            <a:ext cx="2575560" cy="350520"/>
          </a:xfrm>
          <a:prstGeom prst="blockArc">
            <a:avLst/>
          </a:prstGeom>
          <a:pattFill prst="shingle">
            <a:fgClr>
              <a:srgbClr val="00B0F0"/>
            </a:fgClr>
            <a:bgClr>
              <a:schemeClr val="bg1"/>
            </a:bgClr>
          </a:pattFill>
          <a:ln w="3175">
            <a:solidFill>
              <a:srgbClr val="00B0F0"/>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grpSp>
        <xdr:nvGrpSpPr>
          <xdr:cNvPr id="167" name="Group 166">
            <a:extLst>
              <a:ext uri="{FF2B5EF4-FFF2-40B4-BE49-F238E27FC236}">
                <a16:creationId xmlns:a16="http://schemas.microsoft.com/office/drawing/2014/main" id="{00000000-0008-0000-0200-0000A7000000}"/>
              </a:ext>
            </a:extLst>
          </xdr:cNvPr>
          <xdr:cNvGrpSpPr/>
        </xdr:nvGrpSpPr>
        <xdr:grpSpPr>
          <a:xfrm>
            <a:off x="37336" y="115845278"/>
            <a:ext cx="6092519" cy="2021867"/>
            <a:chOff x="295784" y="107859518"/>
            <a:chExt cx="5607875" cy="2021867"/>
          </a:xfrm>
        </xdr:grpSpPr>
        <xdr:grpSp>
          <xdr:nvGrpSpPr>
            <xdr:cNvPr id="1274" name="Group 1273">
              <a:extLst>
                <a:ext uri="{FF2B5EF4-FFF2-40B4-BE49-F238E27FC236}">
                  <a16:creationId xmlns:a16="http://schemas.microsoft.com/office/drawing/2014/main" id="{00000000-0008-0000-0200-0000FA040000}"/>
                </a:ext>
              </a:extLst>
            </xdr:cNvPr>
            <xdr:cNvGrpSpPr>
              <a:grpSpLocks noChangeAspect="1"/>
            </xdr:cNvGrpSpPr>
          </xdr:nvGrpSpPr>
          <xdr:grpSpPr>
            <a:xfrm>
              <a:off x="3672553" y="107859518"/>
              <a:ext cx="790042" cy="1982459"/>
              <a:chOff x="14944724" y="104774999"/>
              <a:chExt cx="1371601" cy="3409948"/>
            </a:xfrm>
          </xdr:grpSpPr>
          <xdr:grpSp>
            <xdr:nvGrpSpPr>
              <xdr:cNvPr id="1275" name="Group 1274">
                <a:extLst>
                  <a:ext uri="{FF2B5EF4-FFF2-40B4-BE49-F238E27FC236}">
                    <a16:creationId xmlns:a16="http://schemas.microsoft.com/office/drawing/2014/main" id="{00000000-0008-0000-0200-0000FB040000}"/>
                  </a:ext>
                </a:extLst>
              </xdr:cNvPr>
              <xdr:cNvGrpSpPr/>
            </xdr:nvGrpSpPr>
            <xdr:grpSpPr>
              <a:xfrm>
                <a:off x="14944724" y="105441747"/>
                <a:ext cx="1053296" cy="2743200"/>
                <a:chOff x="14944724" y="105441747"/>
                <a:chExt cx="1053296" cy="2743200"/>
              </a:xfrm>
            </xdr:grpSpPr>
            <xdr:grpSp>
              <xdr:nvGrpSpPr>
                <xdr:cNvPr id="1277" name="Group 1276">
                  <a:extLst>
                    <a:ext uri="{FF2B5EF4-FFF2-40B4-BE49-F238E27FC236}">
                      <a16:creationId xmlns:a16="http://schemas.microsoft.com/office/drawing/2014/main" id="{00000000-0008-0000-0200-0000FD04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282" name="Rectangle: Rounded Corners 1281">
                    <a:extLst>
                      <a:ext uri="{FF2B5EF4-FFF2-40B4-BE49-F238E27FC236}">
                        <a16:creationId xmlns:a16="http://schemas.microsoft.com/office/drawing/2014/main" id="{00000000-0008-0000-0200-000002050000}"/>
                      </a:ext>
                    </a:extLst>
                  </xdr:cNvPr>
                  <xdr:cNvSpPr/>
                </xdr:nvSpPr>
                <xdr:spPr>
                  <a:xfrm>
                    <a:off x="4819649"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3" name="Rectangle: Rounded Corners 1282">
                    <a:extLst>
                      <a:ext uri="{FF2B5EF4-FFF2-40B4-BE49-F238E27FC236}">
                        <a16:creationId xmlns:a16="http://schemas.microsoft.com/office/drawing/2014/main" id="{00000000-0008-0000-0200-000003050000}"/>
                      </a:ext>
                    </a:extLst>
                  </xdr:cNvPr>
                  <xdr:cNvSpPr/>
                </xdr:nvSpPr>
                <xdr:spPr>
                  <a:xfrm>
                    <a:off x="6962774"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4" name="Rectangle: Rounded Corners 1283">
                    <a:extLst>
                      <a:ext uri="{FF2B5EF4-FFF2-40B4-BE49-F238E27FC236}">
                        <a16:creationId xmlns:a16="http://schemas.microsoft.com/office/drawing/2014/main" id="{00000000-0008-0000-0200-000004050000}"/>
                      </a:ext>
                    </a:extLst>
                  </xdr:cNvPr>
                  <xdr:cNvSpPr/>
                </xdr:nvSpPr>
                <xdr:spPr>
                  <a:xfrm rot="16200000">
                    <a:off x="5553075" y="105336972"/>
                    <a:ext cx="1133477" cy="2581278"/>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5" name="Rectangle: Rounded Corners 1284">
                    <a:extLst>
                      <a:ext uri="{FF2B5EF4-FFF2-40B4-BE49-F238E27FC236}">
                        <a16:creationId xmlns:a16="http://schemas.microsoft.com/office/drawing/2014/main" id="{00000000-0008-0000-0200-000005050000}"/>
                      </a:ext>
                    </a:extLst>
                  </xdr:cNvPr>
                  <xdr:cNvSpPr/>
                </xdr:nvSpPr>
                <xdr:spPr>
                  <a:xfrm rot="16200000">
                    <a:off x="5557838" y="104751184"/>
                    <a:ext cx="1133477" cy="1143003"/>
                  </a:xfrm>
                  <a:prstGeom prst="roundRect">
                    <a:avLst>
                      <a:gd name="adj" fmla="val 47917"/>
                    </a:avLst>
                  </a:prstGeom>
                  <a:solidFill>
                    <a:srgbClr val="FF99CC"/>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6" name="Rectangle: Rounded Corners 1285">
                    <a:extLst>
                      <a:ext uri="{FF2B5EF4-FFF2-40B4-BE49-F238E27FC236}">
                        <a16:creationId xmlns:a16="http://schemas.microsoft.com/office/drawing/2014/main" id="{00000000-0008-0000-0200-000006050000}"/>
                      </a:ext>
                    </a:extLst>
                  </xdr:cNvPr>
                  <xdr:cNvSpPr/>
                </xdr:nvSpPr>
                <xdr:spPr>
                  <a:xfrm rot="16200000">
                    <a:off x="5210177" y="107203872"/>
                    <a:ext cx="1828799" cy="1143003"/>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7" name="Rectangle: Rounded Corners 1286">
                    <a:extLst>
                      <a:ext uri="{FF2B5EF4-FFF2-40B4-BE49-F238E27FC236}">
                        <a16:creationId xmlns:a16="http://schemas.microsoft.com/office/drawing/2014/main" id="{00000000-0008-0000-0200-000007050000}"/>
                      </a:ext>
                    </a:extLst>
                  </xdr:cNvPr>
                  <xdr:cNvSpPr/>
                </xdr:nvSpPr>
                <xdr:spPr>
                  <a:xfrm>
                    <a:off x="541972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8" name="Rectangle: Rounded Corners 1287">
                    <a:extLst>
                      <a:ext uri="{FF2B5EF4-FFF2-40B4-BE49-F238E27FC236}">
                        <a16:creationId xmlns:a16="http://schemas.microsoft.com/office/drawing/2014/main" id="{00000000-0008-0000-0200-000008050000}"/>
                      </a:ext>
                    </a:extLst>
                  </xdr:cNvPr>
                  <xdr:cNvSpPr/>
                </xdr:nvSpPr>
                <xdr:spPr>
                  <a:xfrm>
                    <a:off x="620077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278" name="Group 1277">
                  <a:extLst>
                    <a:ext uri="{FF2B5EF4-FFF2-40B4-BE49-F238E27FC236}">
                      <a16:creationId xmlns:a16="http://schemas.microsoft.com/office/drawing/2014/main" id="{00000000-0008-0000-0200-0000FE040000}"/>
                    </a:ext>
                  </a:extLst>
                </xdr:cNvPr>
                <xdr:cNvGrpSpPr/>
              </xdr:nvGrpSpPr>
              <xdr:grpSpPr>
                <a:xfrm>
                  <a:off x="15001875" y="106064797"/>
                  <a:ext cx="953589" cy="1109382"/>
                  <a:chOff x="-11112" y="0"/>
                  <a:chExt cx="1112519" cy="1371600"/>
                </a:xfrm>
              </xdr:grpSpPr>
              <xdr:sp macro="" textlink="">
                <xdr:nvSpPr>
                  <xdr:cNvPr id="1279" name="Rectangle 1278">
                    <a:extLst>
                      <a:ext uri="{FF2B5EF4-FFF2-40B4-BE49-F238E27FC236}">
                        <a16:creationId xmlns:a16="http://schemas.microsoft.com/office/drawing/2014/main" id="{00000000-0008-0000-0200-0000FF040000}"/>
                      </a:ext>
                    </a:extLst>
                  </xdr:cNvPr>
                  <xdr:cNvSpPr/>
                </xdr:nvSpPr>
                <xdr:spPr>
                  <a:xfrm>
                    <a:off x="-11112" y="0"/>
                    <a:ext cx="457200" cy="1371600"/>
                  </a:xfrm>
                  <a:prstGeom prst="rect">
                    <a:avLst/>
                  </a:prstGeom>
                  <a:gradFill>
                    <a:gsLst>
                      <a:gs pos="0">
                        <a:schemeClr val="bg1">
                          <a:lumMod val="95000"/>
                        </a:schemeClr>
                      </a:gs>
                      <a:gs pos="44000">
                        <a:schemeClr val="bg1">
                          <a:lumMod val="95000"/>
                        </a:schemeClr>
                      </a:gs>
                      <a:gs pos="45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280" name="Rectangle 1279">
                    <a:extLst>
                      <a:ext uri="{FF2B5EF4-FFF2-40B4-BE49-F238E27FC236}">
                        <a16:creationId xmlns:a16="http://schemas.microsoft.com/office/drawing/2014/main" id="{00000000-0008-0000-0200-000000050000}"/>
                      </a:ext>
                    </a:extLst>
                  </xdr:cNvPr>
                  <xdr:cNvSpPr/>
                </xdr:nvSpPr>
                <xdr:spPr>
                  <a:xfrm>
                    <a:off x="644207" y="0"/>
                    <a:ext cx="457200" cy="1371600"/>
                  </a:xfrm>
                  <a:prstGeom prst="rect">
                    <a:avLst/>
                  </a:prstGeom>
                  <a:gradFill>
                    <a:gsLst>
                      <a:gs pos="0">
                        <a:schemeClr val="bg1">
                          <a:lumMod val="95000"/>
                        </a:schemeClr>
                      </a:gs>
                      <a:gs pos="35000">
                        <a:schemeClr val="bg1">
                          <a:lumMod val="95000"/>
                        </a:schemeClr>
                      </a:gs>
                      <a:gs pos="36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281" name="Straight Connector 1280">
                    <a:extLst>
                      <a:ext uri="{FF2B5EF4-FFF2-40B4-BE49-F238E27FC236}">
                        <a16:creationId xmlns:a16="http://schemas.microsoft.com/office/drawing/2014/main" id="{00000000-0008-0000-0200-000001050000}"/>
                      </a:ext>
                    </a:extLst>
                  </xdr:cNvPr>
                  <xdr:cNvCxnSpPr/>
                </xdr:nvCxnSpPr>
                <xdr:spPr>
                  <a:xfrm rot="600000" flipV="1">
                    <a:off x="446043" y="515148"/>
                    <a:ext cx="203729" cy="129739"/>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76" name="Thought Bubble: Cloud 1275">
                <a:extLst>
                  <a:ext uri="{FF2B5EF4-FFF2-40B4-BE49-F238E27FC236}">
                    <a16:creationId xmlns:a16="http://schemas.microsoft.com/office/drawing/2014/main" id="{00000000-0008-0000-0200-0000FC040000}"/>
                  </a:ext>
                </a:extLst>
              </xdr:cNvPr>
              <xdr:cNvSpPr/>
            </xdr:nvSpPr>
            <xdr:spPr>
              <a:xfrm>
                <a:off x="15144750"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289" name="Group 1288">
              <a:extLst>
                <a:ext uri="{FF2B5EF4-FFF2-40B4-BE49-F238E27FC236}">
                  <a16:creationId xmlns:a16="http://schemas.microsoft.com/office/drawing/2014/main" id="{00000000-0008-0000-0200-000009050000}"/>
                </a:ext>
              </a:extLst>
            </xdr:cNvPr>
            <xdr:cNvGrpSpPr>
              <a:grpSpLocks noChangeAspect="1"/>
            </xdr:cNvGrpSpPr>
          </xdr:nvGrpSpPr>
          <xdr:grpSpPr>
            <a:xfrm>
              <a:off x="5228833" y="107882313"/>
              <a:ext cx="674826" cy="1982459"/>
              <a:chOff x="14921419" y="104774999"/>
              <a:chExt cx="1171575" cy="3409948"/>
            </a:xfrm>
          </xdr:grpSpPr>
          <xdr:grpSp>
            <xdr:nvGrpSpPr>
              <xdr:cNvPr id="1290" name="Group 1289">
                <a:extLst>
                  <a:ext uri="{FF2B5EF4-FFF2-40B4-BE49-F238E27FC236}">
                    <a16:creationId xmlns:a16="http://schemas.microsoft.com/office/drawing/2014/main" id="{00000000-0008-0000-0200-00000A050000}"/>
                  </a:ext>
                </a:extLst>
              </xdr:cNvPr>
              <xdr:cNvGrpSpPr/>
            </xdr:nvGrpSpPr>
            <xdr:grpSpPr>
              <a:xfrm>
                <a:off x="14944724" y="105441747"/>
                <a:ext cx="1053296" cy="2743200"/>
                <a:chOff x="14944724" y="105441747"/>
                <a:chExt cx="1053296" cy="2743200"/>
              </a:xfrm>
            </xdr:grpSpPr>
            <xdr:grpSp>
              <xdr:nvGrpSpPr>
                <xdr:cNvPr id="1292" name="Group 1291">
                  <a:extLst>
                    <a:ext uri="{FF2B5EF4-FFF2-40B4-BE49-F238E27FC236}">
                      <a16:creationId xmlns:a16="http://schemas.microsoft.com/office/drawing/2014/main" id="{00000000-0008-0000-0200-00000C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297" name="Rectangle: Rounded Corners 1296">
                    <a:extLst>
                      <a:ext uri="{FF2B5EF4-FFF2-40B4-BE49-F238E27FC236}">
                        <a16:creationId xmlns:a16="http://schemas.microsoft.com/office/drawing/2014/main" id="{00000000-0008-0000-0200-000011050000}"/>
                      </a:ext>
                    </a:extLst>
                  </xdr:cNvPr>
                  <xdr:cNvSpPr/>
                </xdr:nvSpPr>
                <xdr:spPr>
                  <a:xfrm>
                    <a:off x="4819649"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98" name="Rectangle: Rounded Corners 1297">
                    <a:extLst>
                      <a:ext uri="{FF2B5EF4-FFF2-40B4-BE49-F238E27FC236}">
                        <a16:creationId xmlns:a16="http://schemas.microsoft.com/office/drawing/2014/main" id="{00000000-0008-0000-0200-000012050000}"/>
                      </a:ext>
                    </a:extLst>
                  </xdr:cNvPr>
                  <xdr:cNvSpPr/>
                </xdr:nvSpPr>
                <xdr:spPr>
                  <a:xfrm>
                    <a:off x="6962774"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99" name="Rectangle: Rounded Corners 1298">
                    <a:extLst>
                      <a:ext uri="{FF2B5EF4-FFF2-40B4-BE49-F238E27FC236}">
                        <a16:creationId xmlns:a16="http://schemas.microsoft.com/office/drawing/2014/main" id="{00000000-0008-0000-0200-000013050000}"/>
                      </a:ext>
                    </a:extLst>
                  </xdr:cNvPr>
                  <xdr:cNvSpPr/>
                </xdr:nvSpPr>
                <xdr:spPr>
                  <a:xfrm rot="16200000">
                    <a:off x="5553075" y="105336972"/>
                    <a:ext cx="1133477" cy="2581278"/>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0" name="Rectangle: Rounded Corners 1299">
                    <a:extLst>
                      <a:ext uri="{FF2B5EF4-FFF2-40B4-BE49-F238E27FC236}">
                        <a16:creationId xmlns:a16="http://schemas.microsoft.com/office/drawing/2014/main" id="{00000000-0008-0000-0200-000014050000}"/>
                      </a:ext>
                    </a:extLst>
                  </xdr:cNvPr>
                  <xdr:cNvSpPr/>
                </xdr:nvSpPr>
                <xdr:spPr>
                  <a:xfrm rot="16200000">
                    <a:off x="5557838" y="104751184"/>
                    <a:ext cx="1133477" cy="1143003"/>
                  </a:xfrm>
                  <a:prstGeom prst="roundRect">
                    <a:avLst>
                      <a:gd name="adj" fmla="val 47917"/>
                    </a:avLst>
                  </a:prstGeom>
                  <a:solidFill>
                    <a:srgbClr val="FF000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1" name="Rectangle: Rounded Corners 1300">
                    <a:extLst>
                      <a:ext uri="{FF2B5EF4-FFF2-40B4-BE49-F238E27FC236}">
                        <a16:creationId xmlns:a16="http://schemas.microsoft.com/office/drawing/2014/main" id="{00000000-0008-0000-0200-000015050000}"/>
                      </a:ext>
                    </a:extLst>
                  </xdr:cNvPr>
                  <xdr:cNvSpPr/>
                </xdr:nvSpPr>
                <xdr:spPr>
                  <a:xfrm rot="16200000">
                    <a:off x="5210177" y="107203872"/>
                    <a:ext cx="1828799" cy="1143003"/>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2" name="Rectangle: Rounded Corners 1301">
                    <a:extLst>
                      <a:ext uri="{FF2B5EF4-FFF2-40B4-BE49-F238E27FC236}">
                        <a16:creationId xmlns:a16="http://schemas.microsoft.com/office/drawing/2014/main" id="{00000000-0008-0000-0200-000016050000}"/>
                      </a:ext>
                    </a:extLst>
                  </xdr:cNvPr>
                  <xdr:cNvSpPr/>
                </xdr:nvSpPr>
                <xdr:spPr>
                  <a:xfrm>
                    <a:off x="541972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3" name="Rectangle: Rounded Corners 1302">
                    <a:extLst>
                      <a:ext uri="{FF2B5EF4-FFF2-40B4-BE49-F238E27FC236}">
                        <a16:creationId xmlns:a16="http://schemas.microsoft.com/office/drawing/2014/main" id="{00000000-0008-0000-0200-000017050000}"/>
                      </a:ext>
                    </a:extLst>
                  </xdr:cNvPr>
                  <xdr:cNvSpPr/>
                </xdr:nvSpPr>
                <xdr:spPr>
                  <a:xfrm>
                    <a:off x="620077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293" name="Group 1292">
                  <a:extLst>
                    <a:ext uri="{FF2B5EF4-FFF2-40B4-BE49-F238E27FC236}">
                      <a16:creationId xmlns:a16="http://schemas.microsoft.com/office/drawing/2014/main" id="{00000000-0008-0000-0200-00000D050000}"/>
                    </a:ext>
                  </a:extLst>
                </xdr:cNvPr>
                <xdr:cNvGrpSpPr/>
              </xdr:nvGrpSpPr>
              <xdr:grpSpPr>
                <a:xfrm>
                  <a:off x="15001875" y="106064797"/>
                  <a:ext cx="953589" cy="1109382"/>
                  <a:chOff x="-11112" y="0"/>
                  <a:chExt cx="1112519" cy="1371600"/>
                </a:xfrm>
              </xdr:grpSpPr>
              <xdr:sp macro="" textlink="">
                <xdr:nvSpPr>
                  <xdr:cNvPr id="1294" name="Rectangle 1293">
                    <a:extLst>
                      <a:ext uri="{FF2B5EF4-FFF2-40B4-BE49-F238E27FC236}">
                        <a16:creationId xmlns:a16="http://schemas.microsoft.com/office/drawing/2014/main" id="{00000000-0008-0000-0200-00000E050000}"/>
                      </a:ext>
                    </a:extLst>
                  </xdr:cNvPr>
                  <xdr:cNvSpPr/>
                </xdr:nvSpPr>
                <xdr:spPr>
                  <a:xfrm>
                    <a:off x="-11112" y="0"/>
                    <a:ext cx="457200" cy="1371600"/>
                  </a:xfrm>
                  <a:prstGeom prst="rect">
                    <a:avLst/>
                  </a:prstGeom>
                  <a:gradFill>
                    <a:gsLst>
                      <a:gs pos="0">
                        <a:schemeClr val="bg1">
                          <a:lumMod val="95000"/>
                        </a:schemeClr>
                      </a:gs>
                      <a:gs pos="89000">
                        <a:schemeClr val="bg1">
                          <a:lumMod val="95000"/>
                        </a:schemeClr>
                      </a:gs>
                      <a:gs pos="9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295" name="Rectangle 1294">
                    <a:extLst>
                      <a:ext uri="{FF2B5EF4-FFF2-40B4-BE49-F238E27FC236}">
                        <a16:creationId xmlns:a16="http://schemas.microsoft.com/office/drawing/2014/main" id="{00000000-0008-0000-0200-00000F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296" name="Straight Connector 1295">
                    <a:extLst>
                      <a:ext uri="{FF2B5EF4-FFF2-40B4-BE49-F238E27FC236}">
                        <a16:creationId xmlns:a16="http://schemas.microsoft.com/office/drawing/2014/main" id="{00000000-0008-0000-0200-000010050000}"/>
                      </a:ext>
                    </a:extLst>
                  </xdr:cNvPr>
                  <xdr:cNvCxnSpPr/>
                </xdr:nvCxnSpPr>
                <xdr:spPr>
                  <a:xfrm rot="20700000" flipV="1">
                    <a:off x="422466" y="1008713"/>
                    <a:ext cx="240771" cy="194458"/>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91" name="Thought Bubble: Cloud 1290">
                <a:extLst>
                  <a:ext uri="{FF2B5EF4-FFF2-40B4-BE49-F238E27FC236}">
                    <a16:creationId xmlns:a16="http://schemas.microsoft.com/office/drawing/2014/main" id="{00000000-0008-0000-0200-00000B050000}"/>
                  </a:ext>
                </a:extLst>
              </xdr:cNvPr>
              <xdr:cNvSpPr/>
            </xdr:nvSpPr>
            <xdr:spPr>
              <a:xfrm>
                <a:off x="14921419"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04" name="Group 1303">
              <a:extLst>
                <a:ext uri="{FF2B5EF4-FFF2-40B4-BE49-F238E27FC236}">
                  <a16:creationId xmlns:a16="http://schemas.microsoft.com/office/drawing/2014/main" id="{00000000-0008-0000-0200-000018050000}"/>
                </a:ext>
              </a:extLst>
            </xdr:cNvPr>
            <xdr:cNvGrpSpPr>
              <a:grpSpLocks noChangeAspect="1"/>
            </xdr:cNvGrpSpPr>
          </xdr:nvGrpSpPr>
          <xdr:grpSpPr>
            <a:xfrm>
              <a:off x="1817843" y="107859616"/>
              <a:ext cx="753916" cy="1968592"/>
              <a:chOff x="13365162" y="104827427"/>
              <a:chExt cx="1308883" cy="3386095"/>
            </a:xfrm>
          </xdr:grpSpPr>
          <xdr:grpSp>
            <xdr:nvGrpSpPr>
              <xdr:cNvPr id="1305" name="Group 1304">
                <a:extLst>
                  <a:ext uri="{FF2B5EF4-FFF2-40B4-BE49-F238E27FC236}">
                    <a16:creationId xmlns:a16="http://schemas.microsoft.com/office/drawing/2014/main" id="{00000000-0008-0000-0200-000019050000}"/>
                  </a:ext>
                </a:extLst>
              </xdr:cNvPr>
              <xdr:cNvGrpSpPr/>
            </xdr:nvGrpSpPr>
            <xdr:grpSpPr>
              <a:xfrm>
                <a:off x="13620749" y="105470322"/>
                <a:ext cx="1053296" cy="2743200"/>
                <a:chOff x="13620749" y="105470322"/>
                <a:chExt cx="1053296" cy="2743200"/>
              </a:xfrm>
            </xdr:grpSpPr>
            <xdr:grpSp>
              <xdr:nvGrpSpPr>
                <xdr:cNvPr id="1307" name="Group 1306">
                  <a:extLst>
                    <a:ext uri="{FF2B5EF4-FFF2-40B4-BE49-F238E27FC236}">
                      <a16:creationId xmlns:a16="http://schemas.microsoft.com/office/drawing/2014/main" id="{00000000-0008-0000-0200-00001B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312" name="Rectangle: Rounded Corners 1311">
                    <a:extLst>
                      <a:ext uri="{FF2B5EF4-FFF2-40B4-BE49-F238E27FC236}">
                        <a16:creationId xmlns:a16="http://schemas.microsoft.com/office/drawing/2014/main" id="{00000000-0008-0000-0200-000020050000}"/>
                      </a:ext>
                    </a:extLst>
                  </xdr:cNvPr>
                  <xdr:cNvSpPr/>
                </xdr:nvSpPr>
                <xdr:spPr>
                  <a:xfrm>
                    <a:off x="4819649"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3" name="Rectangle: Rounded Corners 1312">
                    <a:extLst>
                      <a:ext uri="{FF2B5EF4-FFF2-40B4-BE49-F238E27FC236}">
                        <a16:creationId xmlns:a16="http://schemas.microsoft.com/office/drawing/2014/main" id="{00000000-0008-0000-0200-000021050000}"/>
                      </a:ext>
                    </a:extLst>
                  </xdr:cNvPr>
                  <xdr:cNvSpPr/>
                </xdr:nvSpPr>
                <xdr:spPr>
                  <a:xfrm>
                    <a:off x="6962774"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4" name="Rectangle: Rounded Corners 1313">
                    <a:extLst>
                      <a:ext uri="{FF2B5EF4-FFF2-40B4-BE49-F238E27FC236}">
                        <a16:creationId xmlns:a16="http://schemas.microsoft.com/office/drawing/2014/main" id="{00000000-0008-0000-0200-000022050000}"/>
                      </a:ext>
                    </a:extLst>
                  </xdr:cNvPr>
                  <xdr:cNvSpPr/>
                </xdr:nvSpPr>
                <xdr:spPr>
                  <a:xfrm rot="16200000">
                    <a:off x="5553075" y="105336972"/>
                    <a:ext cx="1133477" cy="2581278"/>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5" name="Rectangle: Rounded Corners 1314">
                    <a:extLst>
                      <a:ext uri="{FF2B5EF4-FFF2-40B4-BE49-F238E27FC236}">
                        <a16:creationId xmlns:a16="http://schemas.microsoft.com/office/drawing/2014/main" id="{00000000-0008-0000-0200-000023050000}"/>
                      </a:ext>
                    </a:extLst>
                  </xdr:cNvPr>
                  <xdr:cNvSpPr/>
                </xdr:nvSpPr>
                <xdr:spPr>
                  <a:xfrm rot="16200000">
                    <a:off x="5557838" y="104751184"/>
                    <a:ext cx="1133477" cy="1143003"/>
                  </a:xfrm>
                  <a:prstGeom prst="roundRect">
                    <a:avLst>
                      <a:gd name="adj" fmla="val 47917"/>
                    </a:avLst>
                  </a:prstGeom>
                  <a:solidFill>
                    <a:srgbClr val="CCCCFF"/>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6" name="Rectangle: Rounded Corners 1315">
                    <a:extLst>
                      <a:ext uri="{FF2B5EF4-FFF2-40B4-BE49-F238E27FC236}">
                        <a16:creationId xmlns:a16="http://schemas.microsoft.com/office/drawing/2014/main" id="{00000000-0008-0000-0200-000024050000}"/>
                      </a:ext>
                    </a:extLst>
                  </xdr:cNvPr>
                  <xdr:cNvSpPr/>
                </xdr:nvSpPr>
                <xdr:spPr>
                  <a:xfrm rot="16200000">
                    <a:off x="5210177" y="107203872"/>
                    <a:ext cx="1828799" cy="1143003"/>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7" name="Rectangle: Rounded Corners 1316">
                    <a:extLst>
                      <a:ext uri="{FF2B5EF4-FFF2-40B4-BE49-F238E27FC236}">
                        <a16:creationId xmlns:a16="http://schemas.microsoft.com/office/drawing/2014/main" id="{00000000-0008-0000-0200-000025050000}"/>
                      </a:ext>
                    </a:extLst>
                  </xdr:cNvPr>
                  <xdr:cNvSpPr/>
                </xdr:nvSpPr>
                <xdr:spPr>
                  <a:xfrm>
                    <a:off x="541972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8" name="Rectangle: Rounded Corners 1317">
                    <a:extLst>
                      <a:ext uri="{FF2B5EF4-FFF2-40B4-BE49-F238E27FC236}">
                        <a16:creationId xmlns:a16="http://schemas.microsoft.com/office/drawing/2014/main" id="{00000000-0008-0000-0200-000026050000}"/>
                      </a:ext>
                    </a:extLst>
                  </xdr:cNvPr>
                  <xdr:cNvSpPr/>
                </xdr:nvSpPr>
                <xdr:spPr>
                  <a:xfrm>
                    <a:off x="620077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08" name="Group 1307">
                  <a:extLst>
                    <a:ext uri="{FF2B5EF4-FFF2-40B4-BE49-F238E27FC236}">
                      <a16:creationId xmlns:a16="http://schemas.microsoft.com/office/drawing/2014/main" id="{00000000-0008-0000-0200-00001C050000}"/>
                    </a:ext>
                  </a:extLst>
                </xdr:cNvPr>
                <xdr:cNvGrpSpPr/>
              </xdr:nvGrpSpPr>
              <xdr:grpSpPr>
                <a:xfrm>
                  <a:off x="13679805" y="106093372"/>
                  <a:ext cx="953589" cy="1109382"/>
                  <a:chOff x="0" y="0"/>
                  <a:chExt cx="1112520" cy="1371600"/>
                </a:xfrm>
              </xdr:grpSpPr>
              <xdr:sp macro="" textlink="">
                <xdr:nvSpPr>
                  <xdr:cNvPr id="1309" name="Rectangle 1308">
                    <a:extLst>
                      <a:ext uri="{FF2B5EF4-FFF2-40B4-BE49-F238E27FC236}">
                        <a16:creationId xmlns:a16="http://schemas.microsoft.com/office/drawing/2014/main" id="{00000000-0008-0000-0200-00001D050000}"/>
                      </a:ext>
                    </a:extLst>
                  </xdr:cNvPr>
                  <xdr:cNvSpPr/>
                </xdr:nvSpPr>
                <xdr:spPr>
                  <a:xfrm>
                    <a:off x="0" y="0"/>
                    <a:ext cx="457200" cy="1371600"/>
                  </a:xfrm>
                  <a:prstGeom prst="rect">
                    <a:avLst/>
                  </a:prstGeom>
                  <a:gradFill>
                    <a:gsLst>
                      <a:gs pos="0">
                        <a:schemeClr val="bg1">
                          <a:lumMod val="95000"/>
                        </a:schemeClr>
                      </a:gs>
                      <a:gs pos="35000">
                        <a:schemeClr val="bg1">
                          <a:lumMod val="95000"/>
                        </a:schemeClr>
                      </a:gs>
                      <a:gs pos="37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10" name="Rectangle 1309">
                    <a:extLst>
                      <a:ext uri="{FF2B5EF4-FFF2-40B4-BE49-F238E27FC236}">
                        <a16:creationId xmlns:a16="http://schemas.microsoft.com/office/drawing/2014/main" id="{00000000-0008-0000-0200-00001E050000}"/>
                      </a:ext>
                    </a:extLst>
                  </xdr:cNvPr>
                  <xdr:cNvSpPr/>
                </xdr:nvSpPr>
                <xdr:spPr>
                  <a:xfrm>
                    <a:off x="655320" y="0"/>
                    <a:ext cx="457200" cy="1371600"/>
                  </a:xfrm>
                  <a:prstGeom prst="rect">
                    <a:avLst/>
                  </a:prstGeom>
                  <a:gradFill>
                    <a:gsLst>
                      <a:gs pos="0">
                        <a:schemeClr val="bg1">
                          <a:lumMod val="95000"/>
                        </a:schemeClr>
                      </a:gs>
                      <a:gs pos="44000">
                        <a:schemeClr val="bg1">
                          <a:lumMod val="95000"/>
                        </a:schemeClr>
                      </a:gs>
                      <a:gs pos="45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11" name="Straight Connector 1310">
                    <a:extLst>
                      <a:ext uri="{FF2B5EF4-FFF2-40B4-BE49-F238E27FC236}">
                        <a16:creationId xmlns:a16="http://schemas.microsoft.com/office/drawing/2014/main" id="{00000000-0008-0000-0200-00001F050000}"/>
                      </a:ext>
                    </a:extLst>
                  </xdr:cNvPr>
                  <xdr:cNvCxnSpPr/>
                </xdr:nvCxnSpPr>
                <xdr:spPr>
                  <a:xfrm rot="21000000" flipH="1" flipV="1">
                    <a:off x="457297" y="501127"/>
                    <a:ext cx="185208" cy="129741"/>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06" name="Thought Bubble: Cloud 1305">
                <a:extLst>
                  <a:ext uri="{FF2B5EF4-FFF2-40B4-BE49-F238E27FC236}">
                    <a16:creationId xmlns:a16="http://schemas.microsoft.com/office/drawing/2014/main" id="{00000000-0008-0000-0200-00001A050000}"/>
                  </a:ext>
                </a:extLst>
              </xdr:cNvPr>
              <xdr:cNvSpPr/>
            </xdr:nvSpPr>
            <xdr:spPr>
              <a:xfrm flipH="1">
                <a:off x="13365162" y="104827427"/>
                <a:ext cx="1171576"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19" name="Group 1318">
              <a:extLst>
                <a:ext uri="{FF2B5EF4-FFF2-40B4-BE49-F238E27FC236}">
                  <a16:creationId xmlns:a16="http://schemas.microsoft.com/office/drawing/2014/main" id="{00000000-0008-0000-0200-000027050000}"/>
                </a:ext>
              </a:extLst>
            </xdr:cNvPr>
            <xdr:cNvGrpSpPr>
              <a:grpSpLocks noChangeAspect="1"/>
            </xdr:cNvGrpSpPr>
          </xdr:nvGrpSpPr>
          <xdr:grpSpPr>
            <a:xfrm>
              <a:off x="295784" y="107882306"/>
              <a:ext cx="674825" cy="1999079"/>
              <a:chOff x="13527313" y="104774987"/>
              <a:chExt cx="1171575" cy="3438535"/>
            </a:xfrm>
          </xdr:grpSpPr>
          <xdr:grpSp>
            <xdr:nvGrpSpPr>
              <xdr:cNvPr id="1320" name="Group 1319">
                <a:extLst>
                  <a:ext uri="{FF2B5EF4-FFF2-40B4-BE49-F238E27FC236}">
                    <a16:creationId xmlns:a16="http://schemas.microsoft.com/office/drawing/2014/main" id="{00000000-0008-0000-0200-000028050000}"/>
                  </a:ext>
                </a:extLst>
              </xdr:cNvPr>
              <xdr:cNvGrpSpPr/>
            </xdr:nvGrpSpPr>
            <xdr:grpSpPr>
              <a:xfrm>
                <a:off x="13620749" y="105470322"/>
                <a:ext cx="1053296" cy="2743200"/>
                <a:chOff x="13620749" y="105470322"/>
                <a:chExt cx="1053296" cy="2743200"/>
              </a:xfrm>
            </xdr:grpSpPr>
            <xdr:grpSp>
              <xdr:nvGrpSpPr>
                <xdr:cNvPr id="1322" name="Group 1321">
                  <a:extLst>
                    <a:ext uri="{FF2B5EF4-FFF2-40B4-BE49-F238E27FC236}">
                      <a16:creationId xmlns:a16="http://schemas.microsoft.com/office/drawing/2014/main" id="{00000000-0008-0000-0200-00002A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327" name="Rectangle: Rounded Corners 1326">
                    <a:extLst>
                      <a:ext uri="{FF2B5EF4-FFF2-40B4-BE49-F238E27FC236}">
                        <a16:creationId xmlns:a16="http://schemas.microsoft.com/office/drawing/2014/main" id="{00000000-0008-0000-0200-00002F050000}"/>
                      </a:ext>
                    </a:extLst>
                  </xdr:cNvPr>
                  <xdr:cNvSpPr/>
                </xdr:nvSpPr>
                <xdr:spPr>
                  <a:xfrm>
                    <a:off x="4819649"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28" name="Rectangle: Rounded Corners 1327">
                    <a:extLst>
                      <a:ext uri="{FF2B5EF4-FFF2-40B4-BE49-F238E27FC236}">
                        <a16:creationId xmlns:a16="http://schemas.microsoft.com/office/drawing/2014/main" id="{00000000-0008-0000-0200-000030050000}"/>
                      </a:ext>
                    </a:extLst>
                  </xdr:cNvPr>
                  <xdr:cNvSpPr/>
                </xdr:nvSpPr>
                <xdr:spPr>
                  <a:xfrm>
                    <a:off x="6962774"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29" name="Rectangle: Rounded Corners 1328">
                    <a:extLst>
                      <a:ext uri="{FF2B5EF4-FFF2-40B4-BE49-F238E27FC236}">
                        <a16:creationId xmlns:a16="http://schemas.microsoft.com/office/drawing/2014/main" id="{00000000-0008-0000-0200-000031050000}"/>
                      </a:ext>
                    </a:extLst>
                  </xdr:cNvPr>
                  <xdr:cNvSpPr/>
                </xdr:nvSpPr>
                <xdr:spPr>
                  <a:xfrm rot="16200000">
                    <a:off x="5553075" y="105336972"/>
                    <a:ext cx="1133477" cy="2581278"/>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0" name="Rectangle: Rounded Corners 1329">
                    <a:extLst>
                      <a:ext uri="{FF2B5EF4-FFF2-40B4-BE49-F238E27FC236}">
                        <a16:creationId xmlns:a16="http://schemas.microsoft.com/office/drawing/2014/main" id="{00000000-0008-0000-0200-000032050000}"/>
                      </a:ext>
                    </a:extLst>
                  </xdr:cNvPr>
                  <xdr:cNvSpPr/>
                </xdr:nvSpPr>
                <xdr:spPr>
                  <a:xfrm rot="16200000">
                    <a:off x="5557838" y="104751184"/>
                    <a:ext cx="1133477" cy="1143003"/>
                  </a:xfrm>
                  <a:prstGeom prst="roundRect">
                    <a:avLst>
                      <a:gd name="adj" fmla="val 47917"/>
                    </a:avLst>
                  </a:prstGeom>
                  <a:solidFill>
                    <a:srgbClr val="0070C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1" name="Rectangle: Rounded Corners 1330">
                    <a:extLst>
                      <a:ext uri="{FF2B5EF4-FFF2-40B4-BE49-F238E27FC236}">
                        <a16:creationId xmlns:a16="http://schemas.microsoft.com/office/drawing/2014/main" id="{00000000-0008-0000-0200-000033050000}"/>
                      </a:ext>
                    </a:extLst>
                  </xdr:cNvPr>
                  <xdr:cNvSpPr/>
                </xdr:nvSpPr>
                <xdr:spPr>
                  <a:xfrm rot="16200000">
                    <a:off x="5210177" y="107203872"/>
                    <a:ext cx="1828799" cy="1143003"/>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2" name="Rectangle: Rounded Corners 1331">
                    <a:extLst>
                      <a:ext uri="{FF2B5EF4-FFF2-40B4-BE49-F238E27FC236}">
                        <a16:creationId xmlns:a16="http://schemas.microsoft.com/office/drawing/2014/main" id="{00000000-0008-0000-0200-000034050000}"/>
                      </a:ext>
                    </a:extLst>
                  </xdr:cNvPr>
                  <xdr:cNvSpPr/>
                </xdr:nvSpPr>
                <xdr:spPr>
                  <a:xfrm>
                    <a:off x="541972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3" name="Rectangle: Rounded Corners 1332">
                    <a:extLst>
                      <a:ext uri="{FF2B5EF4-FFF2-40B4-BE49-F238E27FC236}">
                        <a16:creationId xmlns:a16="http://schemas.microsoft.com/office/drawing/2014/main" id="{00000000-0008-0000-0200-000035050000}"/>
                      </a:ext>
                    </a:extLst>
                  </xdr:cNvPr>
                  <xdr:cNvSpPr/>
                </xdr:nvSpPr>
                <xdr:spPr>
                  <a:xfrm>
                    <a:off x="620077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23" name="Group 1322">
                  <a:extLst>
                    <a:ext uri="{FF2B5EF4-FFF2-40B4-BE49-F238E27FC236}">
                      <a16:creationId xmlns:a16="http://schemas.microsoft.com/office/drawing/2014/main" id="{00000000-0008-0000-0200-00002B050000}"/>
                    </a:ext>
                  </a:extLst>
                </xdr:cNvPr>
                <xdr:cNvGrpSpPr/>
              </xdr:nvGrpSpPr>
              <xdr:grpSpPr>
                <a:xfrm>
                  <a:off x="13679805" y="106093372"/>
                  <a:ext cx="953589" cy="1109382"/>
                  <a:chOff x="0" y="0"/>
                  <a:chExt cx="1112520" cy="1371600"/>
                </a:xfrm>
              </xdr:grpSpPr>
              <xdr:sp macro="" textlink="">
                <xdr:nvSpPr>
                  <xdr:cNvPr id="1324" name="Rectangle 1323">
                    <a:extLst>
                      <a:ext uri="{FF2B5EF4-FFF2-40B4-BE49-F238E27FC236}">
                        <a16:creationId xmlns:a16="http://schemas.microsoft.com/office/drawing/2014/main" id="{00000000-0008-0000-0200-00002C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25" name="Rectangle 1324">
                    <a:extLst>
                      <a:ext uri="{FF2B5EF4-FFF2-40B4-BE49-F238E27FC236}">
                        <a16:creationId xmlns:a16="http://schemas.microsoft.com/office/drawing/2014/main" id="{00000000-0008-0000-0200-00002D050000}"/>
                      </a:ext>
                    </a:extLst>
                  </xdr:cNvPr>
                  <xdr:cNvSpPr/>
                </xdr:nvSpPr>
                <xdr:spPr>
                  <a:xfrm>
                    <a:off x="655320" y="0"/>
                    <a:ext cx="457200" cy="1371600"/>
                  </a:xfrm>
                  <a:prstGeom prst="rect">
                    <a:avLst/>
                  </a:prstGeom>
                  <a:gradFill>
                    <a:gsLst>
                      <a:gs pos="0">
                        <a:schemeClr val="bg1">
                          <a:lumMod val="95000"/>
                        </a:schemeClr>
                      </a:gs>
                      <a:gs pos="89000">
                        <a:schemeClr val="bg1">
                          <a:lumMod val="95000"/>
                        </a:schemeClr>
                      </a:gs>
                      <a:gs pos="9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26" name="Straight Connector 1325">
                    <a:extLst>
                      <a:ext uri="{FF2B5EF4-FFF2-40B4-BE49-F238E27FC236}">
                        <a16:creationId xmlns:a16="http://schemas.microsoft.com/office/drawing/2014/main" id="{00000000-0008-0000-0200-00002E050000}"/>
                      </a:ext>
                    </a:extLst>
                  </xdr:cNvPr>
                  <xdr:cNvCxnSpPr/>
                </xdr:nvCxnSpPr>
                <xdr:spPr>
                  <a:xfrm rot="900000" flipH="1" flipV="1">
                    <a:off x="433060" y="1005572"/>
                    <a:ext cx="240771" cy="194458"/>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21" name="Thought Bubble: Cloud 1320">
                <a:extLst>
                  <a:ext uri="{FF2B5EF4-FFF2-40B4-BE49-F238E27FC236}">
                    <a16:creationId xmlns:a16="http://schemas.microsoft.com/office/drawing/2014/main" id="{00000000-0008-0000-0200-000029050000}"/>
                  </a:ext>
                </a:extLst>
              </xdr:cNvPr>
              <xdr:cNvSpPr/>
            </xdr:nvSpPr>
            <xdr:spPr>
              <a:xfrm flipH="1">
                <a:off x="13527313" y="104774987"/>
                <a:ext cx="1171575"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34" name="Group 1333">
              <a:extLst>
                <a:ext uri="{FF2B5EF4-FFF2-40B4-BE49-F238E27FC236}">
                  <a16:creationId xmlns:a16="http://schemas.microsoft.com/office/drawing/2014/main" id="{00000000-0008-0000-0200-000036050000}"/>
                </a:ext>
              </a:extLst>
            </xdr:cNvPr>
            <xdr:cNvGrpSpPr>
              <a:grpSpLocks noChangeAspect="1"/>
            </xdr:cNvGrpSpPr>
          </xdr:nvGrpSpPr>
          <xdr:grpSpPr>
            <a:xfrm>
              <a:off x="1037033" y="107867116"/>
              <a:ext cx="719366" cy="1999072"/>
              <a:chOff x="13425142" y="104774999"/>
              <a:chExt cx="1248903" cy="3438523"/>
            </a:xfrm>
          </xdr:grpSpPr>
          <xdr:grpSp>
            <xdr:nvGrpSpPr>
              <xdr:cNvPr id="1335" name="Group 1334">
                <a:extLst>
                  <a:ext uri="{FF2B5EF4-FFF2-40B4-BE49-F238E27FC236}">
                    <a16:creationId xmlns:a16="http://schemas.microsoft.com/office/drawing/2014/main" id="{00000000-0008-0000-0200-000037050000}"/>
                  </a:ext>
                </a:extLst>
              </xdr:cNvPr>
              <xdr:cNvGrpSpPr/>
            </xdr:nvGrpSpPr>
            <xdr:grpSpPr>
              <a:xfrm>
                <a:off x="13620749" y="105470322"/>
                <a:ext cx="1053296" cy="2743200"/>
                <a:chOff x="13620749" y="105470322"/>
                <a:chExt cx="1053296" cy="2743200"/>
              </a:xfrm>
            </xdr:grpSpPr>
            <xdr:grpSp>
              <xdr:nvGrpSpPr>
                <xdr:cNvPr id="1337" name="Group 1336">
                  <a:extLst>
                    <a:ext uri="{FF2B5EF4-FFF2-40B4-BE49-F238E27FC236}">
                      <a16:creationId xmlns:a16="http://schemas.microsoft.com/office/drawing/2014/main" id="{00000000-0008-0000-0200-000039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342" name="Rectangle: Rounded Corners 1341">
                    <a:extLst>
                      <a:ext uri="{FF2B5EF4-FFF2-40B4-BE49-F238E27FC236}">
                        <a16:creationId xmlns:a16="http://schemas.microsoft.com/office/drawing/2014/main" id="{00000000-0008-0000-0200-00003E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3" name="Rectangle: Rounded Corners 1342">
                    <a:extLst>
                      <a:ext uri="{FF2B5EF4-FFF2-40B4-BE49-F238E27FC236}">
                        <a16:creationId xmlns:a16="http://schemas.microsoft.com/office/drawing/2014/main" id="{00000000-0008-0000-0200-00003F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4" name="Rectangle: Rounded Corners 1343">
                    <a:extLst>
                      <a:ext uri="{FF2B5EF4-FFF2-40B4-BE49-F238E27FC236}">
                        <a16:creationId xmlns:a16="http://schemas.microsoft.com/office/drawing/2014/main" id="{00000000-0008-0000-0200-000040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5" name="Rectangle: Rounded Corners 1344">
                    <a:extLst>
                      <a:ext uri="{FF2B5EF4-FFF2-40B4-BE49-F238E27FC236}">
                        <a16:creationId xmlns:a16="http://schemas.microsoft.com/office/drawing/2014/main" id="{00000000-0008-0000-0200-000041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6" name="Rectangle: Rounded Corners 1345">
                    <a:extLst>
                      <a:ext uri="{FF2B5EF4-FFF2-40B4-BE49-F238E27FC236}">
                        <a16:creationId xmlns:a16="http://schemas.microsoft.com/office/drawing/2014/main" id="{00000000-0008-0000-0200-000042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7" name="Rectangle: Rounded Corners 1346">
                    <a:extLst>
                      <a:ext uri="{FF2B5EF4-FFF2-40B4-BE49-F238E27FC236}">
                        <a16:creationId xmlns:a16="http://schemas.microsoft.com/office/drawing/2014/main" id="{00000000-0008-0000-0200-000043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8" name="Rectangle: Rounded Corners 1347">
                    <a:extLst>
                      <a:ext uri="{FF2B5EF4-FFF2-40B4-BE49-F238E27FC236}">
                        <a16:creationId xmlns:a16="http://schemas.microsoft.com/office/drawing/2014/main" id="{00000000-0008-0000-0200-000044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38" name="Group 1337">
                  <a:extLst>
                    <a:ext uri="{FF2B5EF4-FFF2-40B4-BE49-F238E27FC236}">
                      <a16:creationId xmlns:a16="http://schemas.microsoft.com/office/drawing/2014/main" id="{00000000-0008-0000-0200-00003A050000}"/>
                    </a:ext>
                  </a:extLst>
                </xdr:cNvPr>
                <xdr:cNvGrpSpPr/>
              </xdr:nvGrpSpPr>
              <xdr:grpSpPr>
                <a:xfrm>
                  <a:off x="13679805" y="106093372"/>
                  <a:ext cx="953589" cy="1109382"/>
                  <a:chOff x="0" y="0"/>
                  <a:chExt cx="1112520" cy="1371600"/>
                </a:xfrm>
              </xdr:grpSpPr>
              <xdr:sp macro="" textlink="">
                <xdr:nvSpPr>
                  <xdr:cNvPr id="1339" name="Rectangle 1338">
                    <a:extLst>
                      <a:ext uri="{FF2B5EF4-FFF2-40B4-BE49-F238E27FC236}">
                        <a16:creationId xmlns:a16="http://schemas.microsoft.com/office/drawing/2014/main" id="{00000000-0008-0000-0200-00003B050000}"/>
                      </a:ext>
                    </a:extLst>
                  </xdr:cNvPr>
                  <xdr:cNvSpPr/>
                </xdr:nvSpPr>
                <xdr:spPr>
                  <a:xfrm>
                    <a:off x="0" y="0"/>
                    <a:ext cx="457200" cy="1371600"/>
                  </a:xfrm>
                  <a:prstGeom prst="rect">
                    <a:avLst/>
                  </a:prstGeom>
                  <a:gradFill>
                    <a:gsLst>
                      <a:gs pos="0">
                        <a:schemeClr val="bg1">
                          <a:lumMod val="95000"/>
                        </a:schemeClr>
                      </a:gs>
                      <a:gs pos="59000">
                        <a:schemeClr val="bg1">
                          <a:lumMod val="95000"/>
                        </a:schemeClr>
                      </a:gs>
                      <a:gs pos="6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40" name="Rectangle 1339">
                    <a:extLst>
                      <a:ext uri="{FF2B5EF4-FFF2-40B4-BE49-F238E27FC236}">
                        <a16:creationId xmlns:a16="http://schemas.microsoft.com/office/drawing/2014/main" id="{00000000-0008-0000-0200-00003C050000}"/>
                      </a:ext>
                    </a:extLst>
                  </xdr:cNvPr>
                  <xdr:cNvSpPr/>
                </xdr:nvSpPr>
                <xdr:spPr>
                  <a:xfrm>
                    <a:off x="655320"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41" name="Straight Connector 1340">
                    <a:extLst>
                      <a:ext uri="{FF2B5EF4-FFF2-40B4-BE49-F238E27FC236}">
                        <a16:creationId xmlns:a16="http://schemas.microsoft.com/office/drawing/2014/main" id="{00000000-0008-0000-0200-00003D050000}"/>
                      </a:ext>
                    </a:extLst>
                  </xdr:cNvPr>
                  <xdr:cNvCxnSpPr/>
                </xdr:nvCxnSpPr>
                <xdr:spPr>
                  <a:xfrm flipH="1" flipV="1">
                    <a:off x="457200" y="838924"/>
                    <a:ext cx="198121" cy="129741"/>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36" name="Thought Bubble: Cloud 1335">
                <a:extLst>
                  <a:ext uri="{FF2B5EF4-FFF2-40B4-BE49-F238E27FC236}">
                    <a16:creationId xmlns:a16="http://schemas.microsoft.com/office/drawing/2014/main" id="{00000000-0008-0000-0200-000038050000}"/>
                  </a:ext>
                </a:extLst>
              </xdr:cNvPr>
              <xdr:cNvSpPr/>
            </xdr:nvSpPr>
            <xdr:spPr>
              <a:xfrm flipH="1">
                <a:off x="13425142" y="104774999"/>
                <a:ext cx="1171577"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49" name="Group 1348">
              <a:extLst>
                <a:ext uri="{FF2B5EF4-FFF2-40B4-BE49-F238E27FC236}">
                  <a16:creationId xmlns:a16="http://schemas.microsoft.com/office/drawing/2014/main" id="{00000000-0008-0000-0200-000045050000}"/>
                </a:ext>
              </a:extLst>
            </xdr:cNvPr>
            <xdr:cNvGrpSpPr>
              <a:grpSpLocks noChangeAspect="1"/>
            </xdr:cNvGrpSpPr>
          </xdr:nvGrpSpPr>
          <xdr:grpSpPr>
            <a:xfrm>
              <a:off x="4449782" y="107882313"/>
              <a:ext cx="733342" cy="1982459"/>
              <a:chOff x="14944724" y="104774999"/>
              <a:chExt cx="1273165" cy="3409948"/>
            </a:xfrm>
          </xdr:grpSpPr>
          <xdr:grpSp>
            <xdr:nvGrpSpPr>
              <xdr:cNvPr id="1350" name="Group 1349">
                <a:extLst>
                  <a:ext uri="{FF2B5EF4-FFF2-40B4-BE49-F238E27FC236}">
                    <a16:creationId xmlns:a16="http://schemas.microsoft.com/office/drawing/2014/main" id="{00000000-0008-0000-0200-000046050000}"/>
                  </a:ext>
                </a:extLst>
              </xdr:cNvPr>
              <xdr:cNvGrpSpPr/>
            </xdr:nvGrpSpPr>
            <xdr:grpSpPr>
              <a:xfrm>
                <a:off x="14944724" y="105441747"/>
                <a:ext cx="1053296" cy="2743200"/>
                <a:chOff x="14944724" y="105441747"/>
                <a:chExt cx="1053296" cy="2743200"/>
              </a:xfrm>
            </xdr:grpSpPr>
            <xdr:grpSp>
              <xdr:nvGrpSpPr>
                <xdr:cNvPr id="1352" name="Group 1351">
                  <a:extLst>
                    <a:ext uri="{FF2B5EF4-FFF2-40B4-BE49-F238E27FC236}">
                      <a16:creationId xmlns:a16="http://schemas.microsoft.com/office/drawing/2014/main" id="{00000000-0008-0000-0200-000048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357" name="Rectangle: Rounded Corners 1356">
                    <a:extLst>
                      <a:ext uri="{FF2B5EF4-FFF2-40B4-BE49-F238E27FC236}">
                        <a16:creationId xmlns:a16="http://schemas.microsoft.com/office/drawing/2014/main" id="{00000000-0008-0000-0200-00004D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58" name="Rectangle: Rounded Corners 1357">
                    <a:extLst>
                      <a:ext uri="{FF2B5EF4-FFF2-40B4-BE49-F238E27FC236}">
                        <a16:creationId xmlns:a16="http://schemas.microsoft.com/office/drawing/2014/main" id="{00000000-0008-0000-0200-00004E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59" name="Rectangle: Rounded Corners 1358">
                    <a:extLst>
                      <a:ext uri="{FF2B5EF4-FFF2-40B4-BE49-F238E27FC236}">
                        <a16:creationId xmlns:a16="http://schemas.microsoft.com/office/drawing/2014/main" id="{00000000-0008-0000-0200-00004F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0" name="Rectangle: Rounded Corners 1359">
                    <a:extLst>
                      <a:ext uri="{FF2B5EF4-FFF2-40B4-BE49-F238E27FC236}">
                        <a16:creationId xmlns:a16="http://schemas.microsoft.com/office/drawing/2014/main" id="{00000000-0008-0000-0200-000050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1" name="Rectangle: Rounded Corners 1360">
                    <a:extLst>
                      <a:ext uri="{FF2B5EF4-FFF2-40B4-BE49-F238E27FC236}">
                        <a16:creationId xmlns:a16="http://schemas.microsoft.com/office/drawing/2014/main" id="{00000000-0008-0000-0200-000051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2" name="Rectangle: Rounded Corners 1361">
                    <a:extLst>
                      <a:ext uri="{FF2B5EF4-FFF2-40B4-BE49-F238E27FC236}">
                        <a16:creationId xmlns:a16="http://schemas.microsoft.com/office/drawing/2014/main" id="{00000000-0008-0000-0200-000052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3" name="Rectangle: Rounded Corners 1362">
                    <a:extLst>
                      <a:ext uri="{FF2B5EF4-FFF2-40B4-BE49-F238E27FC236}">
                        <a16:creationId xmlns:a16="http://schemas.microsoft.com/office/drawing/2014/main" id="{00000000-0008-0000-0200-000053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53" name="Group 1352">
                  <a:extLst>
                    <a:ext uri="{FF2B5EF4-FFF2-40B4-BE49-F238E27FC236}">
                      <a16:creationId xmlns:a16="http://schemas.microsoft.com/office/drawing/2014/main" id="{00000000-0008-0000-0200-000049050000}"/>
                    </a:ext>
                  </a:extLst>
                </xdr:cNvPr>
                <xdr:cNvGrpSpPr/>
              </xdr:nvGrpSpPr>
              <xdr:grpSpPr>
                <a:xfrm>
                  <a:off x="15001875" y="106064797"/>
                  <a:ext cx="953589" cy="1109382"/>
                  <a:chOff x="-11112" y="0"/>
                  <a:chExt cx="1112519" cy="1371600"/>
                </a:xfrm>
              </xdr:grpSpPr>
              <xdr:sp macro="" textlink="">
                <xdr:nvSpPr>
                  <xdr:cNvPr id="1354" name="Rectangle 1353">
                    <a:extLst>
                      <a:ext uri="{FF2B5EF4-FFF2-40B4-BE49-F238E27FC236}">
                        <a16:creationId xmlns:a16="http://schemas.microsoft.com/office/drawing/2014/main" id="{00000000-0008-0000-0200-00004A050000}"/>
                      </a:ext>
                    </a:extLst>
                  </xdr:cNvPr>
                  <xdr:cNvSpPr/>
                </xdr:nvSpPr>
                <xdr:spPr>
                  <a:xfrm>
                    <a:off x="-11112"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55" name="Rectangle 1354">
                    <a:extLst>
                      <a:ext uri="{FF2B5EF4-FFF2-40B4-BE49-F238E27FC236}">
                        <a16:creationId xmlns:a16="http://schemas.microsoft.com/office/drawing/2014/main" id="{00000000-0008-0000-0200-00004B050000}"/>
                      </a:ext>
                    </a:extLst>
                  </xdr:cNvPr>
                  <xdr:cNvSpPr/>
                </xdr:nvSpPr>
                <xdr:spPr>
                  <a:xfrm>
                    <a:off x="644207" y="0"/>
                    <a:ext cx="457200" cy="1371600"/>
                  </a:xfrm>
                  <a:prstGeom prst="rect">
                    <a:avLst/>
                  </a:prstGeom>
                  <a:gradFill>
                    <a:gsLst>
                      <a:gs pos="0">
                        <a:schemeClr val="bg1">
                          <a:lumMod val="95000"/>
                        </a:schemeClr>
                      </a:gs>
                      <a:gs pos="59000">
                        <a:schemeClr val="bg1">
                          <a:lumMod val="95000"/>
                        </a:schemeClr>
                      </a:gs>
                      <a:gs pos="6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56" name="Straight Connector 1355">
                    <a:extLst>
                      <a:ext uri="{FF2B5EF4-FFF2-40B4-BE49-F238E27FC236}">
                        <a16:creationId xmlns:a16="http://schemas.microsoft.com/office/drawing/2014/main" id="{00000000-0008-0000-0200-00004C050000}"/>
                      </a:ext>
                    </a:extLst>
                  </xdr:cNvPr>
                  <xdr:cNvCxnSpPr/>
                </xdr:nvCxnSpPr>
                <xdr:spPr>
                  <a:xfrm flipV="1">
                    <a:off x="446087" y="83749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51" name="Thought Bubble: Cloud 1350">
                <a:extLst>
                  <a:ext uri="{FF2B5EF4-FFF2-40B4-BE49-F238E27FC236}">
                    <a16:creationId xmlns:a16="http://schemas.microsoft.com/office/drawing/2014/main" id="{00000000-0008-0000-0200-000047050000}"/>
                  </a:ext>
                </a:extLst>
              </xdr:cNvPr>
              <xdr:cNvSpPr/>
            </xdr:nvSpPr>
            <xdr:spPr>
              <a:xfrm>
                <a:off x="15046314"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sp macro="" textlink="">
        <xdr:nvSpPr>
          <xdr:cNvPr id="2424" name="Block Arc 2423">
            <a:extLst>
              <a:ext uri="{FF2B5EF4-FFF2-40B4-BE49-F238E27FC236}">
                <a16:creationId xmlns:a16="http://schemas.microsoft.com/office/drawing/2014/main" id="{00000000-0008-0000-0200-000078090000}"/>
              </a:ext>
            </a:extLst>
          </xdr:cNvPr>
          <xdr:cNvSpPr/>
        </xdr:nvSpPr>
        <xdr:spPr>
          <a:xfrm flipV="1">
            <a:off x="22860" y="116799360"/>
            <a:ext cx="2575560" cy="350520"/>
          </a:xfrm>
          <a:prstGeom prst="blockArc">
            <a:avLst/>
          </a:prstGeom>
          <a:pattFill prst="shingle">
            <a:fgClr>
              <a:srgbClr val="00B0F0"/>
            </a:fgClr>
            <a:bgClr>
              <a:schemeClr val="bg1"/>
            </a:bgClr>
          </a:pattFill>
          <a:ln w="3175">
            <a:solidFill>
              <a:srgbClr val="00B0F0"/>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426" name="Block Arc 2425">
            <a:extLst>
              <a:ext uri="{FF2B5EF4-FFF2-40B4-BE49-F238E27FC236}">
                <a16:creationId xmlns:a16="http://schemas.microsoft.com/office/drawing/2014/main" id="{00000000-0008-0000-0200-00007A090000}"/>
              </a:ext>
            </a:extLst>
          </xdr:cNvPr>
          <xdr:cNvSpPr/>
        </xdr:nvSpPr>
        <xdr:spPr>
          <a:xfrm flipV="1">
            <a:off x="3581400" y="116791740"/>
            <a:ext cx="2575560" cy="350520"/>
          </a:xfrm>
          <a:prstGeom prst="blockArc">
            <a:avLst/>
          </a:prstGeom>
          <a:pattFill prst="shingle">
            <a:fgClr>
              <a:srgbClr val="FF7171"/>
            </a:fgClr>
            <a:bgClr>
              <a:schemeClr val="bg1"/>
            </a:bgClr>
          </a:pattFill>
          <a:ln w="3175">
            <a:solidFill>
              <a:srgbClr val="FF7171"/>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grpSp>
    <xdr:clientData/>
  </xdr:twoCellAnchor>
  <xdr:twoCellAnchor>
    <xdr:from>
      <xdr:col>1</xdr:col>
      <xdr:colOff>30480</xdr:colOff>
      <xdr:row>594</xdr:row>
      <xdr:rowOff>106680</xdr:rowOff>
    </xdr:from>
    <xdr:to>
      <xdr:col>12</xdr:col>
      <xdr:colOff>434340</xdr:colOff>
      <xdr:row>599</xdr:row>
      <xdr:rowOff>121920</xdr:rowOff>
    </xdr:to>
    <xdr:sp macro="" textlink="">
      <xdr:nvSpPr>
        <xdr:cNvPr id="2795" name="You believe whatever serves your needs.">
          <a:extLst>
            <a:ext uri="{FF2B5EF4-FFF2-40B4-BE49-F238E27FC236}">
              <a16:creationId xmlns:a16="http://schemas.microsoft.com/office/drawing/2014/main" id="{00000000-0008-0000-0200-0000EB0A0000}"/>
            </a:ext>
          </a:extLst>
        </xdr:cNvPr>
        <xdr:cNvSpPr txBox="1">
          <a:spLocks/>
        </xdr:cNvSpPr>
      </xdr:nvSpPr>
      <xdr:spPr>
        <a:xfrm>
          <a:off x="152400" y="109080300"/>
          <a:ext cx="5852160" cy="891540"/>
        </a:xfrm>
        <a:prstGeom prst="rect">
          <a:avLst/>
        </a:prstGeom>
        <a:solidFill>
          <a:srgbClr val="660066">
            <a:alpha val="69804"/>
          </a:srgbClr>
        </a:solidFill>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600"/>
            </a:lnSpc>
            <a:buNone/>
          </a:pPr>
          <a:r>
            <a:rPr lang="en-US" sz="1400" b="0"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Political leaders on both sides sidestep</a:t>
          </a:r>
          <a:r>
            <a:rPr lang="en-US" sz="1400" b="0"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400" b="0" kern="1200" spc="20" baseline="0">
              <a:ln w="9525">
                <a:solidFill>
                  <a:srgbClr val="00FA6E"/>
                </a:solidFill>
              </a:ln>
              <a:solidFill>
                <a:srgbClr val="00FA6E"/>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your specific differences </a:t>
          </a:r>
          <a:r>
            <a:rPr lang="en-US" sz="1400" b="0" spc="4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with </a:t>
          </a:r>
          <a:r>
            <a:rPr lang="en-US" sz="1400" b="0" i="1" spc="40" baseline="0">
              <a:ln w="9525">
                <a:solidFill>
                  <a:srgbClr val="FFC3F5"/>
                </a:solidFill>
              </a:ln>
              <a:solidFill>
                <a:srgbClr val="FFC3F5"/>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similar others</a:t>
          </a:r>
          <a:r>
            <a:rPr lang="en-US" sz="1400" b="0" i="1" spc="40" baseline="0">
              <a:ln w="9525">
                <a:solidFill>
                  <a:srgbClr val="FF99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400" b="0" spc="4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to build political power. This may cost you </a:t>
          </a:r>
          <a:r>
            <a:rPr lang="en-US" sz="1400" b="0" spc="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vital attention to resolve </a:t>
          </a:r>
          <a:r>
            <a:rPr lang="en-US" sz="1400" b="0" spc="0" baseline="0">
              <a:ln w="9525">
                <a:solidFill>
                  <a:srgbClr val="00FA6E"/>
                </a:solidFill>
              </a:ln>
              <a:solidFill>
                <a:srgbClr val="00FA6E"/>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your specific needs</a:t>
          </a:r>
          <a:r>
            <a:rPr lang="en-US" sz="1400" b="0" spc="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If kept unresolved, </a:t>
          </a:r>
          <a:r>
            <a:rPr lang="en-US" sz="1400" b="0" i="1" spc="-30" baseline="0">
              <a:ln w="9525">
                <a:solidFill>
                  <a:srgbClr val="F0CDFF"/>
                </a:solidFill>
              </a:ln>
              <a:solidFill>
                <a:srgbClr val="FF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such politics keeps you in </a:t>
          </a:r>
          <a:r>
            <a:rPr lang="en-US" sz="1400" b="0" i="1" spc="-30" baseline="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400" b="0" i="1" spc="-30" baseline="0">
              <a:ln w="9525">
                <a:solidFill>
                  <a:srgbClr val="F0CDFF"/>
                </a:solidFill>
              </a:ln>
              <a:solidFill>
                <a:srgbClr val="FF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400" b="0" spc="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and dependent on their leadership. </a:t>
          </a:r>
          <a:endParaRPr lang="en-US" sz="1400" b="0" kern="1200" spc="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99060</xdr:colOff>
      <xdr:row>95</xdr:row>
      <xdr:rowOff>314959</xdr:rowOff>
    </xdr:from>
    <xdr:to>
      <xdr:col>12</xdr:col>
      <xdr:colOff>472440</xdr:colOff>
      <xdr:row>99</xdr:row>
      <xdr:rowOff>45720</xdr:rowOff>
    </xdr:to>
    <xdr:grpSp>
      <xdr:nvGrpSpPr>
        <xdr:cNvPr id="2299" name="Group 2298">
          <a:extLst>
            <a:ext uri="{FF2B5EF4-FFF2-40B4-BE49-F238E27FC236}">
              <a16:creationId xmlns:a16="http://schemas.microsoft.com/office/drawing/2014/main" id="{00000000-0008-0000-0200-0000FB080000}"/>
            </a:ext>
          </a:extLst>
        </xdr:cNvPr>
        <xdr:cNvGrpSpPr/>
      </xdr:nvGrpSpPr>
      <xdr:grpSpPr>
        <a:xfrm>
          <a:off x="213360" y="19646899"/>
          <a:ext cx="5905500" cy="843281"/>
          <a:chOff x="220980" y="11051539"/>
          <a:chExt cx="5821680" cy="843281"/>
        </a:xfrm>
      </xdr:grpSpPr>
      <xdr:sp macro="" textlink="">
        <xdr:nvSpPr>
          <xdr:cNvPr id="532" name="TextBox: Politics defined">
            <a:extLst>
              <a:ext uri="{FF2B5EF4-FFF2-40B4-BE49-F238E27FC236}">
                <a16:creationId xmlns:a16="http://schemas.microsoft.com/office/drawing/2014/main" id="{00000000-0008-0000-0200-000014020000}"/>
              </a:ext>
            </a:extLst>
          </xdr:cNvPr>
          <xdr:cNvSpPr txBox="1"/>
        </xdr:nvSpPr>
        <xdr:spPr>
          <a:xfrm>
            <a:off x="274320" y="11188699"/>
            <a:ext cx="5768340" cy="7061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2000" b="1">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the art of generalizing how to agreeably address needs in different social situations. </a:t>
            </a:r>
          </a:p>
        </xdr:txBody>
      </xdr:sp>
      <xdr:sp macro="" textlink="">
        <xdr:nvSpPr>
          <xdr:cNvPr id="1918" name="TextBox: Politics defined">
            <a:extLst>
              <a:ext uri="{FF2B5EF4-FFF2-40B4-BE49-F238E27FC236}">
                <a16:creationId xmlns:a16="http://schemas.microsoft.com/office/drawing/2014/main" id="{00000000-0008-0000-0200-00007E070000}"/>
              </a:ext>
            </a:extLst>
          </xdr:cNvPr>
          <xdr:cNvSpPr txBox="1"/>
        </xdr:nvSpPr>
        <xdr:spPr>
          <a:xfrm>
            <a:off x="220980" y="11082019"/>
            <a:ext cx="304800" cy="39370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1200" b="1">
                <a:ln>
                  <a:solidFill>
                    <a:schemeClr val="bg1"/>
                  </a:solidFill>
                </a:ln>
                <a:solidFill>
                  <a:srgbClr val="3C1E5A"/>
                </a:solidFill>
                <a:effectLst/>
                <a:latin typeface="Tahoma" panose="020B0604030504040204" pitchFamily="34" charset="0"/>
                <a:ea typeface="Tahoma" panose="020B0604030504040204" pitchFamily="34" charset="0"/>
                <a:cs typeface="Tahoma" panose="020B0604030504040204" pitchFamily="34" charset="0"/>
              </a:rPr>
              <a:t>1</a:t>
            </a:r>
          </a:p>
        </xdr:txBody>
      </xdr:sp>
      <xdr:sp macro="" textlink="">
        <xdr:nvSpPr>
          <xdr:cNvPr id="1944" name="TextBox: Politics defined">
            <a:extLst>
              <a:ext uri="{FF2B5EF4-FFF2-40B4-BE49-F238E27FC236}">
                <a16:creationId xmlns:a16="http://schemas.microsoft.com/office/drawing/2014/main" id="{00000000-0008-0000-0200-000098070000}"/>
              </a:ext>
            </a:extLst>
          </xdr:cNvPr>
          <xdr:cNvSpPr txBox="1"/>
        </xdr:nvSpPr>
        <xdr:spPr>
          <a:xfrm>
            <a:off x="3116580" y="11051539"/>
            <a:ext cx="304800" cy="39370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1200" b="1">
                <a:ln>
                  <a:solidFill>
                    <a:schemeClr val="bg1"/>
                  </a:solidFill>
                </a:ln>
                <a:solidFill>
                  <a:srgbClr val="3C1E5A"/>
                </a:solidFill>
                <a:effectLst/>
                <a:latin typeface="Tahoma" panose="020B0604030504040204" pitchFamily="34" charset="0"/>
                <a:ea typeface="Tahoma" panose="020B0604030504040204" pitchFamily="34" charset="0"/>
                <a:cs typeface="Tahoma" panose="020B0604030504040204" pitchFamily="34" charset="0"/>
              </a:rPr>
              <a:t>2</a:t>
            </a:r>
          </a:p>
        </xdr:txBody>
      </xdr:sp>
      <xdr:sp macro="" textlink="">
        <xdr:nvSpPr>
          <xdr:cNvPr id="2104" name="TextBox: Politics defined">
            <a:extLst>
              <a:ext uri="{FF2B5EF4-FFF2-40B4-BE49-F238E27FC236}">
                <a16:creationId xmlns:a16="http://schemas.microsoft.com/office/drawing/2014/main" id="{00000000-0008-0000-0200-000038080000}"/>
              </a:ext>
            </a:extLst>
          </xdr:cNvPr>
          <xdr:cNvSpPr txBox="1"/>
        </xdr:nvSpPr>
        <xdr:spPr>
          <a:xfrm>
            <a:off x="2118360" y="11356339"/>
            <a:ext cx="304800" cy="39370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1200" b="1">
                <a:ln>
                  <a:solidFill>
                    <a:schemeClr val="bg1"/>
                  </a:solidFill>
                </a:ln>
                <a:solidFill>
                  <a:srgbClr val="3C1E5A"/>
                </a:solidFill>
                <a:effectLst/>
                <a:latin typeface="Tahoma" panose="020B0604030504040204" pitchFamily="34" charset="0"/>
                <a:ea typeface="Tahoma" panose="020B0604030504040204" pitchFamily="34" charset="0"/>
                <a:cs typeface="Tahoma" panose="020B0604030504040204" pitchFamily="34" charset="0"/>
              </a:rPr>
              <a:t>3</a:t>
            </a:r>
          </a:p>
        </xdr:txBody>
      </xdr:sp>
    </xdr:grpSp>
    <xdr:clientData/>
  </xdr:twoCellAnchor>
  <xdr:twoCellAnchor>
    <xdr:from>
      <xdr:col>1</xdr:col>
      <xdr:colOff>70505</xdr:colOff>
      <xdr:row>1485</xdr:row>
      <xdr:rowOff>91999</xdr:rowOff>
    </xdr:from>
    <xdr:to>
      <xdr:col>2</xdr:col>
      <xdr:colOff>218708</xdr:colOff>
      <xdr:row>1488</xdr:row>
      <xdr:rowOff>142137</xdr:rowOff>
    </xdr:to>
    <xdr:grpSp>
      <xdr:nvGrpSpPr>
        <xdr:cNvPr id="2448" name="Group 2447">
          <a:extLst>
            <a:ext uri="{FF2B5EF4-FFF2-40B4-BE49-F238E27FC236}">
              <a16:creationId xmlns:a16="http://schemas.microsoft.com/office/drawing/2014/main" id="{00000000-0008-0000-0200-000090090000}"/>
            </a:ext>
          </a:extLst>
        </xdr:cNvPr>
        <xdr:cNvGrpSpPr/>
      </xdr:nvGrpSpPr>
      <xdr:grpSpPr>
        <a:xfrm>
          <a:off x="184805" y="291686539"/>
          <a:ext cx="651123" cy="621638"/>
          <a:chOff x="6438900" y="87877029"/>
          <a:chExt cx="645689" cy="621682"/>
        </a:xfrm>
      </xdr:grpSpPr>
      <xdr:sp macro="" textlink="">
        <xdr:nvSpPr>
          <xdr:cNvPr id="2449" name="Oval 2448">
            <a:extLst>
              <a:ext uri="{FF2B5EF4-FFF2-40B4-BE49-F238E27FC236}">
                <a16:creationId xmlns:a16="http://schemas.microsoft.com/office/drawing/2014/main" id="{00000000-0008-0000-0200-000091090000}"/>
              </a:ext>
            </a:extLst>
          </xdr:cNvPr>
          <xdr:cNvSpPr>
            <a:spLocks noChangeAspect="1"/>
          </xdr:cNvSpPr>
        </xdr:nvSpPr>
        <xdr:spPr>
          <a:xfrm>
            <a:off x="6438900" y="88041480"/>
            <a:ext cx="471867" cy="457231"/>
          </a:xfrm>
          <a:prstGeom prst="ellipse">
            <a:avLst/>
          </a:prstGeom>
          <a:gradFill>
            <a:gsLst>
              <a:gs pos="0">
                <a:schemeClr val="accent1">
                  <a:tint val="66000"/>
                  <a:satMod val="160000"/>
                </a:schemeClr>
              </a:gs>
              <a:gs pos="50000">
                <a:schemeClr val="accent1">
                  <a:tint val="44500"/>
                  <a:satMod val="160000"/>
                </a:schemeClr>
              </a:gs>
              <a:gs pos="100000">
                <a:schemeClr val="accent1">
                  <a:tint val="23500"/>
                  <a:satMod val="160000"/>
                </a:schemeClr>
              </a:gs>
            </a:gsLst>
            <a:path path="circle">
              <a:fillToRect l="50000" t="50000" r="50000" b="50000"/>
            </a:path>
          </a:gradFill>
          <a:ln>
            <a:noFill/>
          </a:ln>
          <a:scene3d>
            <a:camera prst="orthographicFront"/>
            <a:lightRig rig="threePt" dir="t"/>
          </a:scene3d>
          <a:sp3d>
            <a:bevelT w="10795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450" name="Rectangle 2449">
            <a:extLst>
              <a:ext uri="{FF2B5EF4-FFF2-40B4-BE49-F238E27FC236}">
                <a16:creationId xmlns:a16="http://schemas.microsoft.com/office/drawing/2014/main" id="{00000000-0008-0000-0200-000092090000}"/>
              </a:ext>
            </a:extLst>
          </xdr:cNvPr>
          <xdr:cNvSpPr/>
        </xdr:nvSpPr>
        <xdr:spPr>
          <a:xfrm>
            <a:off x="6442334" y="87877029"/>
            <a:ext cx="642255" cy="548677"/>
          </a:xfrm>
          <a:prstGeom prst="rect">
            <a:avLst/>
          </a:prstGeom>
          <a:noFill/>
        </xdr:spPr>
        <xdr:txBody>
          <a:bodyPr wrap="none" lIns="91440" tIns="45720" rIns="91440" bIns="45720">
            <a:no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0</xdr:col>
      <xdr:colOff>107399</xdr:colOff>
      <xdr:row>1495</xdr:row>
      <xdr:rowOff>123702</xdr:rowOff>
    </xdr:from>
    <xdr:to>
      <xdr:col>2</xdr:col>
      <xdr:colOff>338680</xdr:colOff>
      <xdr:row>1499</xdr:row>
      <xdr:rowOff>105047</xdr:rowOff>
    </xdr:to>
    <xdr:grpSp>
      <xdr:nvGrpSpPr>
        <xdr:cNvPr id="2451" name="Group 2450">
          <a:extLst>
            <a:ext uri="{FF2B5EF4-FFF2-40B4-BE49-F238E27FC236}">
              <a16:creationId xmlns:a16="http://schemas.microsoft.com/office/drawing/2014/main" id="{00000000-0008-0000-0200-000093090000}"/>
            </a:ext>
          </a:extLst>
        </xdr:cNvPr>
        <xdr:cNvGrpSpPr/>
      </xdr:nvGrpSpPr>
      <xdr:grpSpPr>
        <a:xfrm>
          <a:off x="107399" y="293562282"/>
          <a:ext cx="848501" cy="743345"/>
          <a:chOff x="6361572" y="87885629"/>
          <a:chExt cx="851384" cy="836087"/>
        </a:xfrm>
        <a:gradFill>
          <a:gsLst>
            <a:gs pos="0">
              <a:srgbClr val="FF0000"/>
            </a:gs>
            <a:gs pos="50000">
              <a:srgbClr val="FF9999"/>
            </a:gs>
            <a:gs pos="100000">
              <a:srgbClr val="FFCCCC"/>
            </a:gs>
          </a:gsLst>
          <a:path path="circle">
            <a:fillToRect l="50000" t="50000" r="50000" b="50000"/>
          </a:path>
        </a:gradFill>
      </xdr:grpSpPr>
      <xdr:sp macro="" textlink="">
        <xdr:nvSpPr>
          <xdr:cNvPr id="2452" name="Oval 2451">
            <a:extLst>
              <a:ext uri="{FF2B5EF4-FFF2-40B4-BE49-F238E27FC236}">
                <a16:creationId xmlns:a16="http://schemas.microsoft.com/office/drawing/2014/main" id="{00000000-0008-0000-0200-000094090000}"/>
              </a:ext>
            </a:extLst>
          </xdr:cNvPr>
          <xdr:cNvSpPr>
            <a:spLocks noChangeAspect="1"/>
          </xdr:cNvSpPr>
        </xdr:nvSpPr>
        <xdr:spPr>
          <a:xfrm>
            <a:off x="6438900" y="88041480"/>
            <a:ext cx="458753" cy="514242"/>
          </a:xfrm>
          <a:prstGeom prst="ellipse">
            <a:avLst/>
          </a:prstGeom>
          <a:grp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453" name="Rectangle 2452">
            <a:extLst>
              <a:ext uri="{FF2B5EF4-FFF2-40B4-BE49-F238E27FC236}">
                <a16:creationId xmlns:a16="http://schemas.microsoft.com/office/drawing/2014/main" id="{00000000-0008-0000-0200-000095090000}"/>
              </a:ext>
            </a:extLst>
          </xdr:cNvPr>
          <xdr:cNvSpPr/>
        </xdr:nvSpPr>
        <xdr:spPr>
          <a:xfrm>
            <a:off x="6361572" y="87885629"/>
            <a:ext cx="851384" cy="836087"/>
          </a:xfrm>
          <a:prstGeom prst="rect">
            <a:avLst/>
          </a:prstGeom>
          <a:noFill/>
        </xdr:spPr>
        <xdr:txBody>
          <a:bodyPr wrap="none" lIns="91440" tIns="45720" rIns="91440" bIns="45720">
            <a:sp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1</xdr:col>
      <xdr:colOff>2538</xdr:colOff>
      <xdr:row>1101</xdr:row>
      <xdr:rowOff>17779</xdr:rowOff>
    </xdr:from>
    <xdr:to>
      <xdr:col>6</xdr:col>
      <xdr:colOff>15240</xdr:colOff>
      <xdr:row>1104</xdr:row>
      <xdr:rowOff>7620</xdr:rowOff>
    </xdr:to>
    <xdr:sp macro="" textlink="">
      <xdr:nvSpPr>
        <xdr:cNvPr id="2461" name="TextBox 2460">
          <a:extLst>
            <a:ext uri="{FF2B5EF4-FFF2-40B4-BE49-F238E27FC236}">
              <a16:creationId xmlns:a16="http://schemas.microsoft.com/office/drawing/2014/main" id="{00000000-0008-0000-0200-00009D090000}"/>
            </a:ext>
          </a:extLst>
        </xdr:cNvPr>
        <xdr:cNvSpPr txBox="1"/>
      </xdr:nvSpPr>
      <xdr:spPr>
        <a:xfrm>
          <a:off x="124458" y="209773519"/>
          <a:ext cx="2489202" cy="52324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100" b="0">
              <a:solidFill>
                <a:schemeClr val="accent6">
                  <a:lumMod val="75000"/>
                </a:schemeClr>
              </a:solidFill>
              <a:latin typeface="Tahoma" panose="020B0604030504040204" pitchFamily="34" charset="0"/>
              <a:ea typeface="Tahoma" panose="020B0604030504040204" pitchFamily="34" charset="0"/>
              <a:cs typeface="Tahoma" panose="020B0604030504040204" pitchFamily="34" charset="0"/>
            </a:rPr>
            <a:t>Up until</a:t>
          </a:r>
          <a:r>
            <a:rPr lang="en-US" sz="1100" b="0" baseline="0">
              <a:solidFill>
                <a:schemeClr val="accent6">
                  <a:lumMod val="75000"/>
                </a:schemeClr>
              </a:solidFill>
              <a:latin typeface="Tahoma" panose="020B0604030504040204" pitchFamily="34" charset="0"/>
              <a:ea typeface="Tahoma" panose="020B0604030504040204" pitchFamily="34" charset="0"/>
              <a:cs typeface="Tahoma" panose="020B0604030504040204" pitchFamily="34" charset="0"/>
            </a:rPr>
            <a:t> now, what did you think about the available political sides? Select at right which has best fit your view.</a:t>
          </a:r>
          <a:endParaRPr lang="en-US" sz="1100" b="0">
            <a:solidFill>
              <a:schemeClr val="accent6">
                <a:lumMod val="75000"/>
              </a:schemeClr>
            </a:solidFill>
            <a:latin typeface="Tahoma" panose="020B0604030504040204" pitchFamily="34" charset="0"/>
            <a:ea typeface="Tahoma" panose="020B0604030504040204" pitchFamily="34" charset="0"/>
            <a:cs typeface="Tahoma" panose="020B0604030504040204" pitchFamily="34" charset="0"/>
          </a:endParaRPr>
        </a:p>
        <a:p>
          <a:pPr algn="l"/>
          <a:endParaRPr lang="en-US" sz="105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68580</xdr:colOff>
      <xdr:row>1113</xdr:row>
      <xdr:rowOff>45721</xdr:rowOff>
    </xdr:from>
    <xdr:to>
      <xdr:col>13</xdr:col>
      <xdr:colOff>81282</xdr:colOff>
      <xdr:row>1121</xdr:row>
      <xdr:rowOff>91440</xdr:rowOff>
    </xdr:to>
    <xdr:sp macro="" textlink="">
      <xdr:nvSpPr>
        <xdr:cNvPr id="2464" name="TextBox 2463">
          <a:extLst>
            <a:ext uri="{FF2B5EF4-FFF2-40B4-BE49-F238E27FC236}">
              <a16:creationId xmlns:a16="http://schemas.microsoft.com/office/drawing/2014/main" id="{00000000-0008-0000-0200-0000A0090000}"/>
            </a:ext>
          </a:extLst>
        </xdr:cNvPr>
        <xdr:cNvSpPr txBox="1"/>
      </xdr:nvSpPr>
      <xdr:spPr>
        <a:xfrm>
          <a:off x="68580" y="212003641"/>
          <a:ext cx="6078222" cy="1874519"/>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spcAft>
              <a:spcPts val="600"/>
            </a:spcAft>
          </a:pPr>
          <a:r>
            <a:rPr lang="en-US" sz="1050" b="0" baseline="0">
              <a:solidFill>
                <a:schemeClr val="dk1"/>
              </a:solidFill>
              <a:latin typeface="Tahoma" panose="020B0604030504040204" pitchFamily="34" charset="0"/>
              <a:ea typeface="Tahoma" panose="020B0604030504040204" pitchFamily="34" charset="0"/>
              <a:cs typeface="Tahoma" panose="020B0604030504040204" pitchFamily="34" charset="0"/>
            </a:rPr>
            <a:t>Sometimes the greatest hostilities erupt between members of the same political side. They defy expectation to hold the liberal or conservative consensus together. But if anchored in a particular psychosocial orientation, one that prioritizes their inflexible needs, these hostilities are in vain. </a:t>
          </a:r>
        </a:p>
        <a:p>
          <a:pPr algn="l">
            <a:spcAft>
              <a:spcPts val="600"/>
            </a:spcAft>
          </a:pPr>
          <a:r>
            <a:rPr lang="en-US" sz="1050" b="0" baseline="0">
              <a:solidFill>
                <a:schemeClr val="dk1"/>
              </a:solidFill>
              <a:latin typeface="Tahoma" panose="020B0604030504040204" pitchFamily="34" charset="0"/>
              <a:ea typeface="Tahoma" panose="020B0604030504040204" pitchFamily="34" charset="0"/>
              <a:cs typeface="Tahoma" panose="020B0604030504040204" pitchFamily="34" charset="0"/>
            </a:rPr>
            <a:t>Arguments cannot sway the far left, or the far right, from experiencing their priority of needs. Any more than arguments can persuade a centrist to try an extreme. </a:t>
          </a:r>
          <a:r>
            <a:rPr lang="en-US" sz="1050" b="0" i="1" baseline="0">
              <a:solidFill>
                <a:schemeClr val="dk1"/>
              </a:solidFill>
              <a:effectLst>
                <a:glow rad="25400">
                  <a:srgbClr val="2D143C">
                    <a:alpha val="20000"/>
                  </a:srgbClr>
                </a:glow>
              </a:effectLst>
              <a:latin typeface="Tahoma" panose="020B0604030504040204" pitchFamily="34" charset="0"/>
              <a:ea typeface="Tahoma" panose="020B0604030504040204" pitchFamily="34" charset="0"/>
              <a:cs typeface="Tahoma" panose="020B0604030504040204" pitchFamily="34" charset="0"/>
            </a:rPr>
            <a:t>Social conditions more than personal choices prioritize psychosocial needs</a:t>
          </a:r>
          <a:r>
            <a:rPr lang="en-US" sz="1050" b="0" baseline="0">
              <a:solidFill>
                <a:schemeClr val="dk1"/>
              </a:solidFill>
              <a:latin typeface="Tahoma" panose="020B0604030504040204" pitchFamily="34" charset="0"/>
              <a:ea typeface="Tahoma" panose="020B0604030504040204" pitchFamily="34" charset="0"/>
              <a:cs typeface="Tahoma" panose="020B0604030504040204" pitchFamily="34" charset="0"/>
            </a:rPr>
            <a:t>, which then shapes their orientation. Not debates.</a:t>
          </a:r>
          <a:endParaRPr lang="en-US" sz="1050" b="0">
            <a:latin typeface="Tahoma" panose="020B0604030504040204" pitchFamily="34" charset="0"/>
            <a:ea typeface="Tahoma" panose="020B0604030504040204" pitchFamily="34" charset="0"/>
            <a:cs typeface="Tahoma" panose="020B0604030504040204" pitchFamily="34" charset="0"/>
          </a:endParaRPr>
        </a:p>
        <a:p>
          <a:pPr algn="l">
            <a:spcAft>
              <a:spcPts val="600"/>
            </a:spcAft>
          </a:pPr>
          <a:r>
            <a:rPr lang="en-US" sz="1050" b="0">
              <a:latin typeface="Tahoma" panose="020B0604030504040204" pitchFamily="34" charset="0"/>
              <a:ea typeface="Tahoma" panose="020B0604030504040204" pitchFamily="34" charset="0"/>
              <a:cs typeface="Tahoma" panose="020B0604030504040204" pitchFamily="34" charset="0"/>
            </a:rPr>
            <a:t>The</a:t>
          </a:r>
          <a:r>
            <a:rPr lang="en-US" sz="1050" b="0" baseline="0">
              <a:latin typeface="Tahoma" panose="020B0604030504040204" pitchFamily="34" charset="0"/>
              <a:ea typeface="Tahoma" panose="020B0604030504040204" pitchFamily="34" charset="0"/>
              <a:cs typeface="Tahoma" panose="020B0604030504040204" pitchFamily="34" charset="0"/>
            </a:rPr>
            <a:t> more your social conditions painfully undermine your </a:t>
          </a:r>
          <a:r>
            <a:rPr lang="en-US" sz="1050" b="0" i="1" baseline="0">
              <a:latin typeface="Tahoma" panose="020B0604030504040204" pitchFamily="34" charset="0"/>
              <a:ea typeface="Tahoma" panose="020B0604030504040204" pitchFamily="34" charset="0"/>
              <a:cs typeface="Tahoma" panose="020B0604030504040204" pitchFamily="34" charset="0"/>
            </a:rPr>
            <a:t>less resolved social-needs</a:t>
          </a:r>
          <a:r>
            <a:rPr lang="en-US" sz="1050" b="0" baseline="0">
              <a:latin typeface="Tahoma" panose="020B0604030504040204" pitchFamily="34" charset="0"/>
              <a:ea typeface="Tahoma" panose="020B0604030504040204" pitchFamily="34" charset="0"/>
              <a:cs typeface="Tahoma" panose="020B0604030504040204" pitchFamily="34" charset="0"/>
            </a:rPr>
            <a:t>, the </a:t>
          </a:r>
          <a:r>
            <a:rPr lang="en-US" sz="1050" b="1" i="0" baseline="0">
              <a:latin typeface="Tahoma" panose="020B0604030504040204" pitchFamily="34" charset="0"/>
              <a:ea typeface="Tahoma" panose="020B0604030504040204" pitchFamily="34" charset="0"/>
              <a:cs typeface="Tahoma" panose="020B0604030504040204" pitchFamily="34" charset="0"/>
            </a:rPr>
            <a:t>wider</a:t>
          </a:r>
          <a:r>
            <a:rPr lang="en-US" sz="1050" b="0" baseline="0">
              <a:latin typeface="Tahoma" panose="020B0604030504040204" pitchFamily="34" charset="0"/>
              <a:ea typeface="Tahoma" panose="020B0604030504040204" pitchFamily="34" charset="0"/>
              <a:cs typeface="Tahoma" panose="020B0604030504040204" pitchFamily="34" charset="0"/>
            </a:rPr>
            <a:t> your focus for their </a:t>
          </a:r>
          <a:r>
            <a:rPr lang="en-US" sz="1050" b="1" i="1" baseline="0">
              <a:latin typeface="Tahoma" panose="020B0604030504040204" pitchFamily="34" charset="0"/>
              <a:ea typeface="Tahoma" panose="020B0604030504040204" pitchFamily="34" charset="0"/>
              <a:cs typeface="Tahoma" panose="020B0604030504040204" pitchFamily="34" charset="0"/>
            </a:rPr>
            <a:t>relief</a:t>
          </a:r>
          <a:r>
            <a:rPr lang="en-US" sz="1050" b="0" baseline="0">
              <a:latin typeface="Tahoma" panose="020B0604030504040204" pitchFamily="34" charset="0"/>
              <a:ea typeface="Tahoma" panose="020B0604030504040204" pitchFamily="34" charset="0"/>
              <a:cs typeface="Tahoma" panose="020B0604030504040204" pitchFamily="34" charset="0"/>
            </a:rPr>
            <a:t>. The more your social conditions painfully encroach on your </a:t>
          </a:r>
          <a:r>
            <a:rPr lang="en-US" sz="1050" b="0" i="1" baseline="0">
              <a:latin typeface="Tahoma" panose="020B0604030504040204" pitchFamily="34" charset="0"/>
              <a:ea typeface="Tahoma" panose="020B0604030504040204" pitchFamily="34" charset="0"/>
              <a:cs typeface="Tahoma" panose="020B0604030504040204" pitchFamily="34" charset="0"/>
            </a:rPr>
            <a:t>more resolved social-needs</a:t>
          </a:r>
          <a:r>
            <a:rPr lang="en-US" sz="1050" b="0" baseline="0">
              <a:latin typeface="Tahoma" panose="020B0604030504040204" pitchFamily="34" charset="0"/>
              <a:ea typeface="Tahoma" panose="020B0604030504040204" pitchFamily="34" charset="0"/>
              <a:cs typeface="Tahoma" panose="020B0604030504040204" pitchFamily="34" charset="0"/>
            </a:rPr>
            <a:t>, the </a:t>
          </a:r>
          <a:r>
            <a:rPr lang="en-US" sz="1050" b="1" i="0" baseline="0">
              <a:latin typeface="Tahoma" panose="020B0604030504040204" pitchFamily="34" charset="0"/>
              <a:ea typeface="Tahoma" panose="020B0604030504040204" pitchFamily="34" charset="0"/>
              <a:cs typeface="Tahoma" panose="020B0604030504040204" pitchFamily="34" charset="0"/>
            </a:rPr>
            <a:t>deeper</a:t>
          </a:r>
          <a:r>
            <a:rPr lang="en-US" sz="1050" b="0" baseline="0">
              <a:latin typeface="Tahoma" panose="020B0604030504040204" pitchFamily="34" charset="0"/>
              <a:ea typeface="Tahoma" panose="020B0604030504040204" pitchFamily="34" charset="0"/>
              <a:cs typeface="Tahoma" panose="020B0604030504040204" pitchFamily="34" charset="0"/>
            </a:rPr>
            <a:t> your focus to </a:t>
          </a:r>
          <a:r>
            <a:rPr lang="en-US" sz="1050" b="1" i="1" baseline="0">
              <a:latin typeface="Tahoma" panose="020B0604030504040204" pitchFamily="34" charset="0"/>
              <a:ea typeface="Tahoma" panose="020B0604030504040204" pitchFamily="34" charset="0"/>
              <a:cs typeface="Tahoma" panose="020B0604030504040204" pitchFamily="34" charset="0"/>
            </a:rPr>
            <a:t>guard</a:t>
          </a:r>
          <a:r>
            <a:rPr lang="en-US" sz="1050" b="0" baseline="0">
              <a:latin typeface="Tahoma" panose="020B0604030504040204" pitchFamily="34" charset="0"/>
              <a:ea typeface="Tahoma" panose="020B0604030504040204" pitchFamily="34" charset="0"/>
              <a:cs typeface="Tahoma" panose="020B0604030504040204" pitchFamily="34" charset="0"/>
            </a:rPr>
            <a:t> them. But like an iceberg, you keep your vulnerable needs hidden beneath the surface of guarded political expressions.</a:t>
          </a:r>
        </a:p>
        <a:p>
          <a:pPr algn="l"/>
          <a:endParaRPr lang="en-US" sz="1050" b="0">
            <a:latin typeface="Tahoma" panose="020B0604030504040204" pitchFamily="34" charset="0"/>
            <a:ea typeface="Tahoma" panose="020B0604030504040204" pitchFamily="34" charset="0"/>
            <a:cs typeface="Tahoma" panose="020B0604030504040204" pitchFamily="34" charset="0"/>
          </a:endParaRPr>
        </a:p>
        <a:p>
          <a:pPr algn="l"/>
          <a:endParaRPr lang="en-US" sz="105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93978</xdr:colOff>
      <xdr:row>1137</xdr:row>
      <xdr:rowOff>208279</xdr:rowOff>
    </xdr:from>
    <xdr:to>
      <xdr:col>6</xdr:col>
      <xdr:colOff>457200</xdr:colOff>
      <xdr:row>1140</xdr:row>
      <xdr:rowOff>45720</xdr:rowOff>
    </xdr:to>
    <xdr:sp macro="" textlink="">
      <xdr:nvSpPr>
        <xdr:cNvPr id="1962" name="TextBox 1961">
          <a:extLst>
            <a:ext uri="{FF2B5EF4-FFF2-40B4-BE49-F238E27FC236}">
              <a16:creationId xmlns:a16="http://schemas.microsoft.com/office/drawing/2014/main" id="{00000000-0008-0000-0200-0000AA070000}"/>
            </a:ext>
          </a:extLst>
        </xdr:cNvPr>
        <xdr:cNvSpPr txBox="1"/>
      </xdr:nvSpPr>
      <xdr:spPr>
        <a:xfrm>
          <a:off x="93978" y="217965019"/>
          <a:ext cx="2961642" cy="4394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50" b="0">
              <a:latin typeface="Tahoma" panose="020B0604030504040204" pitchFamily="34" charset="0"/>
              <a:ea typeface="Tahoma" panose="020B0604030504040204" pitchFamily="34" charset="0"/>
              <a:cs typeface="Tahoma" panose="020B0604030504040204" pitchFamily="34" charset="0"/>
            </a:rPr>
            <a:t>Up until</a:t>
          </a:r>
          <a:r>
            <a:rPr lang="en-US" sz="1050" b="0" baseline="0">
              <a:latin typeface="Tahoma" panose="020B0604030504040204" pitchFamily="34" charset="0"/>
              <a:ea typeface="Tahoma" panose="020B0604030504040204" pitchFamily="34" charset="0"/>
              <a:cs typeface="Tahoma" panose="020B0604030504040204" pitchFamily="34" charset="0"/>
            </a:rPr>
            <a:t> now, who do you fault the most for political polarization?</a:t>
          </a:r>
          <a:endParaRPr lang="en-US" sz="100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93978</xdr:colOff>
      <xdr:row>1139</xdr:row>
      <xdr:rowOff>147319</xdr:rowOff>
    </xdr:from>
    <xdr:to>
      <xdr:col>6</xdr:col>
      <xdr:colOff>373380</xdr:colOff>
      <xdr:row>1142</xdr:row>
      <xdr:rowOff>45720</xdr:rowOff>
    </xdr:to>
    <xdr:sp macro="" textlink="">
      <xdr:nvSpPr>
        <xdr:cNvPr id="2198" name="TextBox 2197">
          <a:extLst>
            <a:ext uri="{FF2B5EF4-FFF2-40B4-BE49-F238E27FC236}">
              <a16:creationId xmlns:a16="http://schemas.microsoft.com/office/drawing/2014/main" id="{00000000-0008-0000-0200-000096080000}"/>
            </a:ext>
          </a:extLst>
        </xdr:cNvPr>
        <xdr:cNvSpPr txBox="1"/>
      </xdr:nvSpPr>
      <xdr:spPr>
        <a:xfrm>
          <a:off x="93978" y="218323159"/>
          <a:ext cx="2877822" cy="4394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50" b="0">
              <a:latin typeface="Tahoma" panose="020B0604030504040204" pitchFamily="34" charset="0"/>
              <a:ea typeface="Tahoma" panose="020B0604030504040204" pitchFamily="34" charset="0"/>
              <a:cs typeface="Tahoma" panose="020B0604030504040204" pitchFamily="34" charset="0"/>
            </a:rPr>
            <a:t>Besides these</a:t>
          </a:r>
          <a:r>
            <a:rPr lang="en-US" sz="1050" b="0" baseline="0">
              <a:latin typeface="Tahoma" panose="020B0604030504040204" pitchFamily="34" charset="0"/>
              <a:ea typeface="Tahoma" panose="020B0604030504040204" pitchFamily="34" charset="0"/>
              <a:cs typeface="Tahoma" panose="020B0604030504040204" pitchFamily="34" charset="0"/>
            </a:rPr>
            <a:t>, who do you fault the most for political polarization?</a:t>
          </a:r>
          <a:endParaRPr lang="en-US" sz="100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63498</xdr:colOff>
      <xdr:row>1174</xdr:row>
      <xdr:rowOff>116839</xdr:rowOff>
    </xdr:from>
    <xdr:to>
      <xdr:col>5</xdr:col>
      <xdr:colOff>251460</xdr:colOff>
      <xdr:row>1177</xdr:row>
      <xdr:rowOff>22860</xdr:rowOff>
    </xdr:to>
    <xdr:sp macro="" textlink="">
      <xdr:nvSpPr>
        <xdr:cNvPr id="2220" name="TextBox 2219">
          <a:extLst>
            <a:ext uri="{FF2B5EF4-FFF2-40B4-BE49-F238E27FC236}">
              <a16:creationId xmlns:a16="http://schemas.microsoft.com/office/drawing/2014/main" id="{00000000-0008-0000-0200-0000AC080000}"/>
            </a:ext>
          </a:extLst>
        </xdr:cNvPr>
        <xdr:cNvSpPr txBox="1"/>
      </xdr:nvSpPr>
      <xdr:spPr>
        <a:xfrm>
          <a:off x="63498" y="226171759"/>
          <a:ext cx="2291082" cy="44704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00" b="0">
              <a:solidFill>
                <a:schemeClr val="accent6">
                  <a:lumMod val="50000"/>
                </a:schemeClr>
              </a:solidFill>
              <a:latin typeface="Tahoma" panose="020B0604030504040204" pitchFamily="34" charset="0"/>
              <a:ea typeface="Tahoma" panose="020B0604030504040204" pitchFamily="34" charset="0"/>
              <a:cs typeface="Tahoma" panose="020B0604030504040204" pitchFamily="34" charset="0"/>
            </a:rPr>
            <a:t>How well do you trust politics to respect</a:t>
          </a:r>
          <a:r>
            <a:rPr lang="en-US" sz="1100" b="0" baseline="0">
              <a:solidFill>
                <a:schemeClr val="accent6">
                  <a:lumMod val="50000"/>
                </a:schemeClr>
              </a:solidFill>
              <a:latin typeface="Tahoma" panose="020B0604030504040204" pitchFamily="34" charset="0"/>
              <a:ea typeface="Tahoma" panose="020B0604030504040204" pitchFamily="34" charset="0"/>
              <a:cs typeface="Tahoma" panose="020B0604030504040204" pitchFamily="34" charset="0"/>
            </a:rPr>
            <a:t> your politicized needs?</a:t>
          </a:r>
          <a:endParaRPr lang="en-US" sz="1050" b="0">
            <a:solidFill>
              <a:schemeClr val="accent6">
                <a:lumMod val="50000"/>
              </a:schemeClr>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33018</xdr:colOff>
      <xdr:row>1151</xdr:row>
      <xdr:rowOff>55879</xdr:rowOff>
    </xdr:from>
    <xdr:to>
      <xdr:col>13</xdr:col>
      <xdr:colOff>53340</xdr:colOff>
      <xdr:row>1160</xdr:row>
      <xdr:rowOff>22860</xdr:rowOff>
    </xdr:to>
    <xdr:grpSp>
      <xdr:nvGrpSpPr>
        <xdr:cNvPr id="10" name="Group 9">
          <a:extLst>
            <a:ext uri="{FF2B5EF4-FFF2-40B4-BE49-F238E27FC236}">
              <a16:creationId xmlns:a16="http://schemas.microsoft.com/office/drawing/2014/main" id="{00000000-0008-0000-0200-00000A000000}"/>
            </a:ext>
          </a:extLst>
        </xdr:cNvPr>
        <xdr:cNvGrpSpPr/>
      </xdr:nvGrpSpPr>
      <xdr:grpSpPr>
        <a:xfrm>
          <a:off x="33018" y="229562659"/>
          <a:ext cx="6169662" cy="1879601"/>
          <a:chOff x="10158" y="220502478"/>
          <a:chExt cx="6085842" cy="1902461"/>
        </a:xfrm>
      </xdr:grpSpPr>
      <xdr:sp macro="" textlink="">
        <xdr:nvSpPr>
          <xdr:cNvPr id="2245" name="TextBox 2244">
            <a:extLst>
              <a:ext uri="{FF2B5EF4-FFF2-40B4-BE49-F238E27FC236}">
                <a16:creationId xmlns:a16="http://schemas.microsoft.com/office/drawing/2014/main" id="{00000000-0008-0000-0200-0000C5080000}"/>
              </a:ext>
            </a:extLst>
          </xdr:cNvPr>
          <xdr:cNvSpPr txBox="1"/>
        </xdr:nvSpPr>
        <xdr:spPr>
          <a:xfrm>
            <a:off x="10158" y="220502478"/>
            <a:ext cx="6085842" cy="190246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50" b="0">
                <a:latin typeface="Tahoma" panose="020B0604030504040204" pitchFamily="34" charset="0"/>
                <a:ea typeface="Tahoma" panose="020B0604030504040204" pitchFamily="34" charset="0"/>
                <a:cs typeface="Tahoma" panose="020B0604030504040204" pitchFamily="34" charset="0"/>
              </a:rPr>
              <a:t>SWOT stands for 1) </a:t>
            </a:r>
            <a:r>
              <a:rPr lang="en-US" sz="1050" b="1">
                <a:latin typeface="Tahoma" panose="020B0604030504040204" pitchFamily="34" charset="0"/>
                <a:ea typeface="Tahoma" panose="020B0604030504040204" pitchFamily="34" charset="0"/>
                <a:cs typeface="Tahoma" panose="020B0604030504040204" pitchFamily="34" charset="0"/>
              </a:rPr>
              <a:t>s</a:t>
            </a:r>
            <a:r>
              <a:rPr lang="en-US" sz="1050" b="0">
                <a:latin typeface="Tahoma" panose="020B0604030504040204" pitchFamily="34" charset="0"/>
                <a:ea typeface="Tahoma" panose="020B0604030504040204" pitchFamily="34" charset="0"/>
                <a:cs typeface="Tahoma" panose="020B0604030504040204" pitchFamily="34" charset="0"/>
              </a:rPr>
              <a:t>trengths, 2) </a:t>
            </a:r>
            <a:r>
              <a:rPr lang="en-US" sz="1050" b="1">
                <a:latin typeface="Tahoma" panose="020B0604030504040204" pitchFamily="34" charset="0"/>
                <a:ea typeface="Tahoma" panose="020B0604030504040204" pitchFamily="34" charset="0"/>
                <a:cs typeface="Tahoma" panose="020B0604030504040204" pitchFamily="34" charset="0"/>
              </a:rPr>
              <a:t>w</a:t>
            </a:r>
            <a:r>
              <a:rPr lang="en-US" sz="1050" b="0">
                <a:latin typeface="Tahoma" panose="020B0604030504040204" pitchFamily="34" charset="0"/>
                <a:ea typeface="Tahoma" panose="020B0604030504040204" pitchFamily="34" charset="0"/>
                <a:cs typeface="Tahoma" panose="020B0604030504040204" pitchFamily="34" charset="0"/>
              </a:rPr>
              <a:t>eaknesses, 3) </a:t>
            </a:r>
            <a:r>
              <a:rPr lang="en-US" sz="1050" b="1">
                <a:latin typeface="Tahoma" panose="020B0604030504040204" pitchFamily="34" charset="0"/>
                <a:ea typeface="Tahoma" panose="020B0604030504040204" pitchFamily="34" charset="0"/>
                <a:cs typeface="Tahoma" panose="020B0604030504040204" pitchFamily="34" charset="0"/>
              </a:rPr>
              <a:t>o</a:t>
            </a:r>
            <a:r>
              <a:rPr lang="en-US" sz="1050" b="0">
                <a:latin typeface="Tahoma" panose="020B0604030504040204" pitchFamily="34" charset="0"/>
                <a:ea typeface="Tahoma" panose="020B0604030504040204" pitchFamily="34" charset="0"/>
                <a:cs typeface="Tahoma" panose="020B0604030504040204" pitchFamily="34" charset="0"/>
              </a:rPr>
              <a:t>pportunities,</a:t>
            </a:r>
            <a:r>
              <a:rPr lang="en-US" sz="1050" b="0" baseline="0">
                <a:latin typeface="Tahoma" panose="020B0604030504040204" pitchFamily="34" charset="0"/>
                <a:ea typeface="Tahoma" panose="020B0604030504040204" pitchFamily="34" charset="0"/>
                <a:cs typeface="Tahoma" panose="020B0604030504040204" pitchFamily="34" charset="0"/>
              </a:rPr>
              <a:t> and 4) </a:t>
            </a:r>
            <a:r>
              <a:rPr lang="en-US" sz="1050" b="1" baseline="0">
                <a:latin typeface="Tahoma" panose="020B0604030504040204" pitchFamily="34" charset="0"/>
                <a:ea typeface="Tahoma" panose="020B0604030504040204" pitchFamily="34" charset="0"/>
                <a:cs typeface="Tahoma" panose="020B0604030504040204" pitchFamily="34" charset="0"/>
              </a:rPr>
              <a:t>t</a:t>
            </a:r>
            <a:r>
              <a:rPr lang="en-US" sz="1050" b="0" baseline="0">
                <a:latin typeface="Tahoma" panose="020B0604030504040204" pitchFamily="34" charset="0"/>
                <a:ea typeface="Tahoma" panose="020B0604030504040204" pitchFamily="34" charset="0"/>
                <a:cs typeface="Tahoma" panose="020B0604030504040204" pitchFamily="34" charset="0"/>
              </a:rPr>
              <a:t>hreats. It is a popular analysis tool for enterprises to look inward and outward at both the good and bad. By looking inward and outward, it can capture the psychosocial dynamics affecting your politicized needs.</a:t>
            </a:r>
          </a:p>
          <a:p>
            <a:pPr algn="l"/>
            <a:endParaRPr lang="en-US" sz="1100" b="0" baseline="0">
              <a:latin typeface="Tahoma" panose="020B0604030504040204" pitchFamily="34" charset="0"/>
              <a:ea typeface="Tahoma" panose="020B0604030504040204" pitchFamily="34" charset="0"/>
              <a:cs typeface="Tahoma" panose="020B0604030504040204" pitchFamily="34" charset="0"/>
            </a:endParaRPr>
          </a:p>
          <a:p>
            <a:pPr algn="l"/>
            <a:r>
              <a:rPr lang="en-US" sz="1100" b="0" baseline="0">
                <a:latin typeface="Tahoma" panose="020B0604030504040204" pitchFamily="34" charset="0"/>
                <a:ea typeface="Tahoma" panose="020B0604030504040204" pitchFamily="34" charset="0"/>
                <a:cs typeface="Tahoma" panose="020B0604030504040204" pitchFamily="34" charset="0"/>
              </a:rPr>
              <a:t>The </a:t>
            </a:r>
            <a:r>
              <a:rPr lang="en-US" sz="1100" b="1" i="0" spc="50" baseline="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rPr>
              <a:t>wide-oriented</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generally </a:t>
            </a:r>
            <a:r>
              <a:rPr lang="en-US" sz="1100" b="1" i="1" baseline="0">
                <a:latin typeface="Tahoma" panose="020B0604030504040204" pitchFamily="34" charset="0"/>
                <a:ea typeface="Tahoma" panose="020B0604030504040204" pitchFamily="34" charset="0"/>
                <a:cs typeface="Tahoma" panose="020B0604030504040204" pitchFamily="34" charset="0"/>
              </a:rPr>
              <a:t>guard</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more resolved </a:t>
            </a:r>
            <a:r>
              <a:rPr lang="en-US" sz="1100" b="0" i="1" baseline="0">
                <a:ln>
                  <a:solidFill>
                    <a:schemeClr val="accent6">
                      <a:lumMod val="50000"/>
                    </a:schemeClr>
                  </a:solidFill>
                </a:ln>
                <a:solidFill>
                  <a:srgbClr val="00B050"/>
                </a:solidFill>
                <a:latin typeface="Tahoma" panose="020B0604030504040204" pitchFamily="34" charset="0"/>
                <a:ea typeface="Tahoma" panose="020B0604030504040204" pitchFamily="34" charset="0"/>
                <a:cs typeface="Tahoma" panose="020B0604030504040204" pitchFamily="34" charset="0"/>
              </a:rPr>
              <a:t>self-needs</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while trying to </a:t>
            </a:r>
            <a:r>
              <a:rPr lang="en-US" sz="1100" b="1" i="1" baseline="0">
                <a:latin typeface="Tahoma" panose="020B0604030504040204" pitchFamily="34" charset="0"/>
                <a:ea typeface="Tahoma" panose="020B0604030504040204" pitchFamily="34" charset="0"/>
                <a:cs typeface="Tahoma" panose="020B0604030504040204" pitchFamily="34" charset="0"/>
              </a:rPr>
              <a:t>relieve</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less resolved </a:t>
            </a:r>
            <a:r>
              <a:rPr lang="en-US" sz="1100" b="0" i="1" baseline="0">
                <a:ln>
                  <a:solidFill>
                    <a:srgbClr val="3C1E5A"/>
                  </a:solidFill>
                </a:ln>
                <a:solidFill>
                  <a:srgbClr val="7030A0"/>
                </a:solidFill>
                <a:latin typeface="Tahoma" panose="020B0604030504040204" pitchFamily="34" charset="0"/>
                <a:ea typeface="Tahoma" panose="020B0604030504040204" pitchFamily="34" charset="0"/>
                <a:cs typeface="Tahoma" panose="020B0604030504040204" pitchFamily="34" charset="0"/>
              </a:rPr>
              <a:t>social-needs</a:t>
            </a:r>
            <a:r>
              <a:rPr lang="en-US" sz="1100" b="0" baseline="0">
                <a:latin typeface="Tahoma" panose="020B0604030504040204" pitchFamily="34" charset="0"/>
                <a:ea typeface="Tahoma" panose="020B0604030504040204" pitchFamily="34" charset="0"/>
                <a:cs typeface="Tahoma" panose="020B0604030504040204" pitchFamily="34" charset="0"/>
              </a:rPr>
              <a:t>. </a:t>
            </a:r>
          </a:p>
          <a:p>
            <a:pPr algn="l"/>
            <a:r>
              <a:rPr lang="en-US" sz="1100" b="0" baseline="0">
                <a:latin typeface="Tahoma" panose="020B0604030504040204" pitchFamily="34" charset="0"/>
                <a:ea typeface="Tahoma" panose="020B0604030504040204" pitchFamily="34" charset="0"/>
                <a:cs typeface="Tahoma" panose="020B0604030504040204" pitchFamily="34" charset="0"/>
              </a:rPr>
              <a:t>The </a:t>
            </a:r>
            <a:r>
              <a:rPr lang="en-US" sz="1100" b="1" i="0" spc="50" baseline="0">
                <a:ln>
                  <a:solidFill>
                    <a:srgbClr val="C00000"/>
                  </a:solidFill>
                </a:ln>
                <a:solidFill>
                  <a:srgbClr val="FF7171"/>
                </a:solidFill>
                <a:latin typeface="Tahoma" panose="020B0604030504040204" pitchFamily="34" charset="0"/>
                <a:ea typeface="Tahoma" panose="020B0604030504040204" pitchFamily="34" charset="0"/>
                <a:cs typeface="Tahoma" panose="020B0604030504040204" pitchFamily="34" charset="0"/>
              </a:rPr>
              <a:t>deep-oriented</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generally </a:t>
            </a:r>
            <a:r>
              <a:rPr lang="en-US" sz="1100" b="1" i="1" baseline="0">
                <a:latin typeface="Tahoma" panose="020B0604030504040204" pitchFamily="34" charset="0"/>
                <a:ea typeface="Tahoma" panose="020B0604030504040204" pitchFamily="34" charset="0"/>
                <a:cs typeface="Tahoma" panose="020B0604030504040204" pitchFamily="34" charset="0"/>
              </a:rPr>
              <a:t>guard</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more resolved </a:t>
            </a:r>
            <a:r>
              <a:rPr lang="en-US" sz="1100" b="0" i="1" baseline="0">
                <a:ln>
                  <a:solidFill>
                    <a:srgbClr val="3C1E5A"/>
                  </a:solidFill>
                </a:ln>
                <a:solidFill>
                  <a:srgbClr val="7030A0"/>
                </a:solidFill>
                <a:latin typeface="Tahoma" panose="020B0604030504040204" pitchFamily="34" charset="0"/>
                <a:ea typeface="Tahoma" panose="020B0604030504040204" pitchFamily="34" charset="0"/>
                <a:cs typeface="Tahoma" panose="020B0604030504040204" pitchFamily="34" charset="0"/>
              </a:rPr>
              <a:t>social-needs</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while trying to </a:t>
            </a:r>
            <a:r>
              <a:rPr lang="en-US" sz="1100" b="1" i="1" baseline="0">
                <a:latin typeface="Tahoma" panose="020B0604030504040204" pitchFamily="34" charset="0"/>
                <a:ea typeface="Tahoma" panose="020B0604030504040204" pitchFamily="34" charset="0"/>
                <a:cs typeface="Tahoma" panose="020B0604030504040204" pitchFamily="34" charset="0"/>
              </a:rPr>
              <a:t>relieve</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less resolved </a:t>
            </a:r>
            <a:r>
              <a:rPr lang="en-US" sz="1100" b="0" i="1" baseline="0">
                <a:ln>
                  <a:solidFill>
                    <a:schemeClr val="accent6">
                      <a:lumMod val="50000"/>
                    </a:schemeClr>
                  </a:solidFill>
                </a:ln>
                <a:solidFill>
                  <a:srgbClr val="00B050"/>
                </a:solidFill>
                <a:latin typeface="Tahoma" panose="020B0604030504040204" pitchFamily="34" charset="0"/>
                <a:ea typeface="Tahoma" panose="020B0604030504040204" pitchFamily="34" charset="0"/>
                <a:cs typeface="Tahoma" panose="020B0604030504040204" pitchFamily="34" charset="0"/>
              </a:rPr>
              <a:t>self-needs</a:t>
            </a:r>
            <a:r>
              <a:rPr lang="en-US" sz="1100" b="0" baseline="0">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2248" name="TextBox 2247">
            <a:extLst>
              <a:ext uri="{FF2B5EF4-FFF2-40B4-BE49-F238E27FC236}">
                <a16:creationId xmlns:a16="http://schemas.microsoft.com/office/drawing/2014/main" id="{00000000-0008-0000-0200-0000C8080000}"/>
              </a:ext>
            </a:extLst>
          </xdr:cNvPr>
          <xdr:cNvSpPr txBox="1"/>
        </xdr:nvSpPr>
        <xdr:spPr>
          <a:xfrm>
            <a:off x="4168140" y="221195899"/>
            <a:ext cx="1905000" cy="11633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00" b="0" baseline="0">
                <a:latin typeface="Tahoma" panose="020B0604030504040204" pitchFamily="34" charset="0"/>
                <a:ea typeface="Tahoma" panose="020B0604030504040204" pitchFamily="34" charset="0"/>
                <a:cs typeface="Tahoma" panose="020B0604030504040204" pitchFamily="34" charset="0"/>
              </a:rPr>
              <a:t>This contrasting distinction provides the basis for this SWOT tool. You can use it to determine which is the stronger and the weaker </a:t>
            </a:r>
            <a:r>
              <a:rPr lang="en-US" sz="1100" b="0" spc="-20" baseline="0">
                <a:latin typeface="Tahoma" panose="020B0604030504040204" pitchFamily="34" charset="0"/>
                <a:ea typeface="Tahoma" panose="020B0604030504040204" pitchFamily="34" charset="0"/>
                <a:cs typeface="Tahoma" panose="020B0604030504040204" pitchFamily="34" charset="0"/>
              </a:rPr>
              <a:t>political claim on each side.</a:t>
            </a:r>
          </a:p>
        </xdr:txBody>
      </xdr:sp>
    </xdr:grpSp>
    <xdr:clientData/>
  </xdr:twoCellAnchor>
  <xdr:twoCellAnchor>
    <xdr:from>
      <xdr:col>0</xdr:col>
      <xdr:colOff>68580</xdr:colOff>
      <xdr:row>1075</xdr:row>
      <xdr:rowOff>368299</xdr:rowOff>
    </xdr:from>
    <xdr:to>
      <xdr:col>7</xdr:col>
      <xdr:colOff>381000</xdr:colOff>
      <xdr:row>1077</xdr:row>
      <xdr:rowOff>38100</xdr:rowOff>
    </xdr:to>
    <xdr:sp macro="" textlink="">
      <xdr:nvSpPr>
        <xdr:cNvPr id="2257" name="TextBox 2256">
          <a:extLst>
            <a:ext uri="{FF2B5EF4-FFF2-40B4-BE49-F238E27FC236}">
              <a16:creationId xmlns:a16="http://schemas.microsoft.com/office/drawing/2014/main" id="{00000000-0008-0000-0200-0000D1080000}"/>
            </a:ext>
          </a:extLst>
        </xdr:cNvPr>
        <xdr:cNvSpPr txBox="1"/>
      </xdr:nvSpPr>
      <xdr:spPr>
        <a:xfrm>
          <a:off x="68580" y="203487019"/>
          <a:ext cx="3406140" cy="264161"/>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latin typeface="Arial" panose="020B0604020202020204" pitchFamily="34" charset="0"/>
              <a:ea typeface="Tahoma" panose="020B0604030504040204" pitchFamily="34" charset="0"/>
              <a:cs typeface="Arial" panose="020B0604020202020204" pitchFamily="34" charset="0"/>
            </a:rPr>
            <a:t>This is what </a:t>
          </a:r>
          <a:r>
            <a:rPr lang="en-US" sz="1100" b="1" baseline="0">
              <a:solidFill>
                <a:schemeClr val="dk1"/>
              </a:solidFill>
              <a:latin typeface="Arial" panose="020B0604020202020204" pitchFamily="34" charset="0"/>
              <a:ea typeface="Tahoma" panose="020B0604030504040204" pitchFamily="34" charset="0"/>
              <a:cs typeface="Arial" panose="020B0604020202020204" pitchFamily="34" charset="0"/>
            </a:rPr>
            <a:t>mature responsiveness </a:t>
          </a:r>
          <a:r>
            <a:rPr lang="en-US" sz="1100" b="0" baseline="0">
              <a:solidFill>
                <a:schemeClr val="dk1"/>
              </a:solidFill>
              <a:latin typeface="Arial" panose="020B0604020202020204" pitchFamily="34" charset="0"/>
              <a:ea typeface="Tahoma" panose="020B0604030504040204" pitchFamily="34" charset="0"/>
              <a:cs typeface="Arial" panose="020B0604020202020204" pitchFamily="34" charset="0"/>
            </a:rPr>
            <a:t>can look like</a:t>
          </a:r>
          <a:endParaRPr lang="en-US" sz="1100" b="0">
            <a:latin typeface="Arial" panose="020B0604020202020204" pitchFamily="34" charset="0"/>
            <a:ea typeface="Tahoma" panose="020B0604030504040204" pitchFamily="34" charset="0"/>
            <a:cs typeface="Arial" panose="020B0604020202020204" pitchFamily="34" charset="0"/>
          </a:endParaRPr>
        </a:p>
      </xdr:txBody>
    </xdr:sp>
    <xdr:clientData/>
  </xdr:twoCellAnchor>
  <xdr:twoCellAnchor>
    <xdr:from>
      <xdr:col>10</xdr:col>
      <xdr:colOff>449580</xdr:colOff>
      <xdr:row>717</xdr:row>
      <xdr:rowOff>53340</xdr:rowOff>
    </xdr:from>
    <xdr:to>
      <xdr:col>12</xdr:col>
      <xdr:colOff>373380</xdr:colOff>
      <xdr:row>722</xdr:row>
      <xdr:rowOff>91440</xdr:rowOff>
    </xdr:to>
    <xdr:grpSp>
      <xdr:nvGrpSpPr>
        <xdr:cNvPr id="50" name="Group 49">
          <a:extLst>
            <a:ext uri="{FF2B5EF4-FFF2-40B4-BE49-F238E27FC236}">
              <a16:creationId xmlns:a16="http://schemas.microsoft.com/office/drawing/2014/main" id="{00000000-0008-0000-0200-000032000000}"/>
            </a:ext>
          </a:extLst>
        </xdr:cNvPr>
        <xdr:cNvGrpSpPr/>
      </xdr:nvGrpSpPr>
      <xdr:grpSpPr>
        <a:xfrm>
          <a:off x="5090160" y="140124180"/>
          <a:ext cx="929640" cy="914400"/>
          <a:chOff x="3680460" y="132039360"/>
          <a:chExt cx="914400" cy="914400"/>
        </a:xfrm>
        <a:effectLst>
          <a:outerShdw blurRad="63500" sx="102000" sy="102000" algn="ctr" rotWithShape="0">
            <a:prstClr val="black">
              <a:alpha val="40000"/>
            </a:prstClr>
          </a:outerShdw>
        </a:effectLst>
      </xdr:grpSpPr>
      <xdr:sp macro="" textlink="">
        <xdr:nvSpPr>
          <xdr:cNvPr id="48" name="Octagon 47">
            <a:extLst>
              <a:ext uri="{FF2B5EF4-FFF2-40B4-BE49-F238E27FC236}">
                <a16:creationId xmlns:a16="http://schemas.microsoft.com/office/drawing/2014/main" id="{00000000-0008-0000-0200-000030000000}"/>
              </a:ext>
            </a:extLst>
          </xdr:cNvPr>
          <xdr:cNvSpPr>
            <a:spLocks noChangeAspect="1"/>
          </xdr:cNvSpPr>
        </xdr:nvSpPr>
        <xdr:spPr>
          <a:xfrm>
            <a:off x="3680460" y="132039360"/>
            <a:ext cx="914400" cy="914400"/>
          </a:xfrm>
          <a:prstGeom prst="octagon">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46" name="Octagon 2245">
            <a:extLst>
              <a:ext uri="{FF2B5EF4-FFF2-40B4-BE49-F238E27FC236}">
                <a16:creationId xmlns:a16="http://schemas.microsoft.com/office/drawing/2014/main" id="{00000000-0008-0000-0200-0000C6080000}"/>
              </a:ext>
            </a:extLst>
          </xdr:cNvPr>
          <xdr:cNvSpPr>
            <a:spLocks noChangeAspect="1"/>
          </xdr:cNvSpPr>
        </xdr:nvSpPr>
        <xdr:spPr>
          <a:xfrm>
            <a:off x="3726180" y="132085080"/>
            <a:ext cx="822960" cy="822960"/>
          </a:xfrm>
          <a:prstGeom prst="octagon">
            <a:avLst/>
          </a:prstGeom>
          <a:solidFill>
            <a:srgbClr val="FF0000"/>
          </a:solidFill>
          <a:ln w="28575">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algn="ctr"/>
            <a:r>
              <a:rPr lang="en-US" sz="1800" b="1">
                <a:latin typeface="Tahoma" panose="020B0604030504040204" pitchFamily="34" charset="0"/>
                <a:ea typeface="Tahoma" panose="020B0604030504040204" pitchFamily="34" charset="0"/>
                <a:cs typeface="Tahoma" panose="020B0604030504040204" pitchFamily="34" charset="0"/>
              </a:rPr>
              <a:t>STOP</a:t>
            </a:r>
            <a:endParaRPr lang="en-US" sz="1100" b="1">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735</xdr:row>
      <xdr:rowOff>167641</xdr:rowOff>
    </xdr:from>
    <xdr:to>
      <xdr:col>13</xdr:col>
      <xdr:colOff>0</xdr:colOff>
      <xdr:row>739</xdr:row>
      <xdr:rowOff>121921</xdr:rowOff>
    </xdr:to>
    <xdr:sp macro="" textlink="">
      <xdr:nvSpPr>
        <xdr:cNvPr id="2262" name="TextBox 2261">
          <a:extLst>
            <a:ext uri="{FF2B5EF4-FFF2-40B4-BE49-F238E27FC236}">
              <a16:creationId xmlns:a16="http://schemas.microsoft.com/office/drawing/2014/main" id="{00000000-0008-0000-0200-0000D6080000}"/>
            </a:ext>
          </a:extLst>
        </xdr:cNvPr>
        <xdr:cNvSpPr txBox="1"/>
      </xdr:nvSpPr>
      <xdr:spPr>
        <a:xfrm>
          <a:off x="114300" y="140337541"/>
          <a:ext cx="5829300" cy="640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algn="l" defTabSz="914400" eaLnBrk="1" fontAlgn="auto" latinLnBrk="0" hangingPunct="1">
            <a:lnSpc>
              <a:spcPct val="100000"/>
            </a:lnSpc>
            <a:spcBef>
              <a:spcPts val="0"/>
            </a:spcBef>
            <a:spcAft>
              <a:spcPts val="600"/>
            </a:spcAft>
            <a:buClrTx/>
            <a:buSzTx/>
            <a:buFontTx/>
            <a:buNone/>
            <a:tabLst/>
            <a:defRPr/>
          </a:pPr>
          <a:r>
            <a:rPr lang="en-US" sz="1150" baseline="0">
              <a:latin typeface="Tahoma" panose="020B0604030504040204" pitchFamily="34" charset="0"/>
              <a:ea typeface="Tahoma" panose="020B0604030504040204" pitchFamily="34" charset="0"/>
              <a:cs typeface="Tahoma" panose="020B0604030504040204" pitchFamily="34" charset="0"/>
            </a:rPr>
            <a:t>Political elites cannot know what they don't know, about your specific needs and mine. </a:t>
          </a:r>
          <a:r>
            <a:rPr lang="en-US" sz="1150" spc="-10" baseline="0">
              <a:latin typeface="Tahoma" panose="020B0604030504040204" pitchFamily="34" charset="0"/>
              <a:ea typeface="Tahoma" panose="020B0604030504040204" pitchFamily="34" charset="0"/>
              <a:cs typeface="Tahoma" panose="020B0604030504040204" pitchFamily="34" charset="0"/>
            </a:rPr>
            <a:t>Popular politics easily lead us all astray. </a:t>
          </a:r>
          <a:r>
            <a:rPr lang="en-US" sz="1150" spc="-10" baseline="0">
              <a:ln>
                <a:solidFill>
                  <a:srgbClr val="004623"/>
                </a:solidFill>
              </a:ln>
              <a:latin typeface="Tahoma" panose="020B0604030504040204" pitchFamily="34" charset="0"/>
              <a:ea typeface="Tahoma" panose="020B0604030504040204" pitchFamily="34" charset="0"/>
              <a:cs typeface="Tahoma" panose="020B0604030504040204" pitchFamily="34" charset="0"/>
            </a:rPr>
            <a:t>Harmony Politics </a:t>
          </a:r>
          <a:r>
            <a:rPr lang="en-US" sz="1150" spc="-10" baseline="0">
              <a:latin typeface="Tahoma" panose="020B0604030504040204" pitchFamily="34" charset="0"/>
              <a:ea typeface="Tahoma" panose="020B0604030504040204" pitchFamily="34" charset="0"/>
              <a:cs typeface="Tahoma" panose="020B0604030504040204" pitchFamily="34" charset="0"/>
            </a:rPr>
            <a:t>aims to powerfully fill this</a:t>
          </a:r>
          <a:r>
            <a:rPr lang="en-US" sz="1150" spc="-10" baseline="0">
              <a:solidFill>
                <a:schemeClr val="dk1"/>
              </a:solidFill>
              <a:latin typeface="Tahoma" panose="020B0604030504040204" pitchFamily="34" charset="0"/>
              <a:ea typeface="Tahoma" panose="020B0604030504040204" pitchFamily="34" charset="0"/>
              <a:cs typeface="Tahoma" panose="020B0604030504040204" pitchFamily="34" charset="0"/>
            </a:rPr>
            <a:t> gap</a:t>
          </a:r>
          <a:r>
            <a:rPr lang="en-US" sz="1150" baseline="0">
              <a:solidFill>
                <a:schemeClr val="dk1"/>
              </a:solidFill>
              <a:latin typeface="Tahoma" panose="020B0604030504040204" pitchFamily="34" charset="0"/>
              <a:ea typeface="Tahoma" panose="020B0604030504040204" pitchFamily="34" charset="0"/>
              <a:cs typeface="Tahoma" panose="020B0604030504040204" pitchFamily="34" charset="0"/>
            </a:rPr>
            <a:t>. </a:t>
          </a:r>
        </a:p>
        <a:p>
          <a:pPr marL="0" marR="0" lvl="0" indent="0" algn="l" defTabSz="914400" eaLnBrk="1" fontAlgn="auto" latinLnBrk="0" hangingPunct="1">
            <a:lnSpc>
              <a:spcPct val="100000"/>
            </a:lnSpc>
            <a:spcBef>
              <a:spcPts val="0"/>
            </a:spcBef>
            <a:spcAft>
              <a:spcPts val="600"/>
            </a:spcAft>
            <a:buClrTx/>
            <a:buSzTx/>
            <a:buFontTx/>
            <a:buNone/>
            <a:tabLst/>
            <a:defRPr/>
          </a:pPr>
          <a:r>
            <a:rPr lang="en-US" sz="1150" b="1" spc="-30" baseline="0">
              <a:solidFill>
                <a:schemeClr val="dk1"/>
              </a:solidFill>
              <a:latin typeface="Tahoma" panose="020B0604030504040204" pitchFamily="34" charset="0"/>
              <a:ea typeface="Tahoma" panose="020B0604030504040204" pitchFamily="34" charset="0"/>
              <a:cs typeface="Tahoma" panose="020B0604030504040204" pitchFamily="34" charset="0"/>
            </a:rPr>
            <a:t>Power isn’t really power until it resolves needs. Otherwise it’s just coercive force.</a:t>
          </a:r>
        </a:p>
        <a:p>
          <a:pPr algn="l">
            <a:spcAft>
              <a:spcPts val="600"/>
            </a:spcAft>
          </a:pPr>
          <a:endParaRPr lang="en-US" sz="115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106680</xdr:colOff>
      <xdr:row>726</xdr:row>
      <xdr:rowOff>30484</xdr:rowOff>
    </xdr:from>
    <xdr:to>
      <xdr:col>13</xdr:col>
      <xdr:colOff>0</xdr:colOff>
      <xdr:row>735</xdr:row>
      <xdr:rowOff>133354</xdr:rowOff>
    </xdr:to>
    <xdr:grpSp>
      <xdr:nvGrpSpPr>
        <xdr:cNvPr id="52" name="Group 51">
          <a:extLst>
            <a:ext uri="{FF2B5EF4-FFF2-40B4-BE49-F238E27FC236}">
              <a16:creationId xmlns:a16="http://schemas.microsoft.com/office/drawing/2014/main" id="{00000000-0008-0000-0200-000034000000}"/>
            </a:ext>
          </a:extLst>
        </xdr:cNvPr>
        <xdr:cNvGrpSpPr/>
      </xdr:nvGrpSpPr>
      <xdr:grpSpPr>
        <a:xfrm>
          <a:off x="106680" y="141678664"/>
          <a:ext cx="6042660" cy="1680210"/>
          <a:chOff x="83820" y="132664201"/>
          <a:chExt cx="5958840" cy="1681962"/>
        </a:xfrm>
      </xdr:grpSpPr>
      <xdr:sp macro="" textlink="">
        <xdr:nvSpPr>
          <xdr:cNvPr id="2254" name="TextBox 2253">
            <a:extLst>
              <a:ext uri="{FF2B5EF4-FFF2-40B4-BE49-F238E27FC236}">
                <a16:creationId xmlns:a16="http://schemas.microsoft.com/office/drawing/2014/main" id="{00000000-0008-0000-0200-0000CE080000}"/>
              </a:ext>
            </a:extLst>
          </xdr:cNvPr>
          <xdr:cNvSpPr txBox="1"/>
        </xdr:nvSpPr>
        <xdr:spPr>
          <a:xfrm>
            <a:off x="83820" y="132664201"/>
            <a:ext cx="2514600" cy="1681962"/>
          </a:xfrm>
          <a:prstGeom prst="rect">
            <a:avLst/>
          </a:prstGeom>
          <a:solidFill>
            <a:srgbClr val="A0FFCD">
              <a:alpha val="98039"/>
            </a:srgbClr>
          </a:solidFill>
          <a:ln w="9525" cmpd="sng">
            <a:noFill/>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spcAft>
                <a:spcPts val="300"/>
              </a:spcAft>
            </a:pPr>
            <a:r>
              <a:rPr lang="en-US" sz="1600" b="1">
                <a:effectLst>
                  <a:glow rad="12700">
                    <a:srgbClr val="004623">
                      <a:alpha val="30000"/>
                    </a:srgbClr>
                  </a:glow>
                  <a:outerShdw blurRad="50800" dist="38100" dir="8100000" algn="tr"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Small tribal </a:t>
            </a:r>
            <a:r>
              <a:rPr lang="en-US" sz="1600" b="1">
                <a:solidFill>
                  <a:schemeClr val="dk1"/>
                </a:solidFill>
                <a:effectLst>
                  <a:glow rad="12700">
                    <a:srgbClr val="004623">
                      <a:alpha val="30000"/>
                    </a:srgbClr>
                  </a:glow>
                  <a:outerShdw blurRad="50800" dist="38100" dir="8100000" algn="tr"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society</a:t>
            </a:r>
          </a:p>
          <a:p>
            <a:pPr algn="r">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Can personally know most of each other's </a:t>
            </a:r>
            <a:r>
              <a:rPr lang="en-US" sz="1200" b="1" i="1" baseline="0">
                <a:latin typeface="Tahoma" panose="020B0604030504040204" pitchFamily="34" charset="0"/>
                <a:ea typeface="Tahoma" panose="020B0604030504040204" pitchFamily="34" charset="0"/>
                <a:cs typeface="Tahoma" panose="020B0604030504040204" pitchFamily="34" charset="0"/>
              </a:rPr>
              <a:t>specific</a:t>
            </a:r>
            <a:r>
              <a:rPr lang="en-US" sz="1200" baseline="0">
                <a:latin typeface="Tahoma" panose="020B0604030504040204" pitchFamily="34" charset="0"/>
                <a:ea typeface="Tahoma" panose="020B0604030504040204" pitchFamily="34" charset="0"/>
                <a:cs typeface="Tahoma" panose="020B0604030504040204" pitchFamily="34" charset="0"/>
              </a:rPr>
              <a:t> needs. </a:t>
            </a:r>
          </a:p>
          <a:p>
            <a:pPr algn="r">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Typically sets a high standard </a:t>
            </a:r>
            <a:r>
              <a:rPr lang="en-US" sz="1200" spc="-20" baseline="0">
                <a:latin typeface="Tahoma" panose="020B0604030504040204" pitchFamily="34" charset="0"/>
                <a:ea typeface="Tahoma" panose="020B0604030504040204" pitchFamily="34" charset="0"/>
                <a:cs typeface="Tahoma" panose="020B0604030504040204" pitchFamily="34" charset="0"/>
              </a:rPr>
              <a:t>for </a:t>
            </a:r>
            <a:r>
              <a:rPr lang="en-US" sz="1200" b="1" i="1" spc="-20" baseline="0">
                <a:latin typeface="Tahoma" panose="020B0604030504040204" pitchFamily="34" charset="0"/>
                <a:ea typeface="Tahoma" panose="020B0604030504040204" pitchFamily="34" charset="0"/>
                <a:cs typeface="Tahoma" panose="020B0604030504040204" pitchFamily="34" charset="0"/>
              </a:rPr>
              <a:t>fully resolving </a:t>
            </a:r>
            <a:r>
              <a:rPr lang="en-US" sz="1200" spc="-20" baseline="0">
                <a:latin typeface="Tahoma" panose="020B0604030504040204" pitchFamily="34" charset="0"/>
                <a:ea typeface="Tahoma" panose="020B0604030504040204" pitchFamily="34" charset="0"/>
                <a:cs typeface="Tahoma" panose="020B0604030504040204" pitchFamily="34" charset="0"/>
              </a:rPr>
              <a:t>all needs</a:t>
            </a:r>
            <a:r>
              <a:rPr lang="en-US" sz="1200" baseline="0">
                <a:latin typeface="Tahoma" panose="020B0604030504040204" pitchFamily="34" charset="0"/>
                <a:ea typeface="Tahoma" panose="020B0604030504040204" pitchFamily="34" charset="0"/>
                <a:cs typeface="Tahoma" panose="020B0604030504040204" pitchFamily="34" charset="0"/>
              </a:rPr>
              <a:t>.</a:t>
            </a:r>
          </a:p>
          <a:p>
            <a:pPr algn="r">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Can </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get </a:t>
            </a:r>
            <a:r>
              <a:rPr lang="en-US" sz="1200" b="1" i="1" baseline="0">
                <a:solidFill>
                  <a:schemeClr val="dk1"/>
                </a:solidFill>
                <a:latin typeface="Tahoma" panose="020B0604030504040204" pitchFamily="34" charset="0"/>
                <a:ea typeface="Tahoma" panose="020B0604030504040204" pitchFamily="34" charset="0"/>
                <a:cs typeface="Tahoma" panose="020B0604030504040204" pitchFamily="34" charset="0"/>
              </a:rPr>
              <a:t>everyone's input </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on a decision affecting them all. </a:t>
            </a:r>
          </a:p>
          <a:p>
            <a:pPr algn="l"/>
            <a:endParaRPr lang="en-US" sz="120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260" name="TextBox 2259">
            <a:extLst>
              <a:ext uri="{FF2B5EF4-FFF2-40B4-BE49-F238E27FC236}">
                <a16:creationId xmlns:a16="http://schemas.microsoft.com/office/drawing/2014/main" id="{00000000-0008-0000-0200-0000D4080000}"/>
              </a:ext>
            </a:extLst>
          </xdr:cNvPr>
          <xdr:cNvSpPr txBox="1"/>
        </xdr:nvSpPr>
        <xdr:spPr>
          <a:xfrm>
            <a:off x="3528060" y="132664201"/>
            <a:ext cx="2514600" cy="1681962"/>
          </a:xfrm>
          <a:prstGeom prst="rect">
            <a:avLst/>
          </a:prstGeom>
          <a:solidFill>
            <a:srgbClr val="FF99FF">
              <a:alpha val="98039"/>
            </a:srgbClr>
          </a:solidFill>
          <a:ln w="9525" cmpd="sng">
            <a:no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spcAft>
                <a:spcPts val="300"/>
              </a:spcAft>
            </a:pPr>
            <a:r>
              <a:rPr lang="en-US" sz="1600" b="1" spc="-60">
                <a:solidFill>
                  <a:schemeClr val="dk1"/>
                </a:solidFill>
                <a:effectLst>
                  <a:glow rad="12700">
                    <a:srgbClr val="2D143C">
                      <a:alpha val="30000"/>
                    </a:srgbClr>
                  </a:glow>
                  <a:outerShdw blurRad="50800" dist="38100" dir="2700000" algn="tl"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Large</a:t>
            </a:r>
            <a:r>
              <a:rPr lang="en-US" sz="1600" b="1" spc="-60" baseline="0">
                <a:solidFill>
                  <a:schemeClr val="dk1"/>
                </a:solidFill>
                <a:effectLst>
                  <a:glow rad="12700">
                    <a:srgbClr val="2D143C">
                      <a:alpha val="30000"/>
                    </a:srgbClr>
                  </a:glow>
                  <a:outerShdw blurRad="50800" dist="38100" dir="2700000" algn="tl"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 i</a:t>
            </a:r>
            <a:r>
              <a:rPr lang="en-US" sz="1600" b="1" spc="-60">
                <a:solidFill>
                  <a:schemeClr val="dk1"/>
                </a:solidFill>
                <a:effectLst>
                  <a:glow rad="12700">
                    <a:srgbClr val="2D143C">
                      <a:alpha val="30000"/>
                    </a:srgbClr>
                  </a:glow>
                  <a:outerShdw blurRad="50800" dist="38100" dir="2700000" algn="tl"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mpersonal society</a:t>
            </a:r>
          </a:p>
          <a:p>
            <a:pPr algn="l">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Must </a:t>
            </a:r>
            <a:r>
              <a:rPr lang="en-US" sz="1200" b="1" i="1" baseline="0">
                <a:latin typeface="Tahoma" panose="020B0604030504040204" pitchFamily="34" charset="0"/>
                <a:ea typeface="Tahoma" panose="020B0604030504040204" pitchFamily="34" charset="0"/>
                <a:cs typeface="Tahoma" panose="020B0604030504040204" pitchFamily="34" charset="0"/>
              </a:rPr>
              <a:t>politically</a:t>
            </a:r>
            <a:r>
              <a:rPr lang="en-US" sz="1200" baseline="0">
                <a:latin typeface="Tahoma" panose="020B0604030504040204" pitchFamily="34" charset="0"/>
                <a:ea typeface="Tahoma" panose="020B0604030504040204" pitchFamily="34" charset="0"/>
                <a:cs typeface="Tahoma" panose="020B0604030504040204" pitchFamily="34" charset="0"/>
              </a:rPr>
              <a:t> </a:t>
            </a:r>
            <a:r>
              <a:rPr lang="en-US" sz="1200" b="1" i="1" baseline="0">
                <a:latin typeface="Tahoma" panose="020B0604030504040204" pitchFamily="34" charset="0"/>
                <a:ea typeface="Tahoma" panose="020B0604030504040204" pitchFamily="34" charset="0"/>
                <a:cs typeface="Tahoma" panose="020B0604030504040204" pitchFamily="34" charset="0"/>
              </a:rPr>
              <a:t>generalize</a:t>
            </a:r>
            <a:r>
              <a:rPr lang="en-US" sz="1200" baseline="0">
                <a:latin typeface="Tahoma" panose="020B0604030504040204" pitchFamily="34" charset="0"/>
                <a:ea typeface="Tahoma" panose="020B0604030504040204" pitchFamily="34" charset="0"/>
                <a:cs typeface="Tahoma" panose="020B0604030504040204" pitchFamily="34" charset="0"/>
              </a:rPr>
              <a:t> to reach agreeable public policies. </a:t>
            </a:r>
          </a:p>
          <a:p>
            <a:pPr algn="l">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Typically sets a lower standard at what is </a:t>
            </a:r>
            <a:r>
              <a:rPr lang="en-US" sz="1200" b="1" i="1" baseline="0">
                <a:latin typeface="Tahoma" panose="020B0604030504040204" pitchFamily="34" charset="0"/>
                <a:ea typeface="Tahoma" panose="020B0604030504040204" pitchFamily="34" charset="0"/>
                <a:cs typeface="Tahoma" panose="020B0604030504040204" pitchFamily="34" charset="0"/>
              </a:rPr>
              <a:t>politically reachable</a:t>
            </a:r>
            <a:r>
              <a:rPr lang="en-US" sz="1200" baseline="0">
                <a:latin typeface="Tahoma" panose="020B0604030504040204" pitchFamily="34" charset="0"/>
                <a:ea typeface="Tahoma" panose="020B0604030504040204" pitchFamily="34" charset="0"/>
                <a:cs typeface="Tahoma" panose="020B0604030504040204" pitchFamily="34" charset="0"/>
              </a:rPr>
              <a:t>. </a:t>
            </a:r>
          </a:p>
          <a:p>
            <a:pPr algn="l">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Relies on </a:t>
            </a:r>
            <a:r>
              <a:rPr lang="en-US" sz="1200" b="1" i="1" baseline="0">
                <a:latin typeface="Tahoma" panose="020B0604030504040204" pitchFamily="34" charset="0"/>
                <a:ea typeface="Tahoma" panose="020B0604030504040204" pitchFamily="34" charset="0"/>
                <a:cs typeface="Tahoma" panose="020B0604030504040204" pitchFamily="34" charset="0"/>
              </a:rPr>
              <a:t>political norms </a:t>
            </a:r>
            <a:r>
              <a:rPr lang="en-US" sz="1200" baseline="0">
                <a:latin typeface="Tahoma" panose="020B0604030504040204" pitchFamily="34" charset="0"/>
                <a:ea typeface="Tahoma" panose="020B0604030504040204" pitchFamily="34" charset="0"/>
                <a:cs typeface="Tahoma" panose="020B0604030504040204" pitchFamily="34" charset="0"/>
              </a:rPr>
              <a:t>to determine what is best for all.</a:t>
            </a:r>
          </a:p>
          <a:p>
            <a:pPr algn="l"/>
            <a:endParaRPr lang="en-US" sz="120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51" name="Arrow: Left-Right 50">
            <a:extLst>
              <a:ext uri="{FF2B5EF4-FFF2-40B4-BE49-F238E27FC236}">
                <a16:creationId xmlns:a16="http://schemas.microsoft.com/office/drawing/2014/main" id="{00000000-0008-0000-0200-000033000000}"/>
              </a:ext>
            </a:extLst>
          </xdr:cNvPr>
          <xdr:cNvSpPr/>
        </xdr:nvSpPr>
        <xdr:spPr>
          <a:xfrm>
            <a:off x="2606040" y="133029960"/>
            <a:ext cx="914400" cy="365760"/>
          </a:xfrm>
          <a:prstGeom prst="leftRightArrow">
            <a:avLst/>
          </a:prstGeom>
          <a:gradFill flip="none" rotWithShape="1">
            <a:gsLst>
              <a:gs pos="0">
                <a:srgbClr val="A0FFCD"/>
              </a:gs>
              <a:gs pos="100000">
                <a:srgbClr val="FF99FF"/>
              </a:gs>
            </a:gsLst>
            <a:lin ang="0" scaled="1"/>
            <a:tileRect/>
          </a:gra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64" name="Arrow: Left-Right 2263">
            <a:extLst>
              <a:ext uri="{FF2B5EF4-FFF2-40B4-BE49-F238E27FC236}">
                <a16:creationId xmlns:a16="http://schemas.microsoft.com/office/drawing/2014/main" id="{00000000-0008-0000-0200-0000D8080000}"/>
              </a:ext>
            </a:extLst>
          </xdr:cNvPr>
          <xdr:cNvSpPr/>
        </xdr:nvSpPr>
        <xdr:spPr>
          <a:xfrm>
            <a:off x="2606040" y="133441440"/>
            <a:ext cx="914400" cy="365760"/>
          </a:xfrm>
          <a:prstGeom prst="leftRightArrow">
            <a:avLst/>
          </a:prstGeom>
          <a:gradFill flip="none" rotWithShape="1">
            <a:gsLst>
              <a:gs pos="0">
                <a:srgbClr val="A0FFCD"/>
              </a:gs>
              <a:gs pos="100000">
                <a:srgbClr val="FF99FF"/>
              </a:gs>
            </a:gsLst>
            <a:lin ang="0" scaled="1"/>
            <a:tileRect/>
          </a:gra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sp macro="" textlink="">
        <xdr:nvSpPr>
          <xdr:cNvPr id="2542" name="Arrow: Left-Right 2541">
            <a:extLst>
              <a:ext uri="{FF2B5EF4-FFF2-40B4-BE49-F238E27FC236}">
                <a16:creationId xmlns:a16="http://schemas.microsoft.com/office/drawing/2014/main" id="{00000000-0008-0000-0200-0000EE090000}"/>
              </a:ext>
            </a:extLst>
          </xdr:cNvPr>
          <xdr:cNvSpPr/>
        </xdr:nvSpPr>
        <xdr:spPr>
          <a:xfrm>
            <a:off x="2606040" y="133868160"/>
            <a:ext cx="914400" cy="365760"/>
          </a:xfrm>
          <a:prstGeom prst="leftRightArrow">
            <a:avLst/>
          </a:prstGeom>
          <a:gradFill flip="none" rotWithShape="1">
            <a:gsLst>
              <a:gs pos="0">
                <a:srgbClr val="A0FFCD"/>
              </a:gs>
              <a:gs pos="100000">
                <a:srgbClr val="FF99FF"/>
              </a:gs>
            </a:gsLst>
            <a:lin ang="0" scaled="1"/>
            <a:tileRect/>
          </a:gra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grpSp>
    <xdr:clientData/>
  </xdr:twoCellAnchor>
  <xdr:twoCellAnchor>
    <xdr:from>
      <xdr:col>0</xdr:col>
      <xdr:colOff>106680</xdr:colOff>
      <xdr:row>709</xdr:row>
      <xdr:rowOff>106680</xdr:rowOff>
    </xdr:from>
    <xdr:to>
      <xdr:col>12</xdr:col>
      <xdr:colOff>480060</xdr:colOff>
      <xdr:row>721</xdr:row>
      <xdr:rowOff>15240</xdr:rowOff>
    </xdr:to>
    <xdr:sp macro="" textlink="">
      <xdr:nvSpPr>
        <xdr:cNvPr id="2544" name="You believe whatever serves your needs.">
          <a:extLst>
            <a:ext uri="{FF2B5EF4-FFF2-40B4-BE49-F238E27FC236}">
              <a16:creationId xmlns:a16="http://schemas.microsoft.com/office/drawing/2014/main" id="{00000000-0008-0000-0200-0000F0090000}"/>
            </a:ext>
          </a:extLst>
        </xdr:cNvPr>
        <xdr:cNvSpPr txBox="1">
          <a:spLocks/>
        </xdr:cNvSpPr>
      </xdr:nvSpPr>
      <xdr:spPr>
        <a:xfrm>
          <a:off x="106680" y="130126740"/>
          <a:ext cx="5943600" cy="2011680"/>
        </a:xfrm>
        <a:prstGeom prst="rect">
          <a:avLst/>
        </a:prstGeom>
        <a:noFill/>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spcAft>
              <a:spcPts val="600"/>
            </a:spcAft>
            <a:buNone/>
          </a:pP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Political elites </a:t>
          </a:r>
          <a:r>
            <a:rPr lang="en-US" sz="1600" b="1" i="1" baseline="0">
              <a:solidFill>
                <a:schemeClr val="dk1"/>
              </a:solidFill>
              <a:latin typeface="Tahoma" panose="020B0604030504040204" pitchFamily="34" charset="0"/>
              <a:ea typeface="Tahoma" panose="020B0604030504040204" pitchFamily="34" charset="0"/>
              <a:cs typeface="Tahoma" panose="020B0604030504040204" pitchFamily="34" charset="0"/>
            </a:rPr>
            <a:t>follow</a:t>
          </a: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 more than they lead</a:t>
          </a:r>
          <a:endParaRPr lang="en-US" sz="1600" baseline="0">
            <a:solidFill>
              <a:schemeClr val="dk1"/>
            </a:solidFill>
            <a:latin typeface="Tahoma" panose="020B0604030504040204" pitchFamily="34" charset="0"/>
            <a:ea typeface="Tahoma" panose="020B0604030504040204" pitchFamily="34" charset="0"/>
            <a:cs typeface="Tahoma" panose="020B0604030504040204" pitchFamily="34" charset="0"/>
          </a:endParaRPr>
        </a:p>
        <a:p>
          <a:pPr marL="0" indent="0" algn="l">
            <a:lnSpc>
              <a:spcPct val="100000"/>
            </a:lnSpc>
            <a:buNone/>
          </a:pP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Instead of inspiring us to </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resolve</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 both our self-needs and social-needs, to </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remove</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 pain, </a:t>
          </a:r>
        </a:p>
        <a:p>
          <a:pPr marL="457200" lvl="1" indent="0" algn="l">
            <a:lnSpc>
              <a:spcPct val="100000"/>
            </a:lnSpc>
            <a:spcAft>
              <a:spcPts val="400"/>
            </a:spcAft>
            <a:buNone/>
          </a:pP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they primarily seek to </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relieve </a:t>
          </a:r>
          <a:r>
            <a:rPr lang="en-US" sz="1200" i="0" spc="-10" baseline="0">
              <a:solidFill>
                <a:schemeClr val="dk1"/>
              </a:solidFill>
              <a:latin typeface="Tahoma" panose="020B0604030504040204" pitchFamily="34" charset="0"/>
              <a:ea typeface="Tahoma" panose="020B0604030504040204" pitchFamily="34" charset="0"/>
              <a:cs typeface="Tahoma" panose="020B0604030504040204" pitchFamily="34" charset="0"/>
            </a:rPr>
            <a:t>the</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200" i="0" spc="-10" baseline="0">
              <a:solidFill>
                <a:schemeClr val="dk1"/>
              </a:solidFill>
              <a:latin typeface="Tahoma" panose="020B0604030504040204" pitchFamily="34" charset="0"/>
              <a:ea typeface="Tahoma" panose="020B0604030504040204" pitchFamily="34" charset="0"/>
              <a:cs typeface="Tahoma" panose="020B0604030504040204" pitchFamily="34" charset="0"/>
            </a:rPr>
            <a:t>pain</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of </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competing psychosocial priorities. </a:t>
          </a:r>
        </a:p>
        <a:p>
          <a:pPr marL="0" indent="0" algn="l">
            <a:lnSpc>
              <a:spcPct val="100000"/>
            </a:lnSpc>
            <a:buNone/>
          </a:pP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Instead of encouraging wisdom of mutual responsibilities, </a:t>
          </a:r>
        </a:p>
        <a:p>
          <a:pPr marL="457200" lvl="1" indent="0" algn="l">
            <a:lnSpc>
              <a:spcPct val="100000"/>
            </a:lnSpc>
            <a:spcAft>
              <a:spcPts val="400"/>
            </a:spcAft>
            <a:buNone/>
          </a:pP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it pits your needs against others. </a:t>
          </a:r>
        </a:p>
        <a:p>
          <a:r>
            <a:rPr lang="en-US" sz="1200" kern="1200" baseline="0">
              <a:solidFill>
                <a:schemeClr val="dk1"/>
              </a:solidFill>
              <a:latin typeface="Tahoma" panose="020B0604030504040204" pitchFamily="34" charset="0"/>
              <a:ea typeface="Tahoma" panose="020B0604030504040204" pitchFamily="34" charset="0"/>
              <a:cs typeface="Tahoma" panose="020B0604030504040204" pitchFamily="34" charset="0"/>
            </a:rPr>
            <a:t>Instead of inspiring us to be generous and love one another, </a:t>
          </a:r>
        </a:p>
        <a:p>
          <a:pPr lvl="1">
            <a:spcAft>
              <a:spcPts val="0"/>
            </a:spcAft>
          </a:pPr>
          <a:r>
            <a:rPr lang="en-US" sz="1200" kern="1200" baseline="0">
              <a:solidFill>
                <a:schemeClr val="dk1"/>
              </a:solidFill>
              <a:latin typeface="Tahoma" panose="020B0604030504040204" pitchFamily="34" charset="0"/>
              <a:ea typeface="Tahoma" panose="020B0604030504040204" pitchFamily="34" charset="0"/>
              <a:cs typeface="Tahoma" panose="020B0604030504040204" pitchFamily="34" charset="0"/>
            </a:rPr>
            <a:t>it goads us to demand of others and hate them for not caving, </a:t>
          </a:r>
        </a:p>
        <a:p>
          <a:pPr lvl="1">
            <a:spcAft>
              <a:spcPts val="400"/>
            </a:spcAft>
          </a:pPr>
          <a:r>
            <a:rPr lang="en-US" sz="1200" kern="1200" baseline="0">
              <a:solidFill>
                <a:schemeClr val="dk1"/>
              </a:solidFill>
              <a:latin typeface="Tahoma" panose="020B0604030504040204" pitchFamily="34" charset="0"/>
              <a:ea typeface="Tahoma" panose="020B0604030504040204" pitchFamily="34" charset="0"/>
              <a:cs typeface="Tahoma" panose="020B0604030504040204" pitchFamily="34" charset="0"/>
            </a:rPr>
            <a:t>and now to hate elites for not knowing our specific needs. </a:t>
          </a:r>
        </a:p>
        <a:p>
          <a:pPr marL="0" indent="0" algn="l">
            <a:lnSpc>
              <a:spcPct val="100000"/>
            </a:lnSpc>
            <a:buNone/>
          </a:pPr>
          <a:r>
            <a:rPr lang="en-US" sz="1200" b="0" i="1" baseline="0">
              <a:solidFill>
                <a:schemeClr val="dk1"/>
              </a:solidFill>
              <a:latin typeface="Tahoma" panose="020B0604030504040204" pitchFamily="34" charset="0"/>
              <a:ea typeface="Tahoma" panose="020B0604030504040204" pitchFamily="34" charset="0"/>
              <a:cs typeface="Tahoma" panose="020B0604030504040204" pitchFamily="34" charset="0"/>
            </a:rPr>
            <a:t>Popular generalizing leads us all astray</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 So let's </a:t>
          </a:r>
          <a:r>
            <a:rPr lang="en-US" sz="1200" b="1" baseline="0">
              <a:ln>
                <a:solidFill>
                  <a:srgbClr val="C00000"/>
                </a:solidFill>
              </a:ln>
              <a:solidFill>
                <a:srgbClr val="FFCCCC"/>
              </a:solidFill>
              <a:effectLst>
                <a:glow rad="25400">
                  <a:srgbClr val="FF7171"/>
                </a:glow>
              </a:effectLst>
              <a:latin typeface="Tahoma" panose="020B0604030504040204" pitchFamily="34" charset="0"/>
              <a:ea typeface="Tahoma" panose="020B0604030504040204" pitchFamily="34" charset="0"/>
              <a:cs typeface="Tahoma" panose="020B0604030504040204" pitchFamily="34" charset="0"/>
            </a:rPr>
            <a:t>STOP</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 all this hating!</a:t>
          </a:r>
        </a:p>
      </xdr:txBody>
    </xdr:sp>
    <xdr:clientData/>
  </xdr:twoCellAnchor>
  <xdr:twoCellAnchor>
    <xdr:from>
      <xdr:col>0</xdr:col>
      <xdr:colOff>106680</xdr:colOff>
      <xdr:row>975</xdr:row>
      <xdr:rowOff>167640</xdr:rowOff>
    </xdr:from>
    <xdr:to>
      <xdr:col>12</xdr:col>
      <xdr:colOff>480060</xdr:colOff>
      <xdr:row>976</xdr:row>
      <xdr:rowOff>175260</xdr:rowOff>
    </xdr:to>
    <xdr:sp macro="" textlink="">
      <xdr:nvSpPr>
        <xdr:cNvPr id="2589" name="TextBox 2588">
          <a:extLst>
            <a:ext uri="{FF2B5EF4-FFF2-40B4-BE49-F238E27FC236}">
              <a16:creationId xmlns:a16="http://schemas.microsoft.com/office/drawing/2014/main" id="{00000000-0008-0000-0200-00001D0A0000}"/>
            </a:ext>
          </a:extLst>
        </xdr:cNvPr>
        <xdr:cNvSpPr txBox="1"/>
      </xdr:nvSpPr>
      <xdr:spPr>
        <a:xfrm>
          <a:off x="106680" y="180609240"/>
          <a:ext cx="5943600"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0" baseline="0">
              <a:ln>
                <a:solidFill>
                  <a:schemeClr val="tx1"/>
                </a:solidFill>
              </a:ln>
              <a:latin typeface="Tahoma" panose="020B0604030504040204" pitchFamily="34" charset="0"/>
              <a:ea typeface="Tahoma" panose="020B0604030504040204" pitchFamily="34" charset="0"/>
              <a:cs typeface="Tahoma" panose="020B0604030504040204" pitchFamily="34" charset="0"/>
            </a:rPr>
            <a:t>Harmony Politics </a:t>
          </a:r>
          <a:r>
            <a:rPr lang="en-US" sz="1200" b="0" baseline="0">
              <a:latin typeface="Tahoma" panose="020B0604030504040204" pitchFamily="34" charset="0"/>
              <a:ea typeface="Tahoma" panose="020B0604030504040204" pitchFamily="34" charset="0"/>
              <a:cs typeface="Tahoma" panose="020B0604030504040204" pitchFamily="34" charset="0"/>
            </a:rPr>
            <a:t>is not for everyone. It </a:t>
          </a:r>
          <a:r>
            <a:rPr lang="en-US" sz="1200" baseline="0">
              <a:latin typeface="Tahoma" panose="020B0604030504040204" pitchFamily="34" charset="0"/>
              <a:ea typeface="Tahoma" panose="020B0604030504040204" pitchFamily="34" charset="0"/>
              <a:cs typeface="Tahoma" panose="020B0604030504040204" pitchFamily="34" charset="0"/>
            </a:rPr>
            <a:t>upends the status quo you may depend upon.</a:t>
          </a:r>
        </a:p>
      </xdr:txBody>
    </xdr:sp>
    <xdr:clientData/>
  </xdr:twoCellAnchor>
  <xdr:twoCellAnchor>
    <xdr:from>
      <xdr:col>0</xdr:col>
      <xdr:colOff>114300</xdr:colOff>
      <xdr:row>977</xdr:row>
      <xdr:rowOff>38100</xdr:rowOff>
    </xdr:from>
    <xdr:to>
      <xdr:col>5</xdr:col>
      <xdr:colOff>457200</xdr:colOff>
      <xdr:row>978</xdr:row>
      <xdr:rowOff>243840</xdr:rowOff>
    </xdr:to>
    <xdr:sp macro="" textlink="">
      <xdr:nvSpPr>
        <xdr:cNvPr id="2592" name="TextBox 2591">
          <a:extLst>
            <a:ext uri="{FF2B5EF4-FFF2-40B4-BE49-F238E27FC236}">
              <a16:creationId xmlns:a16="http://schemas.microsoft.com/office/drawing/2014/main" id="{00000000-0008-0000-0200-0000200A0000}"/>
            </a:ext>
          </a:extLst>
        </xdr:cNvPr>
        <xdr:cNvSpPr txBox="1"/>
      </xdr:nvSpPr>
      <xdr:spPr>
        <a:xfrm>
          <a:off x="114300" y="180982620"/>
          <a:ext cx="244602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r>
            <a:rPr lang="en-US" sz="1100" baseline="0">
              <a:latin typeface="Tahoma" panose="020B0604030504040204" pitchFamily="34" charset="0"/>
              <a:ea typeface="Tahoma" panose="020B0604030504040204" pitchFamily="34" charset="0"/>
              <a:cs typeface="Tahoma" panose="020B0604030504040204" pitchFamily="34" charset="0"/>
            </a:rPr>
            <a:t>Select how ready, willing and able you are to try this radically different path.</a:t>
          </a:r>
        </a:p>
      </xdr:txBody>
    </xdr:sp>
    <xdr:clientData/>
  </xdr:twoCellAnchor>
  <xdr:twoCellAnchor>
    <xdr:from>
      <xdr:col>1</xdr:col>
      <xdr:colOff>0</xdr:colOff>
      <xdr:row>1044</xdr:row>
      <xdr:rowOff>91440</xdr:rowOff>
    </xdr:from>
    <xdr:to>
      <xdr:col>13</xdr:col>
      <xdr:colOff>0</xdr:colOff>
      <xdr:row>1045</xdr:row>
      <xdr:rowOff>175260</xdr:rowOff>
    </xdr:to>
    <xdr:sp macro="" textlink="">
      <xdr:nvSpPr>
        <xdr:cNvPr id="2594" name="TextBox 2593">
          <a:extLst>
            <a:ext uri="{FF2B5EF4-FFF2-40B4-BE49-F238E27FC236}">
              <a16:creationId xmlns:a16="http://schemas.microsoft.com/office/drawing/2014/main" id="{00000000-0008-0000-0200-0000220A0000}"/>
            </a:ext>
          </a:extLst>
        </xdr:cNvPr>
        <xdr:cNvSpPr txBox="1"/>
      </xdr:nvSpPr>
      <xdr:spPr>
        <a:xfrm>
          <a:off x="121920" y="195201540"/>
          <a:ext cx="5943600"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0" spc="-20" baseline="0">
              <a:latin typeface="Tahoma" panose="020B0604030504040204" pitchFamily="34" charset="0"/>
              <a:ea typeface="Tahoma" panose="020B0604030504040204" pitchFamily="34" charset="0"/>
              <a:cs typeface="Tahoma" panose="020B0604030504040204" pitchFamily="34" charset="0"/>
            </a:rPr>
            <a:t>Select one of the eight political issues from this dropdown list. Then read its content below.</a:t>
          </a:r>
          <a:endParaRPr lang="en-US" sz="1200" spc="-2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0</xdr:colOff>
      <xdr:row>970</xdr:row>
      <xdr:rowOff>60960</xdr:rowOff>
    </xdr:from>
    <xdr:to>
      <xdr:col>6</xdr:col>
      <xdr:colOff>358140</xdr:colOff>
      <xdr:row>974</xdr:row>
      <xdr:rowOff>198120</xdr:rowOff>
    </xdr:to>
    <xdr:sp macro="" textlink="">
      <xdr:nvSpPr>
        <xdr:cNvPr id="2608" name="TextBox 2607">
          <a:extLst>
            <a:ext uri="{FF2B5EF4-FFF2-40B4-BE49-F238E27FC236}">
              <a16:creationId xmlns:a16="http://schemas.microsoft.com/office/drawing/2014/main" id="{00000000-0008-0000-0200-0000300A0000}"/>
            </a:ext>
          </a:extLst>
        </xdr:cNvPr>
        <xdr:cNvSpPr txBox="1"/>
      </xdr:nvSpPr>
      <xdr:spPr>
        <a:xfrm>
          <a:off x="121920" y="179245260"/>
          <a:ext cx="2834640" cy="1143000"/>
        </a:xfrm>
        <a:prstGeom prst="rect">
          <a:avLst/>
        </a:prstGeom>
        <a:solidFill>
          <a:srgbClr val="E1C8FF"/>
        </a:solidFill>
        <a:ln w="38100" cmpd="sng">
          <a:solidFill>
            <a:schemeClr val="bg1"/>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0" tIns="0" rIns="91440" bIns="0" rtlCol="0" anchor="t"/>
        <a:lstStyle/>
        <a:p>
          <a:pPr algn="r">
            <a:spcAft>
              <a:spcPts val="400"/>
            </a:spcAft>
          </a:pPr>
          <a:r>
            <a:rPr lang="en-US" sz="2000" b="1" baseline="0">
              <a:solidFill>
                <a:srgbClr val="660066"/>
              </a:solidFill>
              <a:effectLst>
                <a:outerShdw blurRad="50800" dist="38100" dir="2700000" algn="tl"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Divisive politics</a:t>
          </a:r>
        </a:p>
        <a:p>
          <a:pPr algn="r">
            <a:spcBef>
              <a:spcPts val="200"/>
            </a:spcBef>
          </a:pPr>
          <a:r>
            <a:rPr lang="en-US" sz="1400" b="1" baseline="0">
              <a:solidFill>
                <a:srgbClr val="3C1E5A"/>
              </a:solidFill>
              <a:latin typeface="Tahoma" panose="020B0604030504040204" pitchFamily="34" charset="0"/>
              <a:ea typeface="Tahoma" panose="020B0604030504040204" pitchFamily="34" charset="0"/>
              <a:cs typeface="Tahoma" panose="020B0604030504040204" pitchFamily="34" charset="0"/>
            </a:rPr>
            <a:t>Argues</a:t>
          </a:r>
          <a:r>
            <a:rPr lang="en-US" sz="1400" baseline="0">
              <a:solidFill>
                <a:srgbClr val="3C1E5A"/>
              </a:solidFill>
              <a:latin typeface="Tahoma" panose="020B0604030504040204" pitchFamily="34" charset="0"/>
              <a:ea typeface="Tahoma" panose="020B0604030504040204" pitchFamily="34" charset="0"/>
              <a:cs typeface="Tahoma" panose="020B0604030504040204" pitchFamily="34" charset="0"/>
            </a:rPr>
            <a:t> defensively to avoid pain</a:t>
          </a:r>
        </a:p>
        <a:p>
          <a:pPr algn="r">
            <a:spcBef>
              <a:spcPts val="200"/>
            </a:spcBef>
          </a:pPr>
          <a:r>
            <a:rPr lang="en-US" sz="1400" b="1" baseline="0">
              <a:solidFill>
                <a:srgbClr val="3C1E5A"/>
              </a:solidFill>
              <a:latin typeface="Tahoma" panose="020B0604030504040204" pitchFamily="34" charset="0"/>
              <a:ea typeface="Tahoma" panose="020B0604030504040204" pitchFamily="34" charset="0"/>
              <a:cs typeface="Tahoma" panose="020B0604030504040204" pitchFamily="34" charset="0"/>
            </a:rPr>
            <a:t>Rejects</a:t>
          </a:r>
          <a:r>
            <a:rPr lang="en-US" sz="1400" baseline="0">
              <a:solidFill>
                <a:srgbClr val="3C1E5A"/>
              </a:solidFill>
              <a:latin typeface="Tahoma" panose="020B0604030504040204" pitchFamily="34" charset="0"/>
              <a:ea typeface="Tahoma" panose="020B0604030504040204" pitchFamily="34" charset="0"/>
              <a:cs typeface="Tahoma" panose="020B0604030504040204" pitchFamily="34" charset="0"/>
            </a:rPr>
            <a:t> expressed differences </a:t>
          </a:r>
        </a:p>
        <a:p>
          <a:pPr algn="r">
            <a:spcBef>
              <a:spcPts val="200"/>
            </a:spcBef>
          </a:pPr>
          <a:r>
            <a:rPr lang="en-US" sz="1400" b="1" baseline="0">
              <a:solidFill>
                <a:srgbClr val="3C1E5A"/>
              </a:solidFill>
              <a:latin typeface="Tahoma" panose="020B0604030504040204" pitchFamily="34" charset="0"/>
              <a:ea typeface="Tahoma" panose="020B0604030504040204" pitchFamily="34" charset="0"/>
              <a:cs typeface="Tahoma" panose="020B0604030504040204" pitchFamily="34" charset="0"/>
            </a:rPr>
            <a:t>Demands</a:t>
          </a:r>
          <a:r>
            <a:rPr lang="en-US" sz="1400" baseline="0">
              <a:solidFill>
                <a:srgbClr val="3C1E5A"/>
              </a:solidFill>
              <a:latin typeface="Tahoma" panose="020B0604030504040204" pitchFamily="34" charset="0"/>
              <a:ea typeface="Tahoma" panose="020B0604030504040204" pitchFamily="34" charset="0"/>
              <a:cs typeface="Tahoma" panose="020B0604030504040204" pitchFamily="34" charset="0"/>
            </a:rPr>
            <a:t> consensus agreement </a:t>
          </a:r>
          <a:endParaRPr lang="en-US" sz="1200" baseline="0">
            <a:solidFill>
              <a:srgbClr val="3C1E5A"/>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99060</xdr:colOff>
      <xdr:row>970</xdr:row>
      <xdr:rowOff>68580</xdr:rowOff>
    </xdr:from>
    <xdr:to>
      <xdr:col>12</xdr:col>
      <xdr:colOff>457200</xdr:colOff>
      <xdr:row>974</xdr:row>
      <xdr:rowOff>205740</xdr:rowOff>
    </xdr:to>
    <xdr:sp macro="" textlink="">
      <xdr:nvSpPr>
        <xdr:cNvPr id="2609" name="TextBox 2608">
          <a:extLst>
            <a:ext uri="{FF2B5EF4-FFF2-40B4-BE49-F238E27FC236}">
              <a16:creationId xmlns:a16="http://schemas.microsoft.com/office/drawing/2014/main" id="{00000000-0008-0000-0200-0000310A0000}"/>
            </a:ext>
          </a:extLst>
        </xdr:cNvPr>
        <xdr:cNvSpPr txBox="1"/>
      </xdr:nvSpPr>
      <xdr:spPr>
        <a:xfrm>
          <a:off x="3192780" y="179252880"/>
          <a:ext cx="2834640" cy="1143000"/>
        </a:xfrm>
        <a:prstGeom prst="rect">
          <a:avLst/>
        </a:prstGeom>
        <a:solidFill>
          <a:srgbClr val="A0FFCD"/>
        </a:solidFill>
        <a:ln w="38100" cmpd="sng">
          <a:solidFill>
            <a:schemeClr val="bg1"/>
          </a:solidFill>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91440" tIns="0" rIns="0" bIns="0" rtlCol="0" anchor="t"/>
        <a:lstStyle/>
        <a:p>
          <a:pPr>
            <a:spcAft>
              <a:spcPts val="400"/>
            </a:spcAft>
          </a:pPr>
          <a:r>
            <a:rPr lang="en-US" sz="2000" b="1" baseline="0">
              <a:solidFill>
                <a:srgbClr val="009641"/>
              </a:solidFill>
              <a:effectLst>
                <a:outerShdw blurRad="50800" dist="38100" dir="8100000" algn="tr"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Harmony Politics</a:t>
          </a:r>
          <a:endParaRPr lang="en-US" sz="1600" b="1" baseline="0">
            <a:solidFill>
              <a:srgbClr val="009641"/>
            </a:solidFill>
            <a:effectLst>
              <a:outerShdw blurRad="50800" dist="38100" dir="8100000" algn="tr"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endParaRPr>
        </a:p>
        <a:p>
          <a:pPr>
            <a:spcBef>
              <a:spcPts val="200"/>
            </a:spcBef>
          </a:pPr>
          <a:r>
            <a:rPr lang="en-US" sz="1400" b="1" baseline="0">
              <a:solidFill>
                <a:srgbClr val="004623"/>
              </a:solidFill>
              <a:latin typeface="Tahoma" panose="020B0604030504040204" pitchFamily="34" charset="0"/>
              <a:ea typeface="Tahoma" panose="020B0604030504040204" pitchFamily="34" charset="0"/>
              <a:cs typeface="Tahoma" panose="020B0604030504040204" pitchFamily="34" charset="0"/>
            </a:rPr>
            <a:t>Listens</a:t>
          </a:r>
          <a:r>
            <a:rPr lang="en-US" sz="1400" baseline="0">
              <a:solidFill>
                <a:srgbClr val="004623"/>
              </a:solidFill>
              <a:latin typeface="Tahoma" panose="020B0604030504040204" pitchFamily="34" charset="0"/>
              <a:ea typeface="Tahoma" panose="020B0604030504040204" pitchFamily="34" charset="0"/>
              <a:cs typeface="Tahoma" panose="020B0604030504040204" pitchFamily="34" charset="0"/>
            </a:rPr>
            <a:t> for needs to remove pain</a:t>
          </a:r>
        </a:p>
        <a:p>
          <a:pPr>
            <a:spcBef>
              <a:spcPts val="200"/>
            </a:spcBef>
          </a:pPr>
          <a:r>
            <a:rPr lang="en-US" sz="1400" b="1" baseline="0">
              <a:solidFill>
                <a:srgbClr val="004623"/>
              </a:solidFill>
              <a:latin typeface="Tahoma" panose="020B0604030504040204" pitchFamily="34" charset="0"/>
              <a:ea typeface="Tahoma" panose="020B0604030504040204" pitchFamily="34" charset="0"/>
              <a:cs typeface="Tahoma" panose="020B0604030504040204" pitchFamily="34" charset="0"/>
            </a:rPr>
            <a:t>Affirms</a:t>
          </a:r>
          <a:r>
            <a:rPr lang="en-US" sz="1400" baseline="0">
              <a:solidFill>
                <a:srgbClr val="004623"/>
              </a:solidFill>
              <a:latin typeface="Tahoma" panose="020B0604030504040204" pitchFamily="34" charset="0"/>
              <a:ea typeface="Tahoma" panose="020B0604030504040204" pitchFamily="34" charset="0"/>
              <a:cs typeface="Tahoma" panose="020B0604030504040204" pitchFamily="34" charset="0"/>
            </a:rPr>
            <a:t> different need priorities</a:t>
          </a:r>
        </a:p>
        <a:p>
          <a:pPr>
            <a:spcBef>
              <a:spcPts val="200"/>
            </a:spcBef>
          </a:pPr>
          <a:r>
            <a:rPr lang="en-US" sz="1400" b="1" baseline="0">
              <a:solidFill>
                <a:srgbClr val="004623"/>
              </a:solidFill>
              <a:latin typeface="Tahoma" panose="020B0604030504040204" pitchFamily="34" charset="0"/>
              <a:ea typeface="Tahoma" panose="020B0604030504040204" pitchFamily="34" charset="0"/>
              <a:cs typeface="Tahoma" panose="020B0604030504040204" pitchFamily="34" charset="0"/>
            </a:rPr>
            <a:t>Offers</a:t>
          </a:r>
          <a:r>
            <a:rPr lang="en-US" sz="1400" baseline="0">
              <a:solidFill>
                <a:srgbClr val="004623"/>
              </a:solidFill>
              <a:latin typeface="Tahoma" panose="020B0604030504040204" pitchFamily="34" charset="0"/>
              <a:ea typeface="Tahoma" panose="020B0604030504040204" pitchFamily="34" charset="0"/>
              <a:cs typeface="Tahoma" panose="020B0604030504040204" pitchFamily="34" charset="0"/>
            </a:rPr>
            <a:t> empathy &amp; understanding</a:t>
          </a:r>
        </a:p>
      </xdr:txBody>
    </xdr:sp>
    <xdr:clientData/>
  </xdr:twoCellAnchor>
  <xdr:twoCellAnchor>
    <xdr:from>
      <xdr:col>1</xdr:col>
      <xdr:colOff>7620</xdr:colOff>
      <xdr:row>358</xdr:row>
      <xdr:rowOff>7620</xdr:rowOff>
    </xdr:from>
    <xdr:to>
      <xdr:col>13</xdr:col>
      <xdr:colOff>7620</xdr:colOff>
      <xdr:row>360</xdr:row>
      <xdr:rowOff>129540</xdr:rowOff>
    </xdr:to>
    <xdr:sp macro="" textlink="">
      <xdr:nvSpPr>
        <xdr:cNvPr id="2624" name="You believe whatever serves your needs.">
          <a:extLst>
            <a:ext uri="{FF2B5EF4-FFF2-40B4-BE49-F238E27FC236}">
              <a16:creationId xmlns:a16="http://schemas.microsoft.com/office/drawing/2014/main" id="{00000000-0008-0000-0200-0000400A0000}"/>
            </a:ext>
          </a:extLst>
        </xdr:cNvPr>
        <xdr:cNvSpPr txBox="1">
          <a:spLocks/>
        </xdr:cNvSpPr>
      </xdr:nvSpPr>
      <xdr:spPr>
        <a:xfrm>
          <a:off x="129540" y="66446400"/>
          <a:ext cx="5943600" cy="47244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2000"/>
            </a:lnSpc>
            <a:buNone/>
          </a:pPr>
          <a:r>
            <a:rPr lang="en-US" sz="1600" b="1" spc="-1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If you can't change your prioritized needs for</a:t>
          </a:r>
          <a:r>
            <a:rPr lang="en-US" sz="1600" b="1" spc="-1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 them,</a:t>
          </a:r>
          <a:r>
            <a:rPr lang="en-US" sz="1600" b="1" spc="-3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 </a:t>
          </a:r>
          <a:r>
            <a:rPr lang="en-US" sz="1600" b="1" spc="-5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why must they change their prioritized needs for you?</a:t>
          </a:r>
          <a:endParaRPr lang="en-US" sz="1600" spc="-5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endParaRPr>
        </a:p>
      </xdr:txBody>
    </xdr:sp>
    <xdr:clientData/>
  </xdr:twoCellAnchor>
  <xdr:twoCellAnchor>
    <xdr:from>
      <xdr:col>14</xdr:col>
      <xdr:colOff>91440</xdr:colOff>
      <xdr:row>61</xdr:row>
      <xdr:rowOff>186690</xdr:rowOff>
    </xdr:from>
    <xdr:to>
      <xdr:col>15</xdr:col>
      <xdr:colOff>320040</xdr:colOff>
      <xdr:row>64</xdr:row>
      <xdr:rowOff>5746</xdr:rowOff>
    </xdr:to>
    <xdr:grpSp>
      <xdr:nvGrpSpPr>
        <xdr:cNvPr id="2841" name="Group 2840">
          <a:extLst>
            <a:ext uri="{FF2B5EF4-FFF2-40B4-BE49-F238E27FC236}">
              <a16:creationId xmlns:a16="http://schemas.microsoft.com/office/drawing/2014/main" id="{00000000-0008-0000-0200-0000190B0000}"/>
            </a:ext>
          </a:extLst>
        </xdr:cNvPr>
        <xdr:cNvGrpSpPr/>
      </xdr:nvGrpSpPr>
      <xdr:grpSpPr>
        <a:xfrm>
          <a:off x="6355080" y="12698730"/>
          <a:ext cx="342900" cy="390556"/>
          <a:chOff x="6393180" y="135504780"/>
          <a:chExt cx="350520" cy="390556"/>
        </a:xfrm>
      </xdr:grpSpPr>
      <xdr:sp macro="" textlink="">
        <xdr:nvSpPr>
          <xdr:cNvPr id="2842" name="Rectangle: Rounded Corners 2841">
            <a:extLst>
              <a:ext uri="{FF2B5EF4-FFF2-40B4-BE49-F238E27FC236}">
                <a16:creationId xmlns:a16="http://schemas.microsoft.com/office/drawing/2014/main" id="{00000000-0008-0000-0200-00001A0B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843" name="Rectangle 2842">
            <a:extLst>
              <a:ext uri="{FF2B5EF4-FFF2-40B4-BE49-F238E27FC236}">
                <a16:creationId xmlns:a16="http://schemas.microsoft.com/office/drawing/2014/main" id="{00000000-0008-0000-0200-00001B0B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7</xdr:row>
      <xdr:rowOff>9899</xdr:rowOff>
    </xdr:from>
    <xdr:to>
      <xdr:col>12</xdr:col>
      <xdr:colOff>164522</xdr:colOff>
      <xdr:row>7</xdr:row>
      <xdr:rowOff>172636</xdr:rowOff>
    </xdr:to>
    <xdr:grpSp>
      <xdr:nvGrpSpPr>
        <xdr:cNvPr id="2889" name="Group 2888">
          <a:extLst>
            <a:ext uri="{FF2B5EF4-FFF2-40B4-BE49-F238E27FC236}">
              <a16:creationId xmlns:a16="http://schemas.microsoft.com/office/drawing/2014/main" id="{00000000-0008-0000-0200-0000490B0000}"/>
            </a:ext>
          </a:extLst>
        </xdr:cNvPr>
        <xdr:cNvGrpSpPr/>
      </xdr:nvGrpSpPr>
      <xdr:grpSpPr>
        <a:xfrm>
          <a:off x="5693538" y="1922519"/>
          <a:ext cx="117404" cy="162737"/>
          <a:chOff x="6496416" y="135471422"/>
          <a:chExt cx="117279" cy="159032"/>
        </a:xfrm>
      </xdr:grpSpPr>
      <xdr:sp macro="" textlink="">
        <xdr:nvSpPr>
          <xdr:cNvPr id="2890" name="Rectangle: Rounded Corners 2889">
            <a:extLst>
              <a:ext uri="{FF2B5EF4-FFF2-40B4-BE49-F238E27FC236}">
                <a16:creationId xmlns:a16="http://schemas.microsoft.com/office/drawing/2014/main" id="{00000000-0008-0000-0200-00004A0B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891" name="Rectangle 2890">
            <a:extLst>
              <a:ext uri="{FF2B5EF4-FFF2-40B4-BE49-F238E27FC236}">
                <a16:creationId xmlns:a16="http://schemas.microsoft.com/office/drawing/2014/main" id="{00000000-0008-0000-0200-00004B0B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xdr:col>
      <xdr:colOff>253380</xdr:colOff>
      <xdr:row>896</xdr:row>
      <xdr:rowOff>167640</xdr:rowOff>
    </xdr:from>
    <xdr:to>
      <xdr:col>12</xdr:col>
      <xdr:colOff>291480</xdr:colOff>
      <xdr:row>900</xdr:row>
      <xdr:rowOff>106680</xdr:rowOff>
    </xdr:to>
    <xdr:sp macro="" textlink="">
      <xdr:nvSpPr>
        <xdr:cNvPr id="1851" name="TextBox 1850">
          <a:extLst>
            <a:ext uri="{FF2B5EF4-FFF2-40B4-BE49-F238E27FC236}">
              <a16:creationId xmlns:a16="http://schemas.microsoft.com/office/drawing/2014/main" id="{00000000-0008-0000-0200-00003B070000}"/>
            </a:ext>
          </a:extLst>
        </xdr:cNvPr>
        <xdr:cNvSpPr txBox="1"/>
      </xdr:nvSpPr>
      <xdr:spPr>
        <a:xfrm>
          <a:off x="375300" y="174124620"/>
          <a:ext cx="5486400" cy="640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800" b="1" baseline="0">
              <a:solidFill>
                <a:srgbClr val="EBDCFF"/>
              </a:solidFill>
              <a:latin typeface="Tahoma" panose="020B0604030504040204" pitchFamily="34" charset="0"/>
              <a:ea typeface="Tahoma" panose="020B0604030504040204" pitchFamily="34" charset="0"/>
              <a:cs typeface="Tahoma" panose="020B0604030504040204" pitchFamily="34" charset="0"/>
            </a:rPr>
            <a:t>Responsibility is response-ability, </a:t>
          </a:r>
        </a:p>
        <a:p>
          <a:pPr algn="ctr"/>
          <a:r>
            <a:rPr lang="en-US" sz="1600" b="1" spc="-40" baseline="0">
              <a:solidFill>
                <a:srgbClr val="EBDCFF"/>
              </a:solidFill>
              <a:latin typeface="Tahoma" panose="020B0604030504040204" pitchFamily="34" charset="0"/>
              <a:ea typeface="Tahoma" panose="020B0604030504040204" pitchFamily="34" charset="0"/>
              <a:cs typeface="Tahoma" panose="020B0604030504040204" pitchFamily="34" charset="0"/>
            </a:rPr>
            <a:t>the ability to respond to specific needs.</a:t>
          </a:r>
        </a:p>
      </xdr:txBody>
    </xdr:sp>
    <xdr:clientData/>
  </xdr:twoCellAnchor>
  <xdr:twoCellAnchor>
    <xdr:from>
      <xdr:col>14</xdr:col>
      <xdr:colOff>91440</xdr:colOff>
      <xdr:row>128</xdr:row>
      <xdr:rowOff>57150</xdr:rowOff>
    </xdr:from>
    <xdr:to>
      <xdr:col>15</xdr:col>
      <xdr:colOff>320040</xdr:colOff>
      <xdr:row>129</xdr:row>
      <xdr:rowOff>196246</xdr:rowOff>
    </xdr:to>
    <xdr:grpSp>
      <xdr:nvGrpSpPr>
        <xdr:cNvPr id="1860" name="Group 1859">
          <a:extLst>
            <a:ext uri="{FF2B5EF4-FFF2-40B4-BE49-F238E27FC236}">
              <a16:creationId xmlns:a16="http://schemas.microsoft.com/office/drawing/2014/main" id="{00000000-0008-0000-0200-000044070000}"/>
            </a:ext>
          </a:extLst>
        </xdr:cNvPr>
        <xdr:cNvGrpSpPr/>
      </xdr:nvGrpSpPr>
      <xdr:grpSpPr>
        <a:xfrm>
          <a:off x="6355080" y="27595830"/>
          <a:ext cx="342900" cy="390556"/>
          <a:chOff x="6393180" y="135504780"/>
          <a:chExt cx="350520" cy="390556"/>
        </a:xfrm>
      </xdr:grpSpPr>
      <xdr:sp macro="" textlink="">
        <xdr:nvSpPr>
          <xdr:cNvPr id="1861" name="Rectangle: Rounded Corners 1860">
            <a:extLst>
              <a:ext uri="{FF2B5EF4-FFF2-40B4-BE49-F238E27FC236}">
                <a16:creationId xmlns:a16="http://schemas.microsoft.com/office/drawing/2014/main" id="{00000000-0008-0000-0200-000045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62" name="Rectangle 1861">
            <a:extLst>
              <a:ext uri="{FF2B5EF4-FFF2-40B4-BE49-F238E27FC236}">
                <a16:creationId xmlns:a16="http://schemas.microsoft.com/office/drawing/2014/main" id="{00000000-0008-0000-0200-000046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172</xdr:row>
      <xdr:rowOff>26670</xdr:rowOff>
    </xdr:from>
    <xdr:to>
      <xdr:col>15</xdr:col>
      <xdr:colOff>320040</xdr:colOff>
      <xdr:row>172</xdr:row>
      <xdr:rowOff>417226</xdr:rowOff>
    </xdr:to>
    <xdr:grpSp>
      <xdr:nvGrpSpPr>
        <xdr:cNvPr id="1863" name="Group 1862">
          <a:extLst>
            <a:ext uri="{FF2B5EF4-FFF2-40B4-BE49-F238E27FC236}">
              <a16:creationId xmlns:a16="http://schemas.microsoft.com/office/drawing/2014/main" id="{00000000-0008-0000-0200-000047070000}"/>
            </a:ext>
          </a:extLst>
        </xdr:cNvPr>
        <xdr:cNvGrpSpPr/>
      </xdr:nvGrpSpPr>
      <xdr:grpSpPr>
        <a:xfrm>
          <a:off x="6355080" y="37478970"/>
          <a:ext cx="342900" cy="390556"/>
          <a:chOff x="6393180" y="135504780"/>
          <a:chExt cx="350520" cy="390556"/>
        </a:xfrm>
      </xdr:grpSpPr>
      <xdr:sp macro="" textlink="">
        <xdr:nvSpPr>
          <xdr:cNvPr id="1864" name="Rectangle: Rounded Corners 1863">
            <a:extLst>
              <a:ext uri="{FF2B5EF4-FFF2-40B4-BE49-F238E27FC236}">
                <a16:creationId xmlns:a16="http://schemas.microsoft.com/office/drawing/2014/main" id="{00000000-0008-0000-0200-000048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65" name="Rectangle 1864">
            <a:extLst>
              <a:ext uri="{FF2B5EF4-FFF2-40B4-BE49-F238E27FC236}">
                <a16:creationId xmlns:a16="http://schemas.microsoft.com/office/drawing/2014/main" id="{00000000-0008-0000-0200-000049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201</xdr:row>
      <xdr:rowOff>26670</xdr:rowOff>
    </xdr:from>
    <xdr:to>
      <xdr:col>15</xdr:col>
      <xdr:colOff>320040</xdr:colOff>
      <xdr:row>202</xdr:row>
      <xdr:rowOff>165766</xdr:rowOff>
    </xdr:to>
    <xdr:grpSp>
      <xdr:nvGrpSpPr>
        <xdr:cNvPr id="1866" name="Group 1865">
          <a:extLst>
            <a:ext uri="{FF2B5EF4-FFF2-40B4-BE49-F238E27FC236}">
              <a16:creationId xmlns:a16="http://schemas.microsoft.com/office/drawing/2014/main" id="{00000000-0008-0000-0200-00004A070000}"/>
            </a:ext>
          </a:extLst>
        </xdr:cNvPr>
        <xdr:cNvGrpSpPr/>
      </xdr:nvGrpSpPr>
      <xdr:grpSpPr>
        <a:xfrm>
          <a:off x="6355080" y="43392090"/>
          <a:ext cx="342900" cy="390556"/>
          <a:chOff x="6393180" y="135504780"/>
          <a:chExt cx="350520" cy="390556"/>
        </a:xfrm>
      </xdr:grpSpPr>
      <xdr:sp macro="" textlink="">
        <xdr:nvSpPr>
          <xdr:cNvPr id="1867" name="Rectangle: Rounded Corners 1866">
            <a:extLst>
              <a:ext uri="{FF2B5EF4-FFF2-40B4-BE49-F238E27FC236}">
                <a16:creationId xmlns:a16="http://schemas.microsoft.com/office/drawing/2014/main" id="{00000000-0008-0000-0200-00004B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68" name="Rectangle 1867">
            <a:extLst>
              <a:ext uri="{FF2B5EF4-FFF2-40B4-BE49-F238E27FC236}">
                <a16:creationId xmlns:a16="http://schemas.microsoft.com/office/drawing/2014/main" id="{00000000-0008-0000-0200-00004C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242</xdr:row>
      <xdr:rowOff>224790</xdr:rowOff>
    </xdr:from>
    <xdr:to>
      <xdr:col>15</xdr:col>
      <xdr:colOff>320040</xdr:colOff>
      <xdr:row>244</xdr:row>
      <xdr:rowOff>112426</xdr:rowOff>
    </xdr:to>
    <xdr:grpSp>
      <xdr:nvGrpSpPr>
        <xdr:cNvPr id="1869" name="Group 1868">
          <a:extLst>
            <a:ext uri="{FF2B5EF4-FFF2-40B4-BE49-F238E27FC236}">
              <a16:creationId xmlns:a16="http://schemas.microsoft.com/office/drawing/2014/main" id="{00000000-0008-0000-0200-00004D070000}"/>
            </a:ext>
          </a:extLst>
        </xdr:cNvPr>
        <xdr:cNvGrpSpPr/>
      </xdr:nvGrpSpPr>
      <xdr:grpSpPr>
        <a:xfrm>
          <a:off x="6355080" y="52619910"/>
          <a:ext cx="342900" cy="390556"/>
          <a:chOff x="6393180" y="135504780"/>
          <a:chExt cx="350520" cy="390556"/>
        </a:xfrm>
      </xdr:grpSpPr>
      <xdr:sp macro="" textlink="">
        <xdr:nvSpPr>
          <xdr:cNvPr id="1870" name="Rectangle: Rounded Corners 1869">
            <a:extLst>
              <a:ext uri="{FF2B5EF4-FFF2-40B4-BE49-F238E27FC236}">
                <a16:creationId xmlns:a16="http://schemas.microsoft.com/office/drawing/2014/main" id="{00000000-0008-0000-0200-00004E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71" name="Rectangle 1870">
            <a:extLst>
              <a:ext uri="{FF2B5EF4-FFF2-40B4-BE49-F238E27FC236}">
                <a16:creationId xmlns:a16="http://schemas.microsoft.com/office/drawing/2014/main" id="{00000000-0008-0000-0200-00004F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610</xdr:row>
      <xdr:rowOff>217170</xdr:rowOff>
    </xdr:from>
    <xdr:to>
      <xdr:col>15</xdr:col>
      <xdr:colOff>320040</xdr:colOff>
      <xdr:row>613</xdr:row>
      <xdr:rowOff>13366</xdr:rowOff>
    </xdr:to>
    <xdr:grpSp>
      <xdr:nvGrpSpPr>
        <xdr:cNvPr id="1872" name="Group 1871">
          <a:extLst>
            <a:ext uri="{FF2B5EF4-FFF2-40B4-BE49-F238E27FC236}">
              <a16:creationId xmlns:a16="http://schemas.microsoft.com/office/drawing/2014/main" id="{00000000-0008-0000-0200-000050070000}"/>
            </a:ext>
          </a:extLst>
        </xdr:cNvPr>
        <xdr:cNvGrpSpPr/>
      </xdr:nvGrpSpPr>
      <xdr:grpSpPr>
        <a:xfrm>
          <a:off x="6355080" y="120895110"/>
          <a:ext cx="342900" cy="390556"/>
          <a:chOff x="6393180" y="135504780"/>
          <a:chExt cx="350520" cy="390556"/>
        </a:xfrm>
      </xdr:grpSpPr>
      <xdr:sp macro="" textlink="">
        <xdr:nvSpPr>
          <xdr:cNvPr id="1873" name="Rectangle: Rounded Corners 1872">
            <a:extLst>
              <a:ext uri="{FF2B5EF4-FFF2-40B4-BE49-F238E27FC236}">
                <a16:creationId xmlns:a16="http://schemas.microsoft.com/office/drawing/2014/main" id="{00000000-0008-0000-0200-000051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74" name="Rectangle 1873">
            <a:extLst>
              <a:ext uri="{FF2B5EF4-FFF2-40B4-BE49-F238E27FC236}">
                <a16:creationId xmlns:a16="http://schemas.microsoft.com/office/drawing/2014/main" id="{00000000-0008-0000-0200-000052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757</xdr:row>
      <xdr:rowOff>179070</xdr:rowOff>
    </xdr:from>
    <xdr:to>
      <xdr:col>15</xdr:col>
      <xdr:colOff>320040</xdr:colOff>
      <xdr:row>759</xdr:row>
      <xdr:rowOff>66706</xdr:rowOff>
    </xdr:to>
    <xdr:grpSp>
      <xdr:nvGrpSpPr>
        <xdr:cNvPr id="1875" name="Group 1874">
          <a:extLst>
            <a:ext uri="{FF2B5EF4-FFF2-40B4-BE49-F238E27FC236}">
              <a16:creationId xmlns:a16="http://schemas.microsoft.com/office/drawing/2014/main" id="{00000000-0008-0000-0200-000053070000}"/>
            </a:ext>
          </a:extLst>
        </xdr:cNvPr>
        <xdr:cNvGrpSpPr/>
      </xdr:nvGrpSpPr>
      <xdr:grpSpPr>
        <a:xfrm>
          <a:off x="6355080" y="148250910"/>
          <a:ext cx="342900" cy="390556"/>
          <a:chOff x="6393180" y="135504780"/>
          <a:chExt cx="350520" cy="390556"/>
        </a:xfrm>
      </xdr:grpSpPr>
      <xdr:sp macro="" textlink="">
        <xdr:nvSpPr>
          <xdr:cNvPr id="1876" name="Rectangle: Rounded Corners 1875">
            <a:extLst>
              <a:ext uri="{FF2B5EF4-FFF2-40B4-BE49-F238E27FC236}">
                <a16:creationId xmlns:a16="http://schemas.microsoft.com/office/drawing/2014/main" id="{00000000-0008-0000-0200-000054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77" name="Rectangle 1876">
            <a:extLst>
              <a:ext uri="{FF2B5EF4-FFF2-40B4-BE49-F238E27FC236}">
                <a16:creationId xmlns:a16="http://schemas.microsoft.com/office/drawing/2014/main" id="{00000000-0008-0000-0200-000055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976</xdr:row>
      <xdr:rowOff>247650</xdr:rowOff>
    </xdr:from>
    <xdr:to>
      <xdr:col>15</xdr:col>
      <xdr:colOff>320040</xdr:colOff>
      <xdr:row>978</xdr:row>
      <xdr:rowOff>135286</xdr:rowOff>
    </xdr:to>
    <xdr:grpSp>
      <xdr:nvGrpSpPr>
        <xdr:cNvPr id="1878" name="Group 1877">
          <a:extLst>
            <a:ext uri="{FF2B5EF4-FFF2-40B4-BE49-F238E27FC236}">
              <a16:creationId xmlns:a16="http://schemas.microsoft.com/office/drawing/2014/main" id="{00000000-0008-0000-0200-000056070000}"/>
            </a:ext>
          </a:extLst>
        </xdr:cNvPr>
        <xdr:cNvGrpSpPr/>
      </xdr:nvGrpSpPr>
      <xdr:grpSpPr>
        <a:xfrm>
          <a:off x="6355080" y="189635130"/>
          <a:ext cx="342900" cy="390556"/>
          <a:chOff x="6393180" y="135504780"/>
          <a:chExt cx="350520" cy="390556"/>
        </a:xfrm>
      </xdr:grpSpPr>
      <xdr:sp macro="" textlink="">
        <xdr:nvSpPr>
          <xdr:cNvPr id="1879" name="Rectangle: Rounded Corners 1878">
            <a:extLst>
              <a:ext uri="{FF2B5EF4-FFF2-40B4-BE49-F238E27FC236}">
                <a16:creationId xmlns:a16="http://schemas.microsoft.com/office/drawing/2014/main" id="{00000000-0008-0000-0200-000057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80" name="Rectangle 1879">
            <a:extLst>
              <a:ext uri="{FF2B5EF4-FFF2-40B4-BE49-F238E27FC236}">
                <a16:creationId xmlns:a16="http://schemas.microsoft.com/office/drawing/2014/main" id="{00000000-0008-0000-0200-000058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1045</xdr:row>
      <xdr:rowOff>148590</xdr:rowOff>
    </xdr:from>
    <xdr:to>
      <xdr:col>15</xdr:col>
      <xdr:colOff>320040</xdr:colOff>
      <xdr:row>1046</xdr:row>
      <xdr:rowOff>356266</xdr:rowOff>
    </xdr:to>
    <xdr:grpSp>
      <xdr:nvGrpSpPr>
        <xdr:cNvPr id="1881" name="Group 1880">
          <a:extLst>
            <a:ext uri="{FF2B5EF4-FFF2-40B4-BE49-F238E27FC236}">
              <a16:creationId xmlns:a16="http://schemas.microsoft.com/office/drawing/2014/main" id="{00000000-0008-0000-0200-000059070000}"/>
            </a:ext>
          </a:extLst>
        </xdr:cNvPr>
        <xdr:cNvGrpSpPr/>
      </xdr:nvGrpSpPr>
      <xdr:grpSpPr>
        <a:xfrm>
          <a:off x="6355080" y="204250290"/>
          <a:ext cx="342900" cy="390556"/>
          <a:chOff x="6393180" y="135504780"/>
          <a:chExt cx="350520" cy="390556"/>
        </a:xfrm>
      </xdr:grpSpPr>
      <xdr:sp macro="" textlink="">
        <xdr:nvSpPr>
          <xdr:cNvPr id="1882" name="Rectangle: Rounded Corners 1881">
            <a:extLst>
              <a:ext uri="{FF2B5EF4-FFF2-40B4-BE49-F238E27FC236}">
                <a16:creationId xmlns:a16="http://schemas.microsoft.com/office/drawing/2014/main" id="{00000000-0008-0000-0200-00005A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83" name="Rectangle 1882">
            <a:extLst>
              <a:ext uri="{FF2B5EF4-FFF2-40B4-BE49-F238E27FC236}">
                <a16:creationId xmlns:a16="http://schemas.microsoft.com/office/drawing/2014/main" id="{00000000-0008-0000-0200-00005B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1137</xdr:row>
      <xdr:rowOff>186690</xdr:rowOff>
    </xdr:from>
    <xdr:to>
      <xdr:col>15</xdr:col>
      <xdr:colOff>320040</xdr:colOff>
      <xdr:row>1139</xdr:row>
      <xdr:rowOff>158146</xdr:rowOff>
    </xdr:to>
    <xdr:grpSp>
      <xdr:nvGrpSpPr>
        <xdr:cNvPr id="1887" name="Group 1886">
          <a:extLst>
            <a:ext uri="{FF2B5EF4-FFF2-40B4-BE49-F238E27FC236}">
              <a16:creationId xmlns:a16="http://schemas.microsoft.com/office/drawing/2014/main" id="{00000000-0008-0000-0200-00005F070000}"/>
            </a:ext>
          </a:extLst>
        </xdr:cNvPr>
        <xdr:cNvGrpSpPr/>
      </xdr:nvGrpSpPr>
      <xdr:grpSpPr>
        <a:xfrm>
          <a:off x="6355080" y="226942650"/>
          <a:ext cx="342900" cy="390556"/>
          <a:chOff x="6393180" y="135504780"/>
          <a:chExt cx="350520" cy="390556"/>
        </a:xfrm>
      </xdr:grpSpPr>
      <xdr:sp macro="" textlink="">
        <xdr:nvSpPr>
          <xdr:cNvPr id="1888" name="Rectangle: Rounded Corners 1887">
            <a:extLst>
              <a:ext uri="{FF2B5EF4-FFF2-40B4-BE49-F238E27FC236}">
                <a16:creationId xmlns:a16="http://schemas.microsoft.com/office/drawing/2014/main" id="{00000000-0008-0000-0200-000060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89" name="Rectangle 1888">
            <a:extLst>
              <a:ext uri="{FF2B5EF4-FFF2-40B4-BE49-F238E27FC236}">
                <a16:creationId xmlns:a16="http://schemas.microsoft.com/office/drawing/2014/main" id="{00000000-0008-0000-0200-000061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1174</xdr:row>
      <xdr:rowOff>171450</xdr:rowOff>
    </xdr:from>
    <xdr:to>
      <xdr:col>15</xdr:col>
      <xdr:colOff>320040</xdr:colOff>
      <xdr:row>1177</xdr:row>
      <xdr:rowOff>20986</xdr:rowOff>
    </xdr:to>
    <xdr:grpSp>
      <xdr:nvGrpSpPr>
        <xdr:cNvPr id="1892" name="Group 1891">
          <a:extLst>
            <a:ext uri="{FF2B5EF4-FFF2-40B4-BE49-F238E27FC236}">
              <a16:creationId xmlns:a16="http://schemas.microsoft.com/office/drawing/2014/main" id="{00000000-0008-0000-0200-000064070000}"/>
            </a:ext>
          </a:extLst>
        </xdr:cNvPr>
        <xdr:cNvGrpSpPr/>
      </xdr:nvGrpSpPr>
      <xdr:grpSpPr>
        <a:xfrm>
          <a:off x="6355080" y="235111290"/>
          <a:ext cx="342900" cy="390556"/>
          <a:chOff x="6393180" y="135504780"/>
          <a:chExt cx="350520" cy="390556"/>
        </a:xfrm>
      </xdr:grpSpPr>
      <xdr:sp macro="" textlink="">
        <xdr:nvSpPr>
          <xdr:cNvPr id="1893" name="Rectangle: Rounded Corners 1892">
            <a:extLst>
              <a:ext uri="{FF2B5EF4-FFF2-40B4-BE49-F238E27FC236}">
                <a16:creationId xmlns:a16="http://schemas.microsoft.com/office/drawing/2014/main" id="{00000000-0008-0000-0200-000065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97" name="Rectangle 1896">
            <a:extLst>
              <a:ext uri="{FF2B5EF4-FFF2-40B4-BE49-F238E27FC236}">
                <a16:creationId xmlns:a16="http://schemas.microsoft.com/office/drawing/2014/main" id="{00000000-0008-0000-0200-000069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1316</xdr:row>
      <xdr:rowOff>3810</xdr:rowOff>
    </xdr:from>
    <xdr:to>
      <xdr:col>15</xdr:col>
      <xdr:colOff>320040</xdr:colOff>
      <xdr:row>1317</xdr:row>
      <xdr:rowOff>181006</xdr:rowOff>
    </xdr:to>
    <xdr:grpSp>
      <xdr:nvGrpSpPr>
        <xdr:cNvPr id="1898" name="Group 1897">
          <a:extLst>
            <a:ext uri="{FF2B5EF4-FFF2-40B4-BE49-F238E27FC236}">
              <a16:creationId xmlns:a16="http://schemas.microsoft.com/office/drawing/2014/main" id="{00000000-0008-0000-0200-00006A070000}"/>
            </a:ext>
          </a:extLst>
        </xdr:cNvPr>
        <xdr:cNvGrpSpPr/>
      </xdr:nvGrpSpPr>
      <xdr:grpSpPr>
        <a:xfrm>
          <a:off x="6355080" y="260600190"/>
          <a:ext cx="342900" cy="390556"/>
          <a:chOff x="6393180" y="135504780"/>
          <a:chExt cx="350520" cy="390556"/>
        </a:xfrm>
      </xdr:grpSpPr>
      <xdr:sp macro="" textlink="">
        <xdr:nvSpPr>
          <xdr:cNvPr id="1899" name="Rectangle: Rounded Corners 1898">
            <a:extLst>
              <a:ext uri="{FF2B5EF4-FFF2-40B4-BE49-F238E27FC236}">
                <a16:creationId xmlns:a16="http://schemas.microsoft.com/office/drawing/2014/main" id="{00000000-0008-0000-0200-00006B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00" name="Rectangle 1899">
            <a:extLst>
              <a:ext uri="{FF2B5EF4-FFF2-40B4-BE49-F238E27FC236}">
                <a16:creationId xmlns:a16="http://schemas.microsoft.com/office/drawing/2014/main" id="{00000000-0008-0000-0200-00006C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1409</xdr:row>
      <xdr:rowOff>110490</xdr:rowOff>
    </xdr:from>
    <xdr:to>
      <xdr:col>15</xdr:col>
      <xdr:colOff>320040</xdr:colOff>
      <xdr:row>1411</xdr:row>
      <xdr:rowOff>165766</xdr:rowOff>
    </xdr:to>
    <xdr:grpSp>
      <xdr:nvGrpSpPr>
        <xdr:cNvPr id="1901" name="Group 1900">
          <a:extLst>
            <a:ext uri="{FF2B5EF4-FFF2-40B4-BE49-F238E27FC236}">
              <a16:creationId xmlns:a16="http://schemas.microsoft.com/office/drawing/2014/main" id="{00000000-0008-0000-0200-00006D070000}"/>
            </a:ext>
          </a:extLst>
        </xdr:cNvPr>
        <xdr:cNvGrpSpPr/>
      </xdr:nvGrpSpPr>
      <xdr:grpSpPr>
        <a:xfrm>
          <a:off x="6355080" y="277577550"/>
          <a:ext cx="342900" cy="398176"/>
          <a:chOff x="6393180" y="135504780"/>
          <a:chExt cx="350520" cy="390556"/>
        </a:xfrm>
      </xdr:grpSpPr>
      <xdr:sp macro="" textlink="">
        <xdr:nvSpPr>
          <xdr:cNvPr id="1902" name="Rectangle: Rounded Corners 1901">
            <a:extLst>
              <a:ext uri="{FF2B5EF4-FFF2-40B4-BE49-F238E27FC236}">
                <a16:creationId xmlns:a16="http://schemas.microsoft.com/office/drawing/2014/main" id="{00000000-0008-0000-0200-00006E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08" name="Rectangle 1907">
            <a:extLst>
              <a:ext uri="{FF2B5EF4-FFF2-40B4-BE49-F238E27FC236}">
                <a16:creationId xmlns:a16="http://schemas.microsoft.com/office/drawing/2014/main" id="{00000000-0008-0000-0200-000074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1501</xdr:row>
      <xdr:rowOff>3810</xdr:rowOff>
    </xdr:from>
    <xdr:to>
      <xdr:col>15</xdr:col>
      <xdr:colOff>320040</xdr:colOff>
      <xdr:row>1502</xdr:row>
      <xdr:rowOff>181006</xdr:rowOff>
    </xdr:to>
    <xdr:grpSp>
      <xdr:nvGrpSpPr>
        <xdr:cNvPr id="1909" name="Group 1908">
          <a:extLst>
            <a:ext uri="{FF2B5EF4-FFF2-40B4-BE49-F238E27FC236}">
              <a16:creationId xmlns:a16="http://schemas.microsoft.com/office/drawing/2014/main" id="{00000000-0008-0000-0200-000075070000}"/>
            </a:ext>
          </a:extLst>
        </xdr:cNvPr>
        <xdr:cNvGrpSpPr/>
      </xdr:nvGrpSpPr>
      <xdr:grpSpPr>
        <a:xfrm>
          <a:off x="6355080" y="294463470"/>
          <a:ext cx="342900" cy="390556"/>
          <a:chOff x="6393180" y="135504780"/>
          <a:chExt cx="350520" cy="390556"/>
        </a:xfrm>
      </xdr:grpSpPr>
      <xdr:sp macro="" textlink="">
        <xdr:nvSpPr>
          <xdr:cNvPr id="1911" name="Rectangle: Rounded Corners 1910">
            <a:extLst>
              <a:ext uri="{FF2B5EF4-FFF2-40B4-BE49-F238E27FC236}">
                <a16:creationId xmlns:a16="http://schemas.microsoft.com/office/drawing/2014/main" id="{00000000-0008-0000-0200-000077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12" name="Rectangle 1911">
            <a:extLst>
              <a:ext uri="{FF2B5EF4-FFF2-40B4-BE49-F238E27FC236}">
                <a16:creationId xmlns:a16="http://schemas.microsoft.com/office/drawing/2014/main" id="{00000000-0008-0000-0200-000078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9</xdr:row>
      <xdr:rowOff>15693</xdr:rowOff>
    </xdr:from>
    <xdr:to>
      <xdr:col>12</xdr:col>
      <xdr:colOff>164522</xdr:colOff>
      <xdr:row>10</xdr:row>
      <xdr:rowOff>4590</xdr:rowOff>
    </xdr:to>
    <xdr:grpSp>
      <xdr:nvGrpSpPr>
        <xdr:cNvPr id="1913" name="Group 1912">
          <a:extLst>
            <a:ext uri="{FF2B5EF4-FFF2-40B4-BE49-F238E27FC236}">
              <a16:creationId xmlns:a16="http://schemas.microsoft.com/office/drawing/2014/main" id="{00000000-0008-0000-0200-000079070000}"/>
            </a:ext>
          </a:extLst>
        </xdr:cNvPr>
        <xdr:cNvGrpSpPr/>
      </xdr:nvGrpSpPr>
      <xdr:grpSpPr>
        <a:xfrm>
          <a:off x="5693538" y="2278833"/>
          <a:ext cx="117404" cy="164157"/>
          <a:chOff x="6496416" y="135471422"/>
          <a:chExt cx="117279" cy="159032"/>
        </a:xfrm>
      </xdr:grpSpPr>
      <xdr:sp macro="" textlink="">
        <xdr:nvSpPr>
          <xdr:cNvPr id="1914" name="Rectangle: Rounded Corners 1913">
            <a:extLst>
              <a:ext uri="{FF2B5EF4-FFF2-40B4-BE49-F238E27FC236}">
                <a16:creationId xmlns:a16="http://schemas.microsoft.com/office/drawing/2014/main" id="{00000000-0008-0000-0200-00007A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15" name="Rectangle 1914">
            <a:extLst>
              <a:ext uri="{FF2B5EF4-FFF2-40B4-BE49-F238E27FC236}">
                <a16:creationId xmlns:a16="http://schemas.microsoft.com/office/drawing/2014/main" id="{00000000-0008-0000-0200-00007B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10</xdr:row>
      <xdr:rowOff>21488</xdr:rowOff>
    </xdr:from>
    <xdr:to>
      <xdr:col>12</xdr:col>
      <xdr:colOff>164522</xdr:colOff>
      <xdr:row>10</xdr:row>
      <xdr:rowOff>184225</xdr:rowOff>
    </xdr:to>
    <xdr:grpSp>
      <xdr:nvGrpSpPr>
        <xdr:cNvPr id="1916" name="Group 1915">
          <a:extLst>
            <a:ext uri="{FF2B5EF4-FFF2-40B4-BE49-F238E27FC236}">
              <a16:creationId xmlns:a16="http://schemas.microsoft.com/office/drawing/2014/main" id="{00000000-0008-0000-0200-00007C070000}"/>
            </a:ext>
          </a:extLst>
        </xdr:cNvPr>
        <xdr:cNvGrpSpPr/>
      </xdr:nvGrpSpPr>
      <xdr:grpSpPr>
        <a:xfrm>
          <a:off x="5693538" y="2459888"/>
          <a:ext cx="117404" cy="162737"/>
          <a:chOff x="6496416" y="135471422"/>
          <a:chExt cx="117279" cy="159032"/>
        </a:xfrm>
      </xdr:grpSpPr>
      <xdr:sp macro="" textlink="">
        <xdr:nvSpPr>
          <xdr:cNvPr id="1917" name="Rectangle: Rounded Corners 1916">
            <a:extLst>
              <a:ext uri="{FF2B5EF4-FFF2-40B4-BE49-F238E27FC236}">
                <a16:creationId xmlns:a16="http://schemas.microsoft.com/office/drawing/2014/main" id="{00000000-0008-0000-0200-00007D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19" name="Rectangle 1918">
            <a:extLst>
              <a:ext uri="{FF2B5EF4-FFF2-40B4-BE49-F238E27FC236}">
                <a16:creationId xmlns:a16="http://schemas.microsoft.com/office/drawing/2014/main" id="{00000000-0008-0000-0200-00007F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11</xdr:row>
      <xdr:rowOff>4104</xdr:rowOff>
    </xdr:from>
    <xdr:to>
      <xdr:col>12</xdr:col>
      <xdr:colOff>164522</xdr:colOff>
      <xdr:row>11</xdr:row>
      <xdr:rowOff>166841</xdr:rowOff>
    </xdr:to>
    <xdr:grpSp>
      <xdr:nvGrpSpPr>
        <xdr:cNvPr id="1920" name="Group 1919">
          <a:extLst>
            <a:ext uri="{FF2B5EF4-FFF2-40B4-BE49-F238E27FC236}">
              <a16:creationId xmlns:a16="http://schemas.microsoft.com/office/drawing/2014/main" id="{00000000-0008-0000-0200-000080070000}"/>
            </a:ext>
          </a:extLst>
        </xdr:cNvPr>
        <xdr:cNvGrpSpPr/>
      </xdr:nvGrpSpPr>
      <xdr:grpSpPr>
        <a:xfrm>
          <a:off x="5693538" y="2648244"/>
          <a:ext cx="117404" cy="162737"/>
          <a:chOff x="6496416" y="135471422"/>
          <a:chExt cx="117279" cy="159032"/>
        </a:xfrm>
      </xdr:grpSpPr>
      <xdr:sp macro="" textlink="">
        <xdr:nvSpPr>
          <xdr:cNvPr id="1922" name="Rectangle: Rounded Corners 1921">
            <a:extLst>
              <a:ext uri="{FF2B5EF4-FFF2-40B4-BE49-F238E27FC236}">
                <a16:creationId xmlns:a16="http://schemas.microsoft.com/office/drawing/2014/main" id="{00000000-0008-0000-0200-000082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23" name="Rectangle 1922">
            <a:extLst>
              <a:ext uri="{FF2B5EF4-FFF2-40B4-BE49-F238E27FC236}">
                <a16:creationId xmlns:a16="http://schemas.microsoft.com/office/drawing/2014/main" id="{00000000-0008-0000-0200-000083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12</xdr:row>
      <xdr:rowOff>7001</xdr:rowOff>
    </xdr:from>
    <xdr:to>
      <xdr:col>12</xdr:col>
      <xdr:colOff>164522</xdr:colOff>
      <xdr:row>12</xdr:row>
      <xdr:rowOff>169738</xdr:rowOff>
    </xdr:to>
    <xdr:grpSp>
      <xdr:nvGrpSpPr>
        <xdr:cNvPr id="1924" name="Group 1923">
          <a:extLst>
            <a:ext uri="{FF2B5EF4-FFF2-40B4-BE49-F238E27FC236}">
              <a16:creationId xmlns:a16="http://schemas.microsoft.com/office/drawing/2014/main" id="{00000000-0008-0000-0200-000084070000}"/>
            </a:ext>
          </a:extLst>
        </xdr:cNvPr>
        <xdr:cNvGrpSpPr/>
      </xdr:nvGrpSpPr>
      <xdr:grpSpPr>
        <a:xfrm>
          <a:off x="5693538" y="2826401"/>
          <a:ext cx="117404" cy="162737"/>
          <a:chOff x="6496416" y="135471422"/>
          <a:chExt cx="117279" cy="159032"/>
        </a:xfrm>
      </xdr:grpSpPr>
      <xdr:sp macro="" textlink="">
        <xdr:nvSpPr>
          <xdr:cNvPr id="1925" name="Rectangle: Rounded Corners 1924">
            <a:extLst>
              <a:ext uri="{FF2B5EF4-FFF2-40B4-BE49-F238E27FC236}">
                <a16:creationId xmlns:a16="http://schemas.microsoft.com/office/drawing/2014/main" id="{00000000-0008-0000-0200-000085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26" name="Rectangle 1925">
            <a:extLst>
              <a:ext uri="{FF2B5EF4-FFF2-40B4-BE49-F238E27FC236}">
                <a16:creationId xmlns:a16="http://schemas.microsoft.com/office/drawing/2014/main" id="{00000000-0008-0000-0200-000086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20</xdr:row>
      <xdr:rowOff>7002</xdr:rowOff>
    </xdr:from>
    <xdr:to>
      <xdr:col>12</xdr:col>
      <xdr:colOff>164522</xdr:colOff>
      <xdr:row>20</xdr:row>
      <xdr:rowOff>169739</xdr:rowOff>
    </xdr:to>
    <xdr:grpSp>
      <xdr:nvGrpSpPr>
        <xdr:cNvPr id="1929" name="Group 1928">
          <a:extLst>
            <a:ext uri="{FF2B5EF4-FFF2-40B4-BE49-F238E27FC236}">
              <a16:creationId xmlns:a16="http://schemas.microsoft.com/office/drawing/2014/main" id="{00000000-0008-0000-0200-000089070000}"/>
            </a:ext>
          </a:extLst>
        </xdr:cNvPr>
        <xdr:cNvGrpSpPr/>
      </xdr:nvGrpSpPr>
      <xdr:grpSpPr>
        <a:xfrm>
          <a:off x="5693538" y="4228482"/>
          <a:ext cx="117404" cy="162737"/>
          <a:chOff x="6496416" y="135471422"/>
          <a:chExt cx="117279" cy="159032"/>
        </a:xfrm>
      </xdr:grpSpPr>
      <xdr:sp macro="" textlink="">
        <xdr:nvSpPr>
          <xdr:cNvPr id="1931" name="Rectangle: Rounded Corners 1930">
            <a:extLst>
              <a:ext uri="{FF2B5EF4-FFF2-40B4-BE49-F238E27FC236}">
                <a16:creationId xmlns:a16="http://schemas.microsoft.com/office/drawing/2014/main" id="{00000000-0008-0000-0200-00008B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33" name="Rectangle 1932">
            <a:extLst>
              <a:ext uri="{FF2B5EF4-FFF2-40B4-BE49-F238E27FC236}">
                <a16:creationId xmlns:a16="http://schemas.microsoft.com/office/drawing/2014/main" id="{00000000-0008-0000-0200-00008D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22</xdr:row>
      <xdr:rowOff>204021</xdr:rowOff>
    </xdr:from>
    <xdr:to>
      <xdr:col>12</xdr:col>
      <xdr:colOff>164522</xdr:colOff>
      <xdr:row>23</xdr:row>
      <xdr:rowOff>161047</xdr:rowOff>
    </xdr:to>
    <xdr:grpSp>
      <xdr:nvGrpSpPr>
        <xdr:cNvPr id="1934" name="Group 1933">
          <a:extLst>
            <a:ext uri="{FF2B5EF4-FFF2-40B4-BE49-F238E27FC236}">
              <a16:creationId xmlns:a16="http://schemas.microsoft.com/office/drawing/2014/main" id="{00000000-0008-0000-0200-00008E070000}"/>
            </a:ext>
          </a:extLst>
        </xdr:cNvPr>
        <xdr:cNvGrpSpPr/>
      </xdr:nvGrpSpPr>
      <xdr:grpSpPr>
        <a:xfrm>
          <a:off x="5693538" y="4776021"/>
          <a:ext cx="117404" cy="162766"/>
          <a:chOff x="6496416" y="135471422"/>
          <a:chExt cx="117279" cy="159032"/>
        </a:xfrm>
      </xdr:grpSpPr>
      <xdr:sp macro="" textlink="">
        <xdr:nvSpPr>
          <xdr:cNvPr id="1939" name="Rectangle: Rounded Corners 1938">
            <a:extLst>
              <a:ext uri="{FF2B5EF4-FFF2-40B4-BE49-F238E27FC236}">
                <a16:creationId xmlns:a16="http://schemas.microsoft.com/office/drawing/2014/main" id="{00000000-0008-0000-0200-000093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40" name="Rectangle 1939">
            <a:extLst>
              <a:ext uri="{FF2B5EF4-FFF2-40B4-BE49-F238E27FC236}">
                <a16:creationId xmlns:a16="http://schemas.microsoft.com/office/drawing/2014/main" id="{00000000-0008-0000-0200-000094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28</xdr:row>
      <xdr:rowOff>4105</xdr:rowOff>
    </xdr:from>
    <xdr:to>
      <xdr:col>12</xdr:col>
      <xdr:colOff>164522</xdr:colOff>
      <xdr:row>28</xdr:row>
      <xdr:rowOff>166842</xdr:rowOff>
    </xdr:to>
    <xdr:grpSp>
      <xdr:nvGrpSpPr>
        <xdr:cNvPr id="1941" name="Group 1940">
          <a:extLst>
            <a:ext uri="{FF2B5EF4-FFF2-40B4-BE49-F238E27FC236}">
              <a16:creationId xmlns:a16="http://schemas.microsoft.com/office/drawing/2014/main" id="{00000000-0008-0000-0200-000095070000}"/>
            </a:ext>
          </a:extLst>
        </xdr:cNvPr>
        <xdr:cNvGrpSpPr/>
      </xdr:nvGrpSpPr>
      <xdr:grpSpPr>
        <a:xfrm>
          <a:off x="5693538" y="5658145"/>
          <a:ext cx="117404" cy="162737"/>
          <a:chOff x="6496416" y="135471422"/>
          <a:chExt cx="117279" cy="159032"/>
        </a:xfrm>
      </xdr:grpSpPr>
      <xdr:sp macro="" textlink="">
        <xdr:nvSpPr>
          <xdr:cNvPr id="1947" name="Rectangle: Rounded Corners 1946">
            <a:extLst>
              <a:ext uri="{FF2B5EF4-FFF2-40B4-BE49-F238E27FC236}">
                <a16:creationId xmlns:a16="http://schemas.microsoft.com/office/drawing/2014/main" id="{00000000-0008-0000-0200-00009B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48" name="Rectangle 1947">
            <a:extLst>
              <a:ext uri="{FF2B5EF4-FFF2-40B4-BE49-F238E27FC236}">
                <a16:creationId xmlns:a16="http://schemas.microsoft.com/office/drawing/2014/main" id="{00000000-0008-0000-0200-00009C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30</xdr:row>
      <xdr:rowOff>7003</xdr:rowOff>
    </xdr:from>
    <xdr:to>
      <xdr:col>12</xdr:col>
      <xdr:colOff>164522</xdr:colOff>
      <xdr:row>30</xdr:row>
      <xdr:rowOff>169740</xdr:rowOff>
    </xdr:to>
    <xdr:grpSp>
      <xdr:nvGrpSpPr>
        <xdr:cNvPr id="1950" name="Group 1949">
          <a:extLst>
            <a:ext uri="{FF2B5EF4-FFF2-40B4-BE49-F238E27FC236}">
              <a16:creationId xmlns:a16="http://schemas.microsoft.com/office/drawing/2014/main" id="{00000000-0008-0000-0200-00009E070000}"/>
            </a:ext>
          </a:extLst>
        </xdr:cNvPr>
        <xdr:cNvGrpSpPr/>
      </xdr:nvGrpSpPr>
      <xdr:grpSpPr>
        <a:xfrm>
          <a:off x="5693538" y="6042043"/>
          <a:ext cx="117404" cy="162737"/>
          <a:chOff x="6496416" y="135471422"/>
          <a:chExt cx="117279" cy="159032"/>
        </a:xfrm>
      </xdr:grpSpPr>
      <xdr:sp macro="" textlink="">
        <xdr:nvSpPr>
          <xdr:cNvPr id="1951" name="Rectangle: Rounded Corners 1950">
            <a:extLst>
              <a:ext uri="{FF2B5EF4-FFF2-40B4-BE49-F238E27FC236}">
                <a16:creationId xmlns:a16="http://schemas.microsoft.com/office/drawing/2014/main" id="{00000000-0008-0000-0200-00009F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52" name="Rectangle 1951">
            <a:extLst>
              <a:ext uri="{FF2B5EF4-FFF2-40B4-BE49-F238E27FC236}">
                <a16:creationId xmlns:a16="http://schemas.microsoft.com/office/drawing/2014/main" id="{00000000-0008-0000-0200-0000A0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31</xdr:row>
      <xdr:rowOff>4105</xdr:rowOff>
    </xdr:from>
    <xdr:to>
      <xdr:col>12</xdr:col>
      <xdr:colOff>164522</xdr:colOff>
      <xdr:row>31</xdr:row>
      <xdr:rowOff>166842</xdr:rowOff>
    </xdr:to>
    <xdr:grpSp>
      <xdr:nvGrpSpPr>
        <xdr:cNvPr id="1953" name="Group 1952">
          <a:extLst>
            <a:ext uri="{FF2B5EF4-FFF2-40B4-BE49-F238E27FC236}">
              <a16:creationId xmlns:a16="http://schemas.microsoft.com/office/drawing/2014/main" id="{00000000-0008-0000-0200-0000A1070000}"/>
            </a:ext>
          </a:extLst>
        </xdr:cNvPr>
        <xdr:cNvGrpSpPr/>
      </xdr:nvGrpSpPr>
      <xdr:grpSpPr>
        <a:xfrm>
          <a:off x="5693538" y="6214405"/>
          <a:ext cx="117404" cy="162737"/>
          <a:chOff x="6496416" y="135471422"/>
          <a:chExt cx="117279" cy="159032"/>
        </a:xfrm>
      </xdr:grpSpPr>
      <xdr:sp macro="" textlink="">
        <xdr:nvSpPr>
          <xdr:cNvPr id="1960" name="Rectangle: Rounded Corners 1959">
            <a:extLst>
              <a:ext uri="{FF2B5EF4-FFF2-40B4-BE49-F238E27FC236}">
                <a16:creationId xmlns:a16="http://schemas.microsoft.com/office/drawing/2014/main" id="{00000000-0008-0000-0200-0000A8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61" name="Rectangle 1960">
            <a:extLst>
              <a:ext uri="{FF2B5EF4-FFF2-40B4-BE49-F238E27FC236}">
                <a16:creationId xmlns:a16="http://schemas.microsoft.com/office/drawing/2014/main" id="{00000000-0008-0000-0200-0000A9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32</xdr:row>
      <xdr:rowOff>4104</xdr:rowOff>
    </xdr:from>
    <xdr:to>
      <xdr:col>12</xdr:col>
      <xdr:colOff>164522</xdr:colOff>
      <xdr:row>32</xdr:row>
      <xdr:rowOff>166841</xdr:rowOff>
    </xdr:to>
    <xdr:grpSp>
      <xdr:nvGrpSpPr>
        <xdr:cNvPr id="1963" name="Group 1962">
          <a:extLst>
            <a:ext uri="{FF2B5EF4-FFF2-40B4-BE49-F238E27FC236}">
              <a16:creationId xmlns:a16="http://schemas.microsoft.com/office/drawing/2014/main" id="{00000000-0008-0000-0200-0000AB070000}"/>
            </a:ext>
          </a:extLst>
        </xdr:cNvPr>
        <xdr:cNvGrpSpPr/>
      </xdr:nvGrpSpPr>
      <xdr:grpSpPr>
        <a:xfrm>
          <a:off x="5693538" y="6389664"/>
          <a:ext cx="117404" cy="162737"/>
          <a:chOff x="6496416" y="135471422"/>
          <a:chExt cx="117279" cy="159032"/>
        </a:xfrm>
      </xdr:grpSpPr>
      <xdr:sp macro="" textlink="">
        <xdr:nvSpPr>
          <xdr:cNvPr id="1964" name="Rectangle: Rounded Corners 1963">
            <a:extLst>
              <a:ext uri="{FF2B5EF4-FFF2-40B4-BE49-F238E27FC236}">
                <a16:creationId xmlns:a16="http://schemas.microsoft.com/office/drawing/2014/main" id="{00000000-0008-0000-0200-0000AC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65" name="Rectangle 1964">
            <a:extLst>
              <a:ext uri="{FF2B5EF4-FFF2-40B4-BE49-F238E27FC236}">
                <a16:creationId xmlns:a16="http://schemas.microsoft.com/office/drawing/2014/main" id="{00000000-0008-0000-0200-0000AD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33</xdr:row>
      <xdr:rowOff>1207</xdr:rowOff>
    </xdr:from>
    <xdr:to>
      <xdr:col>12</xdr:col>
      <xdr:colOff>164522</xdr:colOff>
      <xdr:row>33</xdr:row>
      <xdr:rowOff>163944</xdr:rowOff>
    </xdr:to>
    <xdr:grpSp>
      <xdr:nvGrpSpPr>
        <xdr:cNvPr id="1967" name="Group 1966">
          <a:extLst>
            <a:ext uri="{FF2B5EF4-FFF2-40B4-BE49-F238E27FC236}">
              <a16:creationId xmlns:a16="http://schemas.microsoft.com/office/drawing/2014/main" id="{00000000-0008-0000-0200-0000AF070000}"/>
            </a:ext>
          </a:extLst>
        </xdr:cNvPr>
        <xdr:cNvGrpSpPr/>
      </xdr:nvGrpSpPr>
      <xdr:grpSpPr>
        <a:xfrm>
          <a:off x="5693538" y="6562027"/>
          <a:ext cx="117404" cy="162737"/>
          <a:chOff x="6496416" y="135471422"/>
          <a:chExt cx="117279" cy="159032"/>
        </a:xfrm>
      </xdr:grpSpPr>
      <xdr:sp macro="" textlink="">
        <xdr:nvSpPr>
          <xdr:cNvPr id="1968" name="Rectangle: Rounded Corners 1967">
            <a:extLst>
              <a:ext uri="{FF2B5EF4-FFF2-40B4-BE49-F238E27FC236}">
                <a16:creationId xmlns:a16="http://schemas.microsoft.com/office/drawing/2014/main" id="{00000000-0008-0000-0200-0000B0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033" name="Rectangle 2032">
            <a:extLst>
              <a:ext uri="{FF2B5EF4-FFF2-40B4-BE49-F238E27FC236}">
                <a16:creationId xmlns:a16="http://schemas.microsoft.com/office/drawing/2014/main" id="{00000000-0008-0000-0200-0000F1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34</xdr:row>
      <xdr:rowOff>4105</xdr:rowOff>
    </xdr:from>
    <xdr:to>
      <xdr:col>12</xdr:col>
      <xdr:colOff>164522</xdr:colOff>
      <xdr:row>34</xdr:row>
      <xdr:rowOff>166842</xdr:rowOff>
    </xdr:to>
    <xdr:grpSp>
      <xdr:nvGrpSpPr>
        <xdr:cNvPr id="2034" name="Group 2033">
          <a:extLst>
            <a:ext uri="{FF2B5EF4-FFF2-40B4-BE49-F238E27FC236}">
              <a16:creationId xmlns:a16="http://schemas.microsoft.com/office/drawing/2014/main" id="{00000000-0008-0000-0200-0000F2070000}"/>
            </a:ext>
          </a:extLst>
        </xdr:cNvPr>
        <xdr:cNvGrpSpPr/>
      </xdr:nvGrpSpPr>
      <xdr:grpSpPr>
        <a:xfrm>
          <a:off x="5693538" y="6740185"/>
          <a:ext cx="117404" cy="162737"/>
          <a:chOff x="6496416" y="135471422"/>
          <a:chExt cx="117279" cy="159032"/>
        </a:xfrm>
      </xdr:grpSpPr>
      <xdr:sp macro="" textlink="">
        <xdr:nvSpPr>
          <xdr:cNvPr id="2035" name="Rectangle: Rounded Corners 2034">
            <a:extLst>
              <a:ext uri="{FF2B5EF4-FFF2-40B4-BE49-F238E27FC236}">
                <a16:creationId xmlns:a16="http://schemas.microsoft.com/office/drawing/2014/main" id="{00000000-0008-0000-0200-0000F3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036" name="Rectangle 2035">
            <a:extLst>
              <a:ext uri="{FF2B5EF4-FFF2-40B4-BE49-F238E27FC236}">
                <a16:creationId xmlns:a16="http://schemas.microsoft.com/office/drawing/2014/main" id="{00000000-0008-0000-0200-0000F4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36</xdr:row>
      <xdr:rowOff>7003</xdr:rowOff>
    </xdr:from>
    <xdr:to>
      <xdr:col>12</xdr:col>
      <xdr:colOff>164522</xdr:colOff>
      <xdr:row>36</xdr:row>
      <xdr:rowOff>169740</xdr:rowOff>
    </xdr:to>
    <xdr:grpSp>
      <xdr:nvGrpSpPr>
        <xdr:cNvPr id="2103" name="Group 2102">
          <a:extLst>
            <a:ext uri="{FF2B5EF4-FFF2-40B4-BE49-F238E27FC236}">
              <a16:creationId xmlns:a16="http://schemas.microsoft.com/office/drawing/2014/main" id="{00000000-0008-0000-0200-000037080000}"/>
            </a:ext>
          </a:extLst>
        </xdr:cNvPr>
        <xdr:cNvGrpSpPr/>
      </xdr:nvGrpSpPr>
      <xdr:grpSpPr>
        <a:xfrm>
          <a:off x="5693538" y="7093603"/>
          <a:ext cx="117404" cy="162737"/>
          <a:chOff x="6496416" y="135471422"/>
          <a:chExt cx="117279" cy="159032"/>
        </a:xfrm>
      </xdr:grpSpPr>
      <xdr:sp macro="" textlink="">
        <xdr:nvSpPr>
          <xdr:cNvPr id="2105" name="Rectangle: Rounded Corners 2104">
            <a:extLst>
              <a:ext uri="{FF2B5EF4-FFF2-40B4-BE49-F238E27FC236}">
                <a16:creationId xmlns:a16="http://schemas.microsoft.com/office/drawing/2014/main" id="{00000000-0008-0000-0200-00003908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06" name="Rectangle 2105">
            <a:extLst>
              <a:ext uri="{FF2B5EF4-FFF2-40B4-BE49-F238E27FC236}">
                <a16:creationId xmlns:a16="http://schemas.microsoft.com/office/drawing/2014/main" id="{00000000-0008-0000-0200-00003A08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38</xdr:row>
      <xdr:rowOff>1208</xdr:rowOff>
    </xdr:from>
    <xdr:to>
      <xdr:col>12</xdr:col>
      <xdr:colOff>164522</xdr:colOff>
      <xdr:row>38</xdr:row>
      <xdr:rowOff>163945</xdr:rowOff>
    </xdr:to>
    <xdr:grpSp>
      <xdr:nvGrpSpPr>
        <xdr:cNvPr id="2107" name="Group 2106">
          <a:extLst>
            <a:ext uri="{FF2B5EF4-FFF2-40B4-BE49-F238E27FC236}">
              <a16:creationId xmlns:a16="http://schemas.microsoft.com/office/drawing/2014/main" id="{00000000-0008-0000-0200-00003B080000}"/>
            </a:ext>
          </a:extLst>
        </xdr:cNvPr>
        <xdr:cNvGrpSpPr/>
      </xdr:nvGrpSpPr>
      <xdr:grpSpPr>
        <a:xfrm>
          <a:off x="5693538" y="7438328"/>
          <a:ext cx="117404" cy="162737"/>
          <a:chOff x="6496416" y="135471422"/>
          <a:chExt cx="117279" cy="159032"/>
        </a:xfrm>
      </xdr:grpSpPr>
      <xdr:sp macro="" textlink="">
        <xdr:nvSpPr>
          <xdr:cNvPr id="2108" name="Rectangle: Rounded Corners 2107">
            <a:extLst>
              <a:ext uri="{FF2B5EF4-FFF2-40B4-BE49-F238E27FC236}">
                <a16:creationId xmlns:a16="http://schemas.microsoft.com/office/drawing/2014/main" id="{00000000-0008-0000-0200-00003C08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09" name="Rectangle 2108">
            <a:extLst>
              <a:ext uri="{FF2B5EF4-FFF2-40B4-BE49-F238E27FC236}">
                <a16:creationId xmlns:a16="http://schemas.microsoft.com/office/drawing/2014/main" id="{00000000-0008-0000-0200-00003D08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40</xdr:row>
      <xdr:rowOff>7003</xdr:rowOff>
    </xdr:from>
    <xdr:to>
      <xdr:col>12</xdr:col>
      <xdr:colOff>164522</xdr:colOff>
      <xdr:row>40</xdr:row>
      <xdr:rowOff>169740</xdr:rowOff>
    </xdr:to>
    <xdr:grpSp>
      <xdr:nvGrpSpPr>
        <xdr:cNvPr id="2110" name="Group 2109">
          <a:extLst>
            <a:ext uri="{FF2B5EF4-FFF2-40B4-BE49-F238E27FC236}">
              <a16:creationId xmlns:a16="http://schemas.microsoft.com/office/drawing/2014/main" id="{00000000-0008-0000-0200-00003E080000}"/>
            </a:ext>
          </a:extLst>
        </xdr:cNvPr>
        <xdr:cNvGrpSpPr/>
      </xdr:nvGrpSpPr>
      <xdr:grpSpPr>
        <a:xfrm>
          <a:off x="5693538" y="7794643"/>
          <a:ext cx="117404" cy="162737"/>
          <a:chOff x="6496416" y="135471422"/>
          <a:chExt cx="117279" cy="159032"/>
        </a:xfrm>
      </xdr:grpSpPr>
      <xdr:sp macro="" textlink="">
        <xdr:nvSpPr>
          <xdr:cNvPr id="2111" name="Rectangle: Rounded Corners 2110">
            <a:extLst>
              <a:ext uri="{FF2B5EF4-FFF2-40B4-BE49-F238E27FC236}">
                <a16:creationId xmlns:a16="http://schemas.microsoft.com/office/drawing/2014/main" id="{00000000-0008-0000-0200-00003F08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12" name="Rectangle 2111">
            <a:extLst>
              <a:ext uri="{FF2B5EF4-FFF2-40B4-BE49-F238E27FC236}">
                <a16:creationId xmlns:a16="http://schemas.microsoft.com/office/drawing/2014/main" id="{00000000-0008-0000-0200-00004008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xdr:col>
      <xdr:colOff>22860</xdr:colOff>
      <xdr:row>460</xdr:row>
      <xdr:rowOff>76200</xdr:rowOff>
    </xdr:from>
    <xdr:to>
      <xdr:col>13</xdr:col>
      <xdr:colOff>22860</xdr:colOff>
      <xdr:row>462</xdr:row>
      <xdr:rowOff>0</xdr:rowOff>
    </xdr:to>
    <xdr:sp macro="" textlink="">
      <xdr:nvSpPr>
        <xdr:cNvPr id="1607" name="You believe whatever serves your needs.">
          <a:extLst>
            <a:ext uri="{FF2B5EF4-FFF2-40B4-BE49-F238E27FC236}">
              <a16:creationId xmlns:a16="http://schemas.microsoft.com/office/drawing/2014/main" id="{00000000-0008-0000-0200-000047060000}"/>
            </a:ext>
          </a:extLst>
        </xdr:cNvPr>
        <xdr:cNvSpPr txBox="1">
          <a:spLocks/>
        </xdr:cNvSpPr>
      </xdr:nvSpPr>
      <xdr:spPr>
        <a:xfrm>
          <a:off x="144780" y="93558360"/>
          <a:ext cx="5943600" cy="2743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100" b="0"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Politics mainly addresses conflict between how each other experience your social-needs.</a:t>
          </a:r>
          <a:endParaRPr lang="en-US" sz="1100" b="0"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15</xdr:col>
      <xdr:colOff>38100</xdr:colOff>
      <xdr:row>463</xdr:row>
      <xdr:rowOff>76200</xdr:rowOff>
    </xdr:from>
    <xdr:to>
      <xdr:col>26</xdr:col>
      <xdr:colOff>449580</xdr:colOff>
      <xdr:row>468</xdr:row>
      <xdr:rowOff>213360</xdr:rowOff>
    </xdr:to>
    <xdr:sp macro="" textlink="">
      <xdr:nvSpPr>
        <xdr:cNvPr id="791" name="TextBox 790">
          <a:extLst>
            <a:ext uri="{FF2B5EF4-FFF2-40B4-BE49-F238E27FC236}">
              <a16:creationId xmlns:a16="http://schemas.microsoft.com/office/drawing/2014/main" id="{00000000-0008-0000-0100-000017030000}"/>
            </a:ext>
          </a:extLst>
        </xdr:cNvPr>
        <xdr:cNvSpPr txBox="1"/>
      </xdr:nvSpPr>
      <xdr:spPr>
        <a:xfrm>
          <a:off x="6416040" y="93139260"/>
          <a:ext cx="5943600" cy="126492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Too much generalizing leads both sides into error. Too often, such errors crystallize into overgeneralizing norms contested in politics. We step back from these alienating generalizations to know each other' needs. The more you know another's needs, and the more they know yours, the easier to address each other's needs. Instead of politics prioritizing your own needs, we prioritize the needs of others in the name of love. </a:t>
          </a: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15</xdr:col>
      <xdr:colOff>1</xdr:colOff>
      <xdr:row>17</xdr:row>
      <xdr:rowOff>7620</xdr:rowOff>
    </xdr:from>
    <xdr:to>
      <xdr:col>27</xdr:col>
      <xdr:colOff>2</xdr:colOff>
      <xdr:row>24</xdr:row>
      <xdr:rowOff>7620</xdr:rowOff>
    </xdr:to>
    <xdr:grpSp>
      <xdr:nvGrpSpPr>
        <xdr:cNvPr id="2" name="Group 1" hidden="1">
          <a:extLst>
            <a:ext uri="{FF2B5EF4-FFF2-40B4-BE49-F238E27FC236}">
              <a16:creationId xmlns:a16="http://schemas.microsoft.com/office/drawing/2014/main" id="{00000000-0008-0000-0100-000002000000}"/>
            </a:ext>
          </a:extLst>
        </xdr:cNvPr>
        <xdr:cNvGrpSpPr/>
      </xdr:nvGrpSpPr>
      <xdr:grpSpPr>
        <a:xfrm>
          <a:off x="6263640" y="6416040"/>
          <a:ext cx="0" cy="3040380"/>
          <a:chOff x="7787640" y="586740"/>
          <a:chExt cx="2983245" cy="922020"/>
        </a:xfrm>
      </xdr:grpSpPr>
      <xdr:sp macro="" textlink="">
        <xdr:nvSpPr>
          <xdr:cNvPr id="3" name="Speech Bubble: Rectangle with Corners Rounded 2">
            <a:extLst>
              <a:ext uri="{FF2B5EF4-FFF2-40B4-BE49-F238E27FC236}">
                <a16:creationId xmlns:a16="http://schemas.microsoft.com/office/drawing/2014/main" id="{00000000-0008-0000-0100-00000300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4" name="Speech Bubble: Rectangle with Corners Rounded 3">
            <a:extLst>
              <a:ext uri="{FF2B5EF4-FFF2-40B4-BE49-F238E27FC236}">
                <a16:creationId xmlns:a16="http://schemas.microsoft.com/office/drawing/2014/main" id="{00000000-0008-0000-0100-00000400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25</xdr:col>
      <xdr:colOff>433091</xdr:colOff>
      <xdr:row>3</xdr:row>
      <xdr:rowOff>525460</xdr:rowOff>
    </xdr:from>
    <xdr:to>
      <xdr:col>26</xdr:col>
      <xdr:colOff>24997</xdr:colOff>
      <xdr:row>5</xdr:row>
      <xdr:rowOff>16263</xdr:rowOff>
    </xdr:to>
    <xdr:sp macro="" textlink="">
      <xdr:nvSpPr>
        <xdr:cNvPr id="5" name="Arrow: Left 4" hidden="1">
          <a:extLst>
            <a:ext uri="{FF2B5EF4-FFF2-40B4-BE49-F238E27FC236}">
              <a16:creationId xmlns:a16="http://schemas.microsoft.com/office/drawing/2014/main" id="{00000000-0008-0000-0100-000005000000}"/>
            </a:ext>
          </a:extLst>
        </xdr:cNvPr>
        <xdr:cNvSpPr>
          <a:spLocks noChangeAspect="1"/>
        </xdr:cNvSpPr>
      </xdr:nvSpPr>
      <xdr:spPr>
        <a:xfrm rot="4020000">
          <a:off x="11791722" y="1320729"/>
          <a:ext cx="191843" cy="94826"/>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14</xdr:col>
      <xdr:colOff>110067</xdr:colOff>
      <xdr:row>147</xdr:row>
      <xdr:rowOff>8467</xdr:rowOff>
    </xdr:from>
    <xdr:to>
      <xdr:col>36</xdr:col>
      <xdr:colOff>134464</xdr:colOff>
      <xdr:row>153</xdr:row>
      <xdr:rowOff>75316</xdr:rowOff>
    </xdr:to>
    <xdr:pic>
      <xdr:nvPicPr>
        <xdr:cNvPr id="6" name="Picture 5" hidden="1">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9525847"/>
          <a:ext cx="6047584" cy="1502795"/>
        </a:xfrm>
        <a:prstGeom prst="rect">
          <a:avLst/>
        </a:prstGeom>
      </xdr:spPr>
    </xdr:pic>
    <xdr:clientData/>
  </xdr:twoCellAnchor>
  <xdr:twoCellAnchor>
    <xdr:from>
      <xdr:col>0</xdr:col>
      <xdr:colOff>0</xdr:colOff>
      <xdr:row>99</xdr:row>
      <xdr:rowOff>378322</xdr:rowOff>
    </xdr:from>
    <xdr:to>
      <xdr:col>0</xdr:col>
      <xdr:colOff>0</xdr:colOff>
      <xdr:row>107</xdr:row>
      <xdr:rowOff>152396</xdr:rowOff>
    </xdr:to>
    <xdr:sp macro="" textlink="">
      <xdr:nvSpPr>
        <xdr:cNvPr id="8" name="TextBox 7">
          <a:extLst>
            <a:ext uri="{FF2B5EF4-FFF2-40B4-BE49-F238E27FC236}">
              <a16:creationId xmlns:a16="http://schemas.microsoft.com/office/drawing/2014/main" id="{00000000-0008-0000-0100-000008000000}"/>
            </a:ext>
          </a:extLst>
        </xdr:cNvPr>
        <xdr:cNvSpPr txBox="1"/>
      </xdr:nvSpPr>
      <xdr:spPr>
        <a:xfrm>
          <a:off x="0" y="17355682"/>
          <a:ext cx="0" cy="1381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400" b="1">
              <a:solidFill>
                <a:srgbClr val="2D143C"/>
              </a:solidFill>
              <a:effectLst/>
              <a:latin typeface="Arial" panose="020B0604020202020204" pitchFamily="34" charset="0"/>
              <a:ea typeface="+mn-ea"/>
              <a:cs typeface="Arial" panose="020B0604020202020204" pitchFamily="34" charset="0"/>
            </a:rPr>
            <a:t>How do you</a:t>
          </a:r>
          <a:r>
            <a:rPr lang="en-US" sz="1400" b="1" baseline="0">
              <a:solidFill>
                <a:srgbClr val="2D143C"/>
              </a:solidFill>
              <a:effectLst/>
              <a:latin typeface="Arial" panose="020B0604020202020204" pitchFamily="34" charset="0"/>
              <a:ea typeface="+mn-ea"/>
              <a:cs typeface="Arial" panose="020B0604020202020204" pitchFamily="34" charset="0"/>
            </a:rPr>
            <a:t> answer if checked for sneezing in public?</a:t>
          </a:r>
          <a:endParaRPr lang="en-US" sz="1400" b="1">
            <a:solidFill>
              <a:srgbClr val="2D143C"/>
            </a:solidFill>
            <a:latin typeface="Arial" panose="020B0604020202020204" pitchFamily="34" charset="0"/>
            <a:cs typeface="Arial" panose="020B0604020202020204" pitchFamily="34" charset="0"/>
          </a:endParaRPr>
        </a:p>
      </xdr:txBody>
    </xdr:sp>
    <xdr:clientData/>
  </xdr:twoCellAnchor>
  <xdr:twoCellAnchor>
    <xdr:from>
      <xdr:col>111</xdr:col>
      <xdr:colOff>364123</xdr:colOff>
      <xdr:row>24</xdr:row>
      <xdr:rowOff>133685</xdr:rowOff>
    </xdr:from>
    <xdr:to>
      <xdr:col>121</xdr:col>
      <xdr:colOff>305402</xdr:colOff>
      <xdr:row>60</xdr:row>
      <xdr:rowOff>65506</xdr:rowOff>
    </xdr:to>
    <xdr:sp macro="" textlink="">
      <xdr:nvSpPr>
        <xdr:cNvPr id="90" name="TextBox 89">
          <a:extLst>
            <a:ext uri="{FF2B5EF4-FFF2-40B4-BE49-F238E27FC236}">
              <a16:creationId xmlns:a16="http://schemas.microsoft.com/office/drawing/2014/main" id="{00000000-0008-0000-0100-00005A000000}"/>
            </a:ext>
          </a:extLst>
        </xdr:cNvPr>
        <xdr:cNvSpPr txBox="1"/>
      </xdr:nvSpPr>
      <xdr:spPr>
        <a:xfrm>
          <a:off x="36355923" y="5670885"/>
          <a:ext cx="6037279" cy="2471821"/>
        </a:xfrm>
        <a:prstGeom prst="rect">
          <a:avLst/>
        </a:prstGeom>
        <a:solidFill>
          <a:srgbClr val="D7FFE6">
            <a:alpha val="80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Big bold idea</a:t>
          </a:r>
        </a:p>
        <a:p>
          <a:pPr>
            <a:spcBef>
              <a:spcPts val="600"/>
            </a:spcBef>
          </a:pPr>
          <a:r>
            <a:rPr lang="en-US" sz="1200" b="0" spc="-20" baseline="0">
              <a:solidFill>
                <a:schemeClr val="dk1"/>
              </a:solidFill>
              <a:latin typeface="Tahoma" panose="020B0604030504040204" pitchFamily="34" charset="0"/>
              <a:ea typeface="Tahoma" panose="020B0604030504040204" pitchFamily="34" charset="0"/>
              <a:cs typeface="Tahoma" panose="020B0604030504040204" pitchFamily="34" charset="0"/>
            </a:rPr>
            <a:t>Take a stand with us against politics-as-usual. Your vote is not a commodity to be bought </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and sold with manipulative ads or other commercial tactics. Do they really assume they can get to you without talking to you personally? </a:t>
          </a:r>
        </a:p>
        <a:p>
          <a:pPr>
            <a:spcBef>
              <a:spcPts val="600"/>
            </a:spcBef>
          </a:pPr>
          <a:r>
            <a:rPr lang="en-US" sz="1200" b="0" spc="-20" baseline="0">
              <a:solidFill>
                <a:schemeClr val="dk1"/>
              </a:solidFill>
              <a:latin typeface="Tahoma" panose="020B0604030504040204" pitchFamily="34" charset="0"/>
              <a:ea typeface="Tahoma" panose="020B0604030504040204" pitchFamily="34" charset="0"/>
              <a:cs typeface="Tahoma" panose="020B0604030504040204" pitchFamily="34" charset="0"/>
            </a:rPr>
            <a:t>Join us in turning the tables on their objectification of you. We take you to the candidate</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 to confront their divisive politics with the compelling vision of Harmony Politics. Instead of them trying to reach you with generalizations that don't fit, you reach them with the spedific truth of your politically impacted needs. </a:t>
          </a:r>
        </a:p>
        <a:p>
          <a:pPr>
            <a:spcBef>
              <a:spcPts val="600"/>
            </a:spcBef>
          </a:pP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First, you give them a satisfying taste of Harmony Politics. Free to all candidates, to all pundits, to all political influencers. Hook them with love, free love.</a:t>
          </a:r>
        </a:p>
        <a:p>
          <a:pPr>
            <a:spcBef>
              <a:spcPts val="600"/>
            </a:spcBef>
          </a:pP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Then you add a little more. You offer the truth they require to create some competitive advantage over their competitors. For a price, of course. </a:t>
          </a:r>
          <a:endParaRPr lang="en-US" sz="1400" b="0" baseline="0">
            <a:solidFill>
              <a:schemeClr val="dk1"/>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9</xdr:col>
      <xdr:colOff>468455</xdr:colOff>
      <xdr:row>51</xdr:row>
      <xdr:rowOff>22860</xdr:rowOff>
    </xdr:from>
    <xdr:to>
      <xdr:col>12</xdr:col>
      <xdr:colOff>501876</xdr:colOff>
      <xdr:row>52</xdr:row>
      <xdr:rowOff>97772</xdr:rowOff>
    </xdr:to>
    <xdr:sp macro="" textlink="">
      <xdr:nvSpPr>
        <xdr:cNvPr id="214" name="Arrow: Left 213">
          <a:hlinkClick xmlns:r="http://schemas.openxmlformats.org/officeDocument/2006/relationships" r:id="rId2" tooltip="back to Harmony Politics tab"/>
          <a:extLst>
            <a:ext uri="{FF2B5EF4-FFF2-40B4-BE49-F238E27FC236}">
              <a16:creationId xmlns:a16="http://schemas.microsoft.com/office/drawing/2014/main" id="{00000000-0008-0000-0100-0000D6000000}"/>
            </a:ext>
          </a:extLst>
        </xdr:cNvPr>
        <xdr:cNvSpPr/>
      </xdr:nvSpPr>
      <xdr:spPr>
        <a:xfrm>
          <a:off x="4606115" y="16695420"/>
          <a:ext cx="1542181" cy="196832"/>
        </a:xfrm>
        <a:prstGeom prst="leftArrow">
          <a:avLst>
            <a:gd name="adj1" fmla="val 100000"/>
            <a:gd name="adj2" fmla="val 91861"/>
          </a:avLst>
        </a:prstGeom>
        <a:solidFill>
          <a:srgbClr val="FF99FF"/>
        </a:solidFill>
        <a:ln>
          <a:solidFill>
            <a:srgbClr val="FF99FF"/>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baseline="0"/>
            <a:t> to HP tab</a:t>
          </a:r>
          <a:endParaRPr lang="en-US" sz="1200" b="1"/>
        </a:p>
      </xdr:txBody>
    </xdr:sp>
    <xdr:clientData/>
  </xdr:twoCellAnchor>
  <xdr:twoCellAnchor>
    <xdr:from>
      <xdr:col>23</xdr:col>
      <xdr:colOff>480863</xdr:colOff>
      <xdr:row>88</xdr:row>
      <xdr:rowOff>35474</xdr:rowOff>
    </xdr:from>
    <xdr:to>
      <xdr:col>26</xdr:col>
      <xdr:colOff>500915</xdr:colOff>
      <xdr:row>88</xdr:row>
      <xdr:rowOff>322895</xdr:rowOff>
    </xdr:to>
    <xdr:sp macro="" textlink="">
      <xdr:nvSpPr>
        <xdr:cNvPr id="228" name="Arrow: Left 227">
          <a:hlinkClick xmlns:r="http://schemas.openxmlformats.org/officeDocument/2006/relationships" r:id="rId2" tooltip="back to Harmony Politics tab"/>
          <a:extLst>
            <a:ext uri="{FF2B5EF4-FFF2-40B4-BE49-F238E27FC236}">
              <a16:creationId xmlns:a16="http://schemas.microsoft.com/office/drawing/2014/main" id="{00000000-0008-0000-0100-0000E4000000}"/>
            </a:ext>
          </a:extLst>
        </xdr:cNvPr>
        <xdr:cNvSpPr/>
      </xdr:nvSpPr>
      <xdr:spPr>
        <a:xfrm>
          <a:off x="10983763" y="25410074"/>
          <a:ext cx="1544052" cy="28742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421106</xdr:colOff>
      <xdr:row>99</xdr:row>
      <xdr:rowOff>60158</xdr:rowOff>
    </xdr:from>
    <xdr:to>
      <xdr:col>26</xdr:col>
      <xdr:colOff>441158</xdr:colOff>
      <xdr:row>101</xdr:row>
      <xdr:rowOff>15239</xdr:rowOff>
    </xdr:to>
    <xdr:sp macro="" textlink="">
      <xdr:nvSpPr>
        <xdr:cNvPr id="229" name="Arrow: Left 228">
          <a:hlinkClick xmlns:r="http://schemas.openxmlformats.org/officeDocument/2006/relationships" r:id="rId2" tooltip="back to Harmony Politics tab"/>
          <a:extLst>
            <a:ext uri="{FF2B5EF4-FFF2-40B4-BE49-F238E27FC236}">
              <a16:creationId xmlns:a16="http://schemas.microsoft.com/office/drawing/2014/main" id="{00000000-0008-0000-0100-0000E5000000}"/>
            </a:ext>
          </a:extLst>
        </xdr:cNvPr>
        <xdr:cNvSpPr/>
      </xdr:nvSpPr>
      <xdr:spPr>
        <a:xfrm>
          <a:off x="10822406" y="27964598"/>
          <a:ext cx="1528812" cy="26750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461210</xdr:colOff>
      <xdr:row>137</xdr:row>
      <xdr:rowOff>53474</xdr:rowOff>
    </xdr:from>
    <xdr:to>
      <xdr:col>26</xdr:col>
      <xdr:colOff>481262</xdr:colOff>
      <xdr:row>137</xdr:row>
      <xdr:rowOff>340895</xdr:rowOff>
    </xdr:to>
    <xdr:sp macro="" textlink="">
      <xdr:nvSpPr>
        <xdr:cNvPr id="230" name="Arrow: Left 229">
          <a:hlinkClick xmlns:r="http://schemas.openxmlformats.org/officeDocument/2006/relationships" r:id="rId2" tooltip="back to Harmony Politics tab"/>
          <a:extLst>
            <a:ext uri="{FF2B5EF4-FFF2-40B4-BE49-F238E27FC236}">
              <a16:creationId xmlns:a16="http://schemas.microsoft.com/office/drawing/2014/main" id="{00000000-0008-0000-0100-0000E6000000}"/>
            </a:ext>
          </a:extLst>
        </xdr:cNvPr>
        <xdr:cNvSpPr/>
      </xdr:nvSpPr>
      <xdr:spPr>
        <a:xfrm>
          <a:off x="10862510" y="25481414"/>
          <a:ext cx="1528812" cy="2874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45450</xdr:colOff>
      <xdr:row>99</xdr:row>
      <xdr:rowOff>379663</xdr:rowOff>
    </xdr:from>
    <xdr:to>
      <xdr:col>27</xdr:col>
      <xdr:colOff>118977</xdr:colOff>
      <xdr:row>100</xdr:row>
      <xdr:rowOff>98926</xdr:rowOff>
    </xdr:to>
    <xdr:sp macro="" textlink="">
      <xdr:nvSpPr>
        <xdr:cNvPr id="259" name="Right Triangle 258">
          <a:extLst>
            <a:ext uri="{FF2B5EF4-FFF2-40B4-BE49-F238E27FC236}">
              <a16:creationId xmlns:a16="http://schemas.microsoft.com/office/drawing/2014/main" id="{00000000-0008-0000-0100-000003010000}"/>
            </a:ext>
          </a:extLst>
        </xdr:cNvPr>
        <xdr:cNvSpPr/>
      </xdr:nvSpPr>
      <xdr:spPr>
        <a:xfrm flipH="1" flipV="1">
          <a:off x="12458430" y="17357023"/>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27</xdr:col>
      <xdr:colOff>45449</xdr:colOff>
      <xdr:row>138</xdr:row>
      <xdr:rowOff>5348</xdr:rowOff>
    </xdr:from>
    <xdr:to>
      <xdr:col>27</xdr:col>
      <xdr:colOff>118976</xdr:colOff>
      <xdr:row>138</xdr:row>
      <xdr:rowOff>105611</xdr:rowOff>
    </xdr:to>
    <xdr:sp macro="" textlink="">
      <xdr:nvSpPr>
        <xdr:cNvPr id="263" name="Right Triangle 262">
          <a:extLst>
            <a:ext uri="{FF2B5EF4-FFF2-40B4-BE49-F238E27FC236}">
              <a16:creationId xmlns:a16="http://schemas.microsoft.com/office/drawing/2014/main" id="{00000000-0008-0000-0100-000007010000}"/>
            </a:ext>
          </a:extLst>
        </xdr:cNvPr>
        <xdr:cNvSpPr/>
      </xdr:nvSpPr>
      <xdr:spPr>
        <a:xfrm flipH="1" flipV="1">
          <a:off x="12458429" y="2581428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13</xdr:col>
      <xdr:colOff>44112</xdr:colOff>
      <xdr:row>137</xdr:row>
      <xdr:rowOff>378327</xdr:rowOff>
    </xdr:from>
    <xdr:to>
      <xdr:col>13</xdr:col>
      <xdr:colOff>117639</xdr:colOff>
      <xdr:row>138</xdr:row>
      <xdr:rowOff>97590</xdr:rowOff>
    </xdr:to>
    <xdr:sp macro="" textlink="">
      <xdr:nvSpPr>
        <xdr:cNvPr id="264" name="Right Triangle 263">
          <a:extLst>
            <a:ext uri="{FF2B5EF4-FFF2-40B4-BE49-F238E27FC236}">
              <a16:creationId xmlns:a16="http://schemas.microsoft.com/office/drawing/2014/main" id="{00000000-0008-0000-0100-000008010000}"/>
            </a:ext>
          </a:extLst>
        </xdr:cNvPr>
        <xdr:cNvSpPr/>
      </xdr:nvSpPr>
      <xdr:spPr>
        <a:xfrm flipH="1" flipV="1">
          <a:off x="6193452" y="25806267"/>
          <a:ext cx="7352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461210</xdr:colOff>
      <xdr:row>213</xdr:row>
      <xdr:rowOff>53474</xdr:rowOff>
    </xdr:from>
    <xdr:to>
      <xdr:col>26</xdr:col>
      <xdr:colOff>481262</xdr:colOff>
      <xdr:row>213</xdr:row>
      <xdr:rowOff>340895</xdr:rowOff>
    </xdr:to>
    <xdr:sp macro="" textlink="">
      <xdr:nvSpPr>
        <xdr:cNvPr id="310" name="Arrow: Left 309">
          <a:hlinkClick xmlns:r="http://schemas.openxmlformats.org/officeDocument/2006/relationships" r:id="rId2" tooltip="back to Harmony Politics tab"/>
          <a:extLst>
            <a:ext uri="{FF2B5EF4-FFF2-40B4-BE49-F238E27FC236}">
              <a16:creationId xmlns:a16="http://schemas.microsoft.com/office/drawing/2014/main" id="{00000000-0008-0000-0100-000036010000}"/>
            </a:ext>
          </a:extLst>
        </xdr:cNvPr>
        <xdr:cNvSpPr/>
      </xdr:nvSpPr>
      <xdr:spPr>
        <a:xfrm>
          <a:off x="10883820" y="25574016"/>
          <a:ext cx="1531137" cy="2874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13</xdr:col>
      <xdr:colOff>44112</xdr:colOff>
      <xdr:row>213</xdr:row>
      <xdr:rowOff>378327</xdr:rowOff>
    </xdr:from>
    <xdr:to>
      <xdr:col>14</xdr:col>
      <xdr:colOff>3339</xdr:colOff>
      <xdr:row>214</xdr:row>
      <xdr:rowOff>97590</xdr:rowOff>
    </xdr:to>
    <xdr:sp macro="" textlink="">
      <xdr:nvSpPr>
        <xdr:cNvPr id="312" name="Right Triangle 311">
          <a:extLst>
            <a:ext uri="{FF2B5EF4-FFF2-40B4-BE49-F238E27FC236}">
              <a16:creationId xmlns:a16="http://schemas.microsoft.com/office/drawing/2014/main" id="{00000000-0008-0000-0100-000038010000}"/>
            </a:ext>
          </a:extLst>
        </xdr:cNvPr>
        <xdr:cNvSpPr/>
      </xdr:nvSpPr>
      <xdr:spPr>
        <a:xfrm flipH="1" flipV="1">
          <a:off x="6193452" y="42349287"/>
          <a:ext cx="7352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105</xdr:col>
      <xdr:colOff>300632</xdr:colOff>
      <xdr:row>10</xdr:row>
      <xdr:rowOff>60947</xdr:rowOff>
    </xdr:from>
    <xdr:ext cx="7252819" cy="815736"/>
    <xdr:sp macro="" textlink="">
      <xdr:nvSpPr>
        <xdr:cNvPr id="337" name="Rectangle 336">
          <a:extLst>
            <a:ext uri="{FF2B5EF4-FFF2-40B4-BE49-F238E27FC236}">
              <a16:creationId xmlns:a16="http://schemas.microsoft.com/office/drawing/2014/main" id="{00000000-0008-0000-0100-000051010000}"/>
            </a:ext>
          </a:extLst>
        </xdr:cNvPr>
        <xdr:cNvSpPr/>
      </xdr:nvSpPr>
      <xdr:spPr>
        <a:xfrm>
          <a:off x="32634832" y="2296147"/>
          <a:ext cx="7252819"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Massage your messaging</a:t>
          </a:r>
        </a:p>
      </xdr:txBody>
    </xdr:sp>
    <xdr:clientData/>
  </xdr:oneCellAnchor>
  <xdr:oneCellAnchor>
    <xdr:from>
      <xdr:col>95</xdr:col>
      <xdr:colOff>207643</xdr:colOff>
      <xdr:row>10</xdr:row>
      <xdr:rowOff>20480</xdr:rowOff>
    </xdr:from>
    <xdr:ext cx="6055504" cy="815736"/>
    <xdr:sp macro="" textlink="">
      <xdr:nvSpPr>
        <xdr:cNvPr id="338" name="Rectangle 337">
          <a:extLst>
            <a:ext uri="{FF2B5EF4-FFF2-40B4-BE49-F238E27FC236}">
              <a16:creationId xmlns:a16="http://schemas.microsoft.com/office/drawing/2014/main" id="{00000000-0008-0000-0100-000052010000}"/>
            </a:ext>
          </a:extLst>
        </xdr:cNvPr>
        <xdr:cNvSpPr/>
      </xdr:nvSpPr>
      <xdr:spPr>
        <a:xfrm>
          <a:off x="26445843" y="2255680"/>
          <a:ext cx="6055504"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Proactive messaging</a:t>
          </a:r>
        </a:p>
      </xdr:txBody>
    </xdr:sp>
    <xdr:clientData/>
  </xdr:oneCellAnchor>
  <xdr:oneCellAnchor>
    <xdr:from>
      <xdr:col>95</xdr:col>
      <xdr:colOff>199840</xdr:colOff>
      <xdr:row>16</xdr:row>
      <xdr:rowOff>172492</xdr:rowOff>
    </xdr:from>
    <xdr:ext cx="5969391" cy="815736"/>
    <xdr:sp macro="" textlink="">
      <xdr:nvSpPr>
        <xdr:cNvPr id="339" name="Rectangle 338">
          <a:extLst>
            <a:ext uri="{FF2B5EF4-FFF2-40B4-BE49-F238E27FC236}">
              <a16:creationId xmlns:a16="http://schemas.microsoft.com/office/drawing/2014/main" id="{00000000-0008-0000-0100-000053010000}"/>
            </a:ext>
          </a:extLst>
        </xdr:cNvPr>
        <xdr:cNvSpPr/>
      </xdr:nvSpPr>
      <xdr:spPr>
        <a:xfrm>
          <a:off x="26438040" y="3677692"/>
          <a:ext cx="5969391"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Inspire</a:t>
          </a:r>
          <a:r>
            <a:rPr lang="en-US" sz="4000" b="0" cap="none" spc="0" baseline="0">
              <a:ln w="0"/>
              <a:solidFill>
                <a:srgbClr val="411E5A"/>
              </a:solidFill>
              <a:effectLst>
                <a:outerShdw blurRad="38100" dist="19050" dir="2700000" algn="tl" rotWithShape="0">
                  <a:schemeClr val="dk1">
                    <a:alpha val="40000"/>
                  </a:schemeClr>
                </a:outerShdw>
              </a:effectLst>
              <a:latin typeface="Arial Black" panose="020B0A04020102020204" pitchFamily="34" charset="0"/>
            </a:rPr>
            <a:t> voter turnout</a:t>
          </a:r>
          <a:endPar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oneCellAnchor>
    <xdr:from>
      <xdr:col>95</xdr:col>
      <xdr:colOff>222978</xdr:colOff>
      <xdr:row>22</xdr:row>
      <xdr:rowOff>153248</xdr:rowOff>
    </xdr:from>
    <xdr:ext cx="4259436" cy="815736"/>
    <xdr:sp macro="" textlink="">
      <xdr:nvSpPr>
        <xdr:cNvPr id="340" name="Rectangle 339">
          <a:extLst>
            <a:ext uri="{FF2B5EF4-FFF2-40B4-BE49-F238E27FC236}">
              <a16:creationId xmlns:a16="http://schemas.microsoft.com/office/drawing/2014/main" id="{00000000-0008-0000-0100-000054010000}"/>
            </a:ext>
          </a:extLst>
        </xdr:cNvPr>
        <xdr:cNvSpPr/>
      </xdr:nvSpPr>
      <xdr:spPr>
        <a:xfrm>
          <a:off x="26461178" y="5182448"/>
          <a:ext cx="4259436"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Attract donors</a:t>
          </a:r>
        </a:p>
      </xdr:txBody>
    </xdr:sp>
    <xdr:clientData/>
  </xdr:oneCellAnchor>
  <xdr:twoCellAnchor>
    <xdr:from>
      <xdr:col>23</xdr:col>
      <xdr:colOff>461210</xdr:colOff>
      <xdr:row>176</xdr:row>
      <xdr:rowOff>53474</xdr:rowOff>
    </xdr:from>
    <xdr:to>
      <xdr:col>26</xdr:col>
      <xdr:colOff>481262</xdr:colOff>
      <xdr:row>176</xdr:row>
      <xdr:rowOff>340895</xdr:rowOff>
    </xdr:to>
    <xdr:sp macro="" textlink="">
      <xdr:nvSpPr>
        <xdr:cNvPr id="385" name="Arrow: Left 384">
          <a:hlinkClick xmlns:r="http://schemas.openxmlformats.org/officeDocument/2006/relationships" r:id="rId2" tooltip="back to Harmony Politics tab"/>
          <a:extLst>
            <a:ext uri="{FF2B5EF4-FFF2-40B4-BE49-F238E27FC236}">
              <a16:creationId xmlns:a16="http://schemas.microsoft.com/office/drawing/2014/main" id="{00000000-0008-0000-0100-000081010000}"/>
            </a:ext>
          </a:extLst>
        </xdr:cNvPr>
        <xdr:cNvSpPr/>
      </xdr:nvSpPr>
      <xdr:spPr>
        <a:xfrm>
          <a:off x="10964110" y="25682074"/>
          <a:ext cx="1544052" cy="2874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177</xdr:row>
      <xdr:rowOff>5348</xdr:rowOff>
    </xdr:from>
    <xdr:to>
      <xdr:col>27</xdr:col>
      <xdr:colOff>118976</xdr:colOff>
      <xdr:row>177</xdr:row>
      <xdr:rowOff>105611</xdr:rowOff>
    </xdr:to>
    <xdr:sp macro="" textlink="">
      <xdr:nvSpPr>
        <xdr:cNvPr id="386" name="Right Triangle 385">
          <a:extLst>
            <a:ext uri="{FF2B5EF4-FFF2-40B4-BE49-F238E27FC236}">
              <a16:creationId xmlns:a16="http://schemas.microsoft.com/office/drawing/2014/main" id="{00000000-0008-0000-0100-000082010000}"/>
            </a:ext>
          </a:extLst>
        </xdr:cNvPr>
        <xdr:cNvSpPr/>
      </xdr:nvSpPr>
      <xdr:spPr>
        <a:xfrm flipH="1" flipV="1">
          <a:off x="12580349" y="2601494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105</xdr:col>
      <xdr:colOff>105745</xdr:colOff>
      <xdr:row>79</xdr:row>
      <xdr:rowOff>180474</xdr:rowOff>
    </xdr:from>
    <xdr:to>
      <xdr:col>115</xdr:col>
      <xdr:colOff>38102</xdr:colOff>
      <xdr:row>86</xdr:row>
      <xdr:rowOff>216569</xdr:rowOff>
    </xdr:to>
    <xdr:sp macro="" textlink="">
      <xdr:nvSpPr>
        <xdr:cNvPr id="246" name="TextBox 245">
          <a:extLst>
            <a:ext uri="{FF2B5EF4-FFF2-40B4-BE49-F238E27FC236}">
              <a16:creationId xmlns:a16="http://schemas.microsoft.com/office/drawing/2014/main" id="{00000000-0008-0000-0100-0000F6000000}"/>
            </a:ext>
          </a:extLst>
        </xdr:cNvPr>
        <xdr:cNvSpPr txBox="1"/>
      </xdr:nvSpPr>
      <xdr:spPr>
        <a:xfrm>
          <a:off x="32439945" y="6225674"/>
          <a:ext cx="6028357" cy="18140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spcAft>
              <a:spcPts val="600"/>
            </a:spcAft>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Love seems to be the underappreciated answer</a:t>
          </a:r>
        </a:p>
        <a:p>
          <a:pPr>
            <a:spcBef>
              <a:spcPts val="600"/>
            </a:spcBef>
          </a:pP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Without </a:t>
          </a:r>
          <a:r>
            <a:rPr lang="en-US" sz="1200" b="0" baseline="0">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Harmony Politics </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or something like it, political leaders and thought leaders grope mostly in the dark. They tend to perpetuate political generalizations filled with errors, as any generalization easily overlooks your specifics. Which fuels hate.</a:t>
          </a:r>
        </a:p>
        <a:p>
          <a:pPr>
            <a:spcBef>
              <a:spcPts val="600"/>
            </a:spcBef>
          </a:pPr>
          <a:r>
            <a:rPr lang="en-US" sz="1200" b="0" baseline="0">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Harmony Politics </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hands you the tools these leaders need. Imagine how responsive you would be to a leader who finally listens and affirms to the needs across the political spectrum. Now imagine you being the change agent these leaders require to spread such harmonizing love. And now imagined being paid for it.</a:t>
          </a:r>
        </a:p>
      </xdr:txBody>
    </xdr:sp>
    <xdr:clientData/>
  </xdr:twoCellAnchor>
  <xdr:oneCellAnchor>
    <xdr:from>
      <xdr:col>0</xdr:col>
      <xdr:colOff>102728</xdr:colOff>
      <xdr:row>66</xdr:row>
      <xdr:rowOff>15054</xdr:rowOff>
    </xdr:from>
    <xdr:ext cx="5943600" cy="4175946"/>
    <xdr:sp macro="" textlink="">
      <xdr:nvSpPr>
        <xdr:cNvPr id="248" name="Rectangle 247">
          <a:extLst>
            <a:ext uri="{FF2B5EF4-FFF2-40B4-BE49-F238E27FC236}">
              <a16:creationId xmlns:a16="http://schemas.microsoft.com/office/drawing/2014/main" id="{00000000-0008-0000-0100-0000F8000000}"/>
            </a:ext>
          </a:extLst>
        </xdr:cNvPr>
        <xdr:cNvSpPr/>
      </xdr:nvSpPr>
      <xdr:spPr>
        <a:xfrm>
          <a:off x="102728" y="20101374"/>
          <a:ext cx="5943600" cy="4175946"/>
        </a:xfrm>
        <a:prstGeom prst="rect">
          <a:avLst/>
        </a:prstGeom>
        <a:noFill/>
      </xdr:spPr>
      <xdr:txBody>
        <a:bodyPr wrap="square" lIns="91440" tIns="45720" rIns="91440" bIns="45720">
          <a:noAutofit/>
        </a:bodyPr>
        <a:lstStyle/>
        <a:p>
          <a:pPr algn="l">
            <a:spcAft>
              <a:spcPts val="600"/>
            </a:spcAft>
          </a:pPr>
          <a:r>
            <a:rPr lang="en-US" sz="18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Harmony Politics aims...</a:t>
          </a:r>
        </a:p>
        <a:p>
          <a:pPr algn="l">
            <a:spcBef>
              <a:spcPts val="300"/>
            </a:spcBef>
            <a:spcAft>
              <a:spcPts val="300"/>
            </a:spcAft>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 you, the counselor, recover</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any lost rapport with your client over political differences, </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 you, the counselor, to tap</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into your client's political views to better understand their sensitive needs, </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 you unpack your</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own political views behind your risk for countertransference,</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t>
          </a: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100" b="0">
              <a:effectLst>
                <a:outerShdw blurRad="38100" dist="19050" dir="2700000" algn="tl" rotWithShape="0">
                  <a:schemeClr val="dk1">
                    <a:alpha val="40000"/>
                  </a:schemeClr>
                </a:outerShdw>
              </a:effectLst>
              <a:latin typeface="+mn-lt"/>
              <a:ea typeface="+mn-ea"/>
              <a:cs typeface="+mn-cs"/>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replace the agree-disagree</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political binary with the tools to relate to each other's different priority of inflexible needs,</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t>
          </a: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you inspire your client to proactively resolve the needs underscoring political differences, </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invite you to apply</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this in a new kind of counseling called psychosociotherapy, and</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convert political differences to unifying </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love.</a:t>
          </a:r>
          <a:endParaRPr lang="en-US" sz="1600" b="0" cap="none" spc="0">
            <a:ln w="0"/>
            <a:solidFill>
              <a:srgbClr val="1E5A28"/>
            </a:solidFill>
            <a:effectLst/>
            <a:latin typeface="Arial Black" panose="020B0A04020102020204" pitchFamily="34" charset="0"/>
          </a:endParaRPr>
        </a:p>
      </xdr:txBody>
    </xdr:sp>
    <xdr:clientData/>
  </xdr:oneCellAnchor>
  <xdr:twoCellAnchor>
    <xdr:from>
      <xdr:col>15</xdr:col>
      <xdr:colOff>24953</xdr:colOff>
      <xdr:row>700</xdr:row>
      <xdr:rowOff>7469</xdr:rowOff>
    </xdr:from>
    <xdr:to>
      <xdr:col>26</xdr:col>
      <xdr:colOff>162112</xdr:colOff>
      <xdr:row>702</xdr:row>
      <xdr:rowOff>141940</xdr:rowOff>
    </xdr:to>
    <xdr:sp macro="" textlink="">
      <xdr:nvSpPr>
        <xdr:cNvPr id="195" name="TextBox 194">
          <a:extLst>
            <a:ext uri="{FF2B5EF4-FFF2-40B4-BE49-F238E27FC236}">
              <a16:creationId xmlns:a16="http://schemas.microsoft.com/office/drawing/2014/main" id="{00000000-0008-0000-0100-0000C3000000}"/>
            </a:ext>
          </a:extLst>
        </xdr:cNvPr>
        <xdr:cNvSpPr txBox="1"/>
      </xdr:nvSpPr>
      <xdr:spPr>
        <a:xfrm>
          <a:off x="6367482" y="167654940"/>
          <a:ext cx="5642983" cy="642471"/>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800" b="1"/>
        </a:p>
        <a:p>
          <a:r>
            <a:rPr lang="en-US" sz="800" b="1"/>
            <a:t>Pies, R. </a:t>
          </a:r>
          <a:r>
            <a:rPr lang="en-US" sz="800" b="1">
              <a:solidFill>
                <a:schemeClr val="dk1"/>
              </a:solidFill>
              <a:latin typeface="+mn-lt"/>
              <a:ea typeface="+mn-ea"/>
              <a:cs typeface="+mn-cs"/>
            </a:rPr>
            <a:t>Culture Wars, COVID-19 and Countertransference. What America’s Cultural Rifts Might Mean for Psychiatry and Psychotherapy. </a:t>
          </a:r>
          <a:r>
            <a:rPr lang="en-US" sz="800" b="1"/>
            <a:t>https://pro.psychcentral.com/culture-wars-covid-19-and-countertransference. June 29, 2020. Accessed November 7, 2020.</a:t>
          </a:r>
        </a:p>
      </xdr:txBody>
    </xdr:sp>
    <xdr:clientData/>
  </xdr:twoCellAnchor>
  <xdr:twoCellAnchor>
    <xdr:from>
      <xdr:col>17</xdr:col>
      <xdr:colOff>327713</xdr:colOff>
      <xdr:row>731</xdr:row>
      <xdr:rowOff>68580</xdr:rowOff>
    </xdr:from>
    <xdr:to>
      <xdr:col>54</xdr:col>
      <xdr:colOff>426579</xdr:colOff>
      <xdr:row>742</xdr:row>
      <xdr:rowOff>167683</xdr:rowOff>
    </xdr:to>
    <xdr:grpSp>
      <xdr:nvGrpSpPr>
        <xdr:cNvPr id="30" name="Go deep &amp; connected" hidden="1">
          <a:extLst>
            <a:ext uri="{FF2B5EF4-FFF2-40B4-BE49-F238E27FC236}">
              <a16:creationId xmlns:a16="http://schemas.microsoft.com/office/drawing/2014/main" id="{00000000-0008-0000-0100-00001E000000}"/>
            </a:ext>
          </a:extLst>
        </xdr:cNvPr>
        <xdr:cNvGrpSpPr/>
      </xdr:nvGrpSpPr>
      <xdr:grpSpPr>
        <a:xfrm>
          <a:off x="6263640" y="173255940"/>
          <a:ext cx="18760299" cy="2026963"/>
          <a:chOff x="7955333" y="71879460"/>
          <a:chExt cx="6575866" cy="2026963"/>
        </a:xfrm>
      </xdr:grpSpPr>
      <xdr:grpSp>
        <xdr:nvGrpSpPr>
          <xdr:cNvPr id="26" name="Group 25">
            <a:extLst>
              <a:ext uri="{FF2B5EF4-FFF2-40B4-BE49-F238E27FC236}">
                <a16:creationId xmlns:a16="http://schemas.microsoft.com/office/drawing/2014/main" id="{00000000-0008-0000-0100-00001A000000}"/>
              </a:ext>
            </a:extLst>
          </xdr:cNvPr>
          <xdr:cNvGrpSpPr/>
        </xdr:nvGrpSpPr>
        <xdr:grpSpPr>
          <a:xfrm>
            <a:off x="8039100" y="72069956"/>
            <a:ext cx="6400800" cy="1836467"/>
            <a:chOff x="8039100" y="72073619"/>
            <a:chExt cx="4572000" cy="948841"/>
          </a:xfrm>
        </xdr:grpSpPr>
        <xdr:sp macro="" textlink="">
          <xdr:nvSpPr>
            <xdr:cNvPr id="17" name="Rectangle: Top Corners Rounded 16">
              <a:extLst>
                <a:ext uri="{FF2B5EF4-FFF2-40B4-BE49-F238E27FC236}">
                  <a16:creationId xmlns:a16="http://schemas.microsoft.com/office/drawing/2014/main" id="{00000000-0008-0000-0100-000011000000}"/>
                </a:ext>
              </a:extLst>
            </xdr:cNvPr>
            <xdr:cNvSpPr/>
          </xdr:nvSpPr>
          <xdr:spPr>
            <a:xfrm flipV="1">
              <a:off x="8039100" y="72108060"/>
              <a:ext cx="4572000" cy="914400"/>
            </a:xfrm>
            <a:prstGeom prst="round2SameRect">
              <a:avLst>
                <a:gd name="adj1" fmla="val 29584"/>
                <a:gd name="adj2" fmla="val 0"/>
              </a:avLst>
            </a:prstGeom>
            <a:pattFill prst="narHorz">
              <a:fgClr>
                <a:srgbClr val="00B0F0"/>
              </a:fgClr>
              <a:bgClr>
                <a:schemeClr val="bg1"/>
              </a:bgClr>
            </a:pattFill>
            <a:ln w="5715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sp macro="" textlink="">
          <xdr:nvSpPr>
            <xdr:cNvPr id="25" name="Rectangle 24">
              <a:extLst>
                <a:ext uri="{FF2B5EF4-FFF2-40B4-BE49-F238E27FC236}">
                  <a16:creationId xmlns:a16="http://schemas.microsoft.com/office/drawing/2014/main" id="{00000000-0008-0000-0100-000019000000}"/>
                </a:ext>
              </a:extLst>
            </xdr:cNvPr>
            <xdr:cNvSpPr/>
          </xdr:nvSpPr>
          <xdr:spPr>
            <a:xfrm>
              <a:off x="8058694" y="72073619"/>
              <a:ext cx="4532811" cy="12204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27" name="Arrow: Left-Right 26">
            <a:extLst>
              <a:ext uri="{FF2B5EF4-FFF2-40B4-BE49-F238E27FC236}">
                <a16:creationId xmlns:a16="http://schemas.microsoft.com/office/drawing/2014/main" id="{00000000-0008-0000-0100-00001B000000}"/>
              </a:ext>
            </a:extLst>
          </xdr:cNvPr>
          <xdr:cNvSpPr/>
        </xdr:nvSpPr>
        <xdr:spPr>
          <a:xfrm>
            <a:off x="8176260" y="72085200"/>
            <a:ext cx="6134100" cy="426720"/>
          </a:xfrm>
          <a:prstGeom prst="leftRightArrow">
            <a:avLst>
              <a:gd name="adj1" fmla="val 50000"/>
              <a:gd name="adj2" fmla="val 66071"/>
            </a:avLst>
          </a:prstGeom>
          <a:gradFill flip="none" rotWithShape="1">
            <a:gsLst>
              <a:gs pos="0">
                <a:schemeClr val="accent5">
                  <a:lumMod val="75000"/>
                </a:schemeClr>
              </a:gs>
              <a:gs pos="48000">
                <a:schemeClr val="accent5">
                  <a:lumMod val="75000"/>
                </a:schemeClr>
              </a:gs>
              <a:gs pos="52000">
                <a:srgbClr val="FF5050"/>
              </a:gs>
              <a:gs pos="100000">
                <a:srgbClr val="FF5050"/>
              </a:gs>
            </a:gsLst>
            <a:lin ang="0" scaled="1"/>
            <a:tileRect/>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18288" rIns="0" bIns="0" rtlCol="0" anchor="t"/>
          <a:lstStyle/>
          <a:p>
            <a:pPr algn="ctr"/>
            <a:r>
              <a:rPr lang="en-US" sz="1100" b="1">
                <a:solidFill>
                  <a:schemeClr val="bg1"/>
                </a:solidFill>
                <a:latin typeface="Arial Narrow" panose="020B0606020202030204" pitchFamily="34" charset="0"/>
              </a:rPr>
              <a:t>The agree-disagree</a:t>
            </a:r>
            <a:r>
              <a:rPr lang="en-US" sz="1100" b="1" baseline="0">
                <a:solidFill>
                  <a:schemeClr val="bg1"/>
                </a:solidFill>
                <a:latin typeface="Arial Narrow" panose="020B0606020202030204" pitchFamily="34" charset="0"/>
              </a:rPr>
              <a:t> binary correlates more with pain-easing vacillation than need-resolving integration</a:t>
            </a:r>
            <a:endParaRPr lang="en-US" sz="1100" b="1">
              <a:solidFill>
                <a:schemeClr val="bg1"/>
              </a:solidFill>
              <a:latin typeface="Arial Narrow" panose="020B0606020202030204" pitchFamily="34" charset="0"/>
            </a:endParaRPr>
          </a:p>
        </xdr:txBody>
      </xdr:sp>
      <xdr:sp macro="" textlink="">
        <xdr:nvSpPr>
          <xdr:cNvPr id="28" name="TextBox 27">
            <a:extLst>
              <a:ext uri="{FF2B5EF4-FFF2-40B4-BE49-F238E27FC236}">
                <a16:creationId xmlns:a16="http://schemas.microsoft.com/office/drawing/2014/main" id="{00000000-0008-0000-0100-00001C000000}"/>
              </a:ext>
            </a:extLst>
          </xdr:cNvPr>
          <xdr:cNvSpPr txBox="1"/>
        </xdr:nvSpPr>
        <xdr:spPr>
          <a:xfrm>
            <a:off x="8450580" y="71879460"/>
            <a:ext cx="558546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Common</a:t>
            </a:r>
            <a:r>
              <a:rPr lang="en-US" sz="1800" b="1" baseline="0">
                <a:ln>
                  <a:solidFill>
                    <a:srgbClr val="FFFF00"/>
                  </a:solidFill>
                </a:ln>
                <a:latin typeface="Tahoma" panose="020B0604030504040204" pitchFamily="34" charset="0"/>
                <a:ea typeface="Tahoma" panose="020B0604030504040204" pitchFamily="34" charset="0"/>
                <a:cs typeface="Tahoma" panose="020B0604030504040204" pitchFamily="34" charset="0"/>
              </a:rPr>
              <a:t> </a:t>
            </a: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approach: Stay shallow and alienated</a:t>
            </a:r>
          </a:p>
        </xdr:txBody>
      </xdr:sp>
      <xdr:sp macro="" textlink="">
        <xdr:nvSpPr>
          <xdr:cNvPr id="245" name="TextBox 244">
            <a:extLst>
              <a:ext uri="{FF2B5EF4-FFF2-40B4-BE49-F238E27FC236}">
                <a16:creationId xmlns:a16="http://schemas.microsoft.com/office/drawing/2014/main" id="{00000000-0008-0000-0100-0000F5000000}"/>
              </a:ext>
            </a:extLst>
          </xdr:cNvPr>
          <xdr:cNvSpPr txBox="1"/>
        </xdr:nvSpPr>
        <xdr:spPr>
          <a:xfrm>
            <a:off x="8061960" y="73533000"/>
            <a:ext cx="636270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2000" b="1">
                <a:ln>
                  <a:solidFill>
                    <a:srgbClr val="1EFF7D"/>
                  </a:solidFill>
                </a:ln>
                <a:solidFill>
                  <a:srgbClr val="1EFF7D"/>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Preferred approach: Go deep and connect</a:t>
            </a:r>
          </a:p>
        </xdr:txBody>
      </xdr:sp>
      <xdr:sp macro="" textlink="">
        <xdr:nvSpPr>
          <xdr:cNvPr id="29" name="Arrow: Right 28">
            <a:extLst>
              <a:ext uri="{FF2B5EF4-FFF2-40B4-BE49-F238E27FC236}">
                <a16:creationId xmlns:a16="http://schemas.microsoft.com/office/drawing/2014/main" id="{00000000-0008-0000-0100-00001D000000}"/>
              </a:ext>
            </a:extLst>
          </xdr:cNvPr>
          <xdr:cNvSpPr/>
        </xdr:nvSpPr>
        <xdr:spPr>
          <a:xfrm rot="1118158">
            <a:off x="7955333" y="72812616"/>
            <a:ext cx="3337560" cy="411480"/>
          </a:xfrm>
          <a:prstGeom prst="rightArrow">
            <a:avLst>
              <a:gd name="adj1" fmla="val 50000"/>
              <a:gd name="adj2" fmla="val 105556"/>
            </a:avLst>
          </a:prstGeom>
          <a:gradFill>
            <a:gsLst>
              <a:gs pos="50000">
                <a:srgbClr val="723EDA"/>
              </a:gs>
              <a:gs pos="0">
                <a:schemeClr val="accent5">
                  <a:lumMod val="75000"/>
                </a:schemeClr>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r"/>
            <a:r>
              <a:rPr lang="en-US" sz="1100" b="1">
                <a:latin typeface="Arial Narrow" panose="020B0606020202030204" pitchFamily="34" charset="0"/>
              </a:rPr>
              <a:t>identify</a:t>
            </a:r>
            <a:r>
              <a:rPr lang="en-US" sz="1100" b="1" baseline="0">
                <a:latin typeface="Arial Narrow" panose="020B0606020202030204" pitchFamily="34" charset="0"/>
              </a:rPr>
              <a:t> and address liberal prioritized needs</a:t>
            </a:r>
            <a:endParaRPr lang="en-US" sz="1100" b="1">
              <a:latin typeface="Arial Narrow" panose="020B0606020202030204" pitchFamily="34" charset="0"/>
            </a:endParaRPr>
          </a:p>
        </xdr:txBody>
      </xdr:sp>
      <xdr:sp macro="" textlink="">
        <xdr:nvSpPr>
          <xdr:cNvPr id="251" name="Arrow: Right 250">
            <a:extLst>
              <a:ext uri="{FF2B5EF4-FFF2-40B4-BE49-F238E27FC236}">
                <a16:creationId xmlns:a16="http://schemas.microsoft.com/office/drawing/2014/main" id="{00000000-0008-0000-0100-0000FB000000}"/>
              </a:ext>
            </a:extLst>
          </xdr:cNvPr>
          <xdr:cNvSpPr/>
        </xdr:nvSpPr>
        <xdr:spPr>
          <a:xfrm rot="20481842" flipH="1">
            <a:off x="11193639" y="72814412"/>
            <a:ext cx="3337560" cy="411480"/>
          </a:xfrm>
          <a:prstGeom prst="rightArrow">
            <a:avLst>
              <a:gd name="adj1" fmla="val 50000"/>
              <a:gd name="adj2" fmla="val 105556"/>
            </a:avLst>
          </a:prstGeom>
          <a:gradFill>
            <a:gsLst>
              <a:gs pos="50000">
                <a:srgbClr val="D9038B"/>
              </a:gs>
              <a:gs pos="0">
                <a:srgbClr val="FF0000"/>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l"/>
            <a:r>
              <a:rPr lang="en-US" sz="1100" b="1">
                <a:latin typeface="Arial Narrow" panose="020B0606020202030204" pitchFamily="34" charset="0"/>
              </a:rPr>
              <a:t>identify</a:t>
            </a:r>
            <a:r>
              <a:rPr lang="en-US" sz="1100" b="1" baseline="0">
                <a:latin typeface="Arial Narrow" panose="020B0606020202030204" pitchFamily="34" charset="0"/>
              </a:rPr>
              <a:t> and address conservative prioritized needs</a:t>
            </a:r>
            <a:endParaRPr lang="en-US" sz="1100" b="1">
              <a:latin typeface="Arial Narrow" panose="020B0606020202030204" pitchFamily="34" charset="0"/>
            </a:endParaRPr>
          </a:p>
        </xdr:txBody>
      </xdr:sp>
    </xdr:grpSp>
    <xdr:clientData/>
  </xdr:twoCellAnchor>
  <xdr:twoCellAnchor>
    <xdr:from>
      <xdr:col>15</xdr:col>
      <xdr:colOff>23257</xdr:colOff>
      <xdr:row>702</xdr:row>
      <xdr:rowOff>144233</xdr:rowOff>
    </xdr:from>
    <xdr:to>
      <xdr:col>26</xdr:col>
      <xdr:colOff>169731</xdr:colOff>
      <xdr:row>703</xdr:row>
      <xdr:rowOff>261471</xdr:rowOff>
    </xdr:to>
    <xdr:sp macro="" textlink="">
      <xdr:nvSpPr>
        <xdr:cNvPr id="377" name="TextBox 376">
          <a:extLst>
            <a:ext uri="{FF2B5EF4-FFF2-40B4-BE49-F238E27FC236}">
              <a16:creationId xmlns:a16="http://schemas.microsoft.com/office/drawing/2014/main" id="{00000000-0008-0000-0100-000079010000}"/>
            </a:ext>
          </a:extLst>
        </xdr:cNvPr>
        <xdr:cNvSpPr txBox="1"/>
      </xdr:nvSpPr>
      <xdr:spPr>
        <a:xfrm>
          <a:off x="6365786" y="167746880"/>
          <a:ext cx="5652298" cy="371238"/>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t>Haidt, J. (2013). </a:t>
          </a:r>
          <a:r>
            <a:rPr lang="en-US" sz="800" b="1" i="1"/>
            <a:t>The righteous mind</a:t>
          </a:r>
          <a:r>
            <a:rPr lang="en-US" sz="800" b="1"/>
            <a:t>. Penguin Books.</a:t>
          </a:r>
        </a:p>
      </xdr:txBody>
    </xdr:sp>
    <xdr:clientData/>
  </xdr:twoCellAnchor>
  <xdr:twoCellAnchor>
    <xdr:from>
      <xdr:col>15</xdr:col>
      <xdr:colOff>9504</xdr:colOff>
      <xdr:row>90</xdr:row>
      <xdr:rowOff>135464</xdr:rowOff>
    </xdr:from>
    <xdr:to>
      <xdr:col>26</xdr:col>
      <xdr:colOff>458237</xdr:colOff>
      <xdr:row>94</xdr:row>
      <xdr:rowOff>144779</xdr:rowOff>
    </xdr:to>
    <xdr:sp macro="" textlink="">
      <xdr:nvSpPr>
        <xdr:cNvPr id="459" name="TextBox 458">
          <a:extLst>
            <a:ext uri="{FF2B5EF4-FFF2-40B4-BE49-F238E27FC236}">
              <a16:creationId xmlns:a16="http://schemas.microsoft.com/office/drawing/2014/main" id="{00000000-0008-0000-0100-0000CB010000}"/>
            </a:ext>
          </a:extLst>
        </xdr:cNvPr>
        <xdr:cNvSpPr txBox="1"/>
      </xdr:nvSpPr>
      <xdr:spPr>
        <a:xfrm>
          <a:off x="6387444" y="25906304"/>
          <a:ext cx="5980853" cy="1053255"/>
        </a:xfrm>
        <a:prstGeom prst="rect">
          <a:avLst/>
        </a:prstGeom>
        <a:solidFill>
          <a:srgbClr val="F0CD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baseline="0">
              <a:solidFill>
                <a:schemeClr val="dk1"/>
              </a:solidFill>
              <a:latin typeface="Cambria" panose="02040503050406030204" pitchFamily="18" charset="0"/>
              <a:ea typeface="Cambria" panose="02040503050406030204" pitchFamily="18" charset="0"/>
              <a:cs typeface="+mn-cs"/>
            </a:rPr>
            <a:t>Your client's political outlook </a:t>
          </a:r>
          <a:r>
            <a:rPr lang="en-US" sz="1200" baseline="0">
              <a:solidFill>
                <a:schemeClr val="dk1"/>
              </a:solidFill>
              <a:latin typeface="Cambria" panose="02040503050406030204" pitchFamily="18" charset="0"/>
              <a:ea typeface="Cambria" panose="02040503050406030204" pitchFamily="18" charset="0"/>
              <a:cs typeface="+mn-cs"/>
            </a:rPr>
            <a:t>inevitably slips into the therapeutic process. Perhaps you prefer to avoid political differences. But your client relies on politics to convey their publicly affected needs. Those needs are not being met, so they now come to you. How you handle this opportunity correlates with how well you can help your client. And if you can retain your client. </a:t>
          </a:r>
        </a:p>
      </xdr:txBody>
    </xdr:sp>
    <xdr:clientData/>
  </xdr:twoCellAnchor>
  <xdr:twoCellAnchor>
    <xdr:from>
      <xdr:col>15</xdr:col>
      <xdr:colOff>110856</xdr:colOff>
      <xdr:row>127</xdr:row>
      <xdr:rowOff>172718</xdr:rowOff>
    </xdr:from>
    <xdr:to>
      <xdr:col>26</xdr:col>
      <xdr:colOff>474133</xdr:colOff>
      <xdr:row>160</xdr:row>
      <xdr:rowOff>121920</xdr:rowOff>
    </xdr:to>
    <xdr:sp macro="" textlink="">
      <xdr:nvSpPr>
        <xdr:cNvPr id="462" name="TextBox 461">
          <a:extLst>
            <a:ext uri="{FF2B5EF4-FFF2-40B4-BE49-F238E27FC236}">
              <a16:creationId xmlns:a16="http://schemas.microsoft.com/office/drawing/2014/main" id="{00000000-0008-0000-0100-0000CE010000}"/>
            </a:ext>
          </a:extLst>
        </xdr:cNvPr>
        <xdr:cNvSpPr txBox="1"/>
      </xdr:nvSpPr>
      <xdr:spPr>
        <a:xfrm>
          <a:off x="6488796" y="34470338"/>
          <a:ext cx="5895397" cy="7462522"/>
        </a:xfrm>
        <a:prstGeom prst="rect">
          <a:avLst/>
        </a:prstGeom>
        <a:solidFill>
          <a:srgbClr val="F0CD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Cambria" panose="02040503050406030204" pitchFamily="18" charset="0"/>
              <a:ea typeface="Cambria" panose="02040503050406030204" pitchFamily="18" charset="0"/>
            </a:rPr>
            <a:t>Your client can</a:t>
          </a:r>
          <a:r>
            <a:rPr lang="en-US" sz="1200" b="1" baseline="0">
              <a:latin typeface="Cambria" panose="02040503050406030204" pitchFamily="18" charset="0"/>
              <a:ea typeface="Cambria" panose="02040503050406030204" pitchFamily="18" charset="0"/>
            </a:rPr>
            <a:t> have political views </a:t>
          </a:r>
          <a:r>
            <a:rPr lang="en-US" sz="1200" baseline="0">
              <a:latin typeface="Cambria" panose="02040503050406030204" pitchFamily="18" charset="0"/>
              <a:ea typeface="Cambria" panose="02040503050406030204" pitchFamily="18" charset="0"/>
            </a:rPr>
            <a:t>sharply divergent from yours without undermining the therapeutic process. Ideally. As long as you recognized the many limits in p</a:t>
          </a:r>
          <a:r>
            <a:rPr lang="en-US" sz="1200">
              <a:latin typeface="Cambria" panose="02040503050406030204" pitchFamily="18" charset="0"/>
              <a:ea typeface="Cambria" panose="02040503050406030204" pitchFamily="18" charset="0"/>
            </a:rPr>
            <a:t>opular politics. Your</a:t>
          </a:r>
          <a:r>
            <a:rPr lang="en-US" sz="1200" baseline="0">
              <a:latin typeface="Cambria" panose="02040503050406030204" pitchFamily="18" charset="0"/>
              <a:ea typeface="Cambria" panose="02040503050406030204" pitchFamily="18" charset="0"/>
            </a:rPr>
            <a:t> client's political views can serve as stepping stones for deeper understanding, or stumbling blocks to any meaningful therapy. This tool breaks down the difference.</a:t>
          </a:r>
        </a:p>
        <a:p>
          <a:endParaRPr lang="en-US" sz="1200">
            <a:latin typeface="Cambria" panose="02040503050406030204" pitchFamily="18" charset="0"/>
            <a:ea typeface="Cambria" panose="02040503050406030204" pitchFamily="18" charset="0"/>
          </a:endParaRPr>
        </a:p>
        <a:p>
          <a:r>
            <a:rPr lang="en-US" sz="1200">
              <a:latin typeface="Cambria" panose="02040503050406030204" pitchFamily="18" charset="0"/>
              <a:ea typeface="Cambria" panose="02040503050406030204" pitchFamily="18" charset="0"/>
            </a:rPr>
            <a:t>For starters, politics provide</a:t>
          </a:r>
          <a:r>
            <a:rPr lang="en-US" sz="1200" baseline="0">
              <a:latin typeface="Cambria" panose="02040503050406030204" pitchFamily="18" charset="0"/>
              <a:ea typeface="Cambria" panose="02040503050406030204" pitchFamily="18" charset="0"/>
            </a:rPr>
            <a:t>s you and your clients a popular way to convey your affected priority of needs. If you expect your client to experience the same priority of needs as you, and your client </a:t>
          </a:r>
          <a:r>
            <a:rPr lang="en-US" sz="1200">
              <a:latin typeface="Cambria" panose="02040503050406030204" pitchFamily="18" charset="0"/>
              <a:ea typeface="Cambria" panose="02040503050406030204" pitchFamily="18" charset="0"/>
            </a:rPr>
            <a:t>expresses [opposing/similar] political views,</a:t>
          </a:r>
          <a:r>
            <a:rPr lang="en-US" sz="1200" baseline="0">
              <a:latin typeface="Cambria" panose="02040503050406030204" pitchFamily="18" charset="0"/>
              <a:ea typeface="Cambria" panose="02040503050406030204" pitchFamily="18" charset="0"/>
            </a:rPr>
            <a:t> you risk </a:t>
          </a:r>
          <a:r>
            <a:rPr lang="en-US" sz="1200" b="1" i="1" baseline="0">
              <a:latin typeface="Cambria" panose="02040503050406030204" pitchFamily="18" charset="0"/>
              <a:ea typeface="Cambria" panose="02040503050406030204" pitchFamily="18" charset="0"/>
            </a:rPr>
            <a:t>countertransference</a:t>
          </a:r>
          <a:r>
            <a:rPr lang="en-US" sz="1200" baseline="0">
              <a:latin typeface="Cambria" panose="02040503050406030204" pitchFamily="18" charset="0"/>
              <a:ea typeface="Cambria" panose="02040503050406030204" pitchFamily="18" charset="0"/>
            </a:rPr>
            <a:t>. You risk rejecting your client, who may then reject you.</a:t>
          </a:r>
        </a:p>
        <a:p>
          <a:endParaRPr lang="en-US" sz="1200" baseline="0">
            <a:latin typeface="Arial Narrow" panose="020B0606020202030204" pitchFamily="34" charset="0"/>
          </a:endParaRPr>
        </a:p>
        <a:p>
          <a:r>
            <a:rPr lang="en-US" sz="1600" b="1" baseline="0">
              <a:latin typeface="Arial Narrow" panose="020B0606020202030204" pitchFamily="34" charset="0"/>
            </a:rPr>
            <a:t>Your client risks your rejection</a:t>
          </a:r>
          <a:r>
            <a:rPr lang="en-US" sz="1600" baseline="0">
              <a:latin typeface="Arial Narrow" panose="020B0606020202030204" pitchFamily="34" charset="0"/>
            </a:rPr>
            <a:t>. </a:t>
          </a:r>
        </a:p>
        <a:p>
          <a:r>
            <a:rPr lang="en-US" sz="1200" baseline="0">
              <a:latin typeface="Cambria" panose="02040503050406030204" pitchFamily="18" charset="0"/>
              <a:ea typeface="Cambria" panose="02040503050406030204" pitchFamily="18" charset="0"/>
            </a:rPr>
            <a:t>You probably do not think of political disagreement as rejection. But the more their needs tie into their [ISSUE/political]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a:t>
          </a:r>
        </a:p>
        <a:p>
          <a:endParaRPr lang="en-US" sz="1200" baseline="0">
            <a:latin typeface="Arial Narrow" panose="020B0606020202030204" pitchFamily="34" charset="0"/>
          </a:endParaRPr>
        </a:p>
        <a:p>
          <a:r>
            <a:rPr lang="en-US" sz="1600" b="1" baseline="0">
              <a:latin typeface="Arial Narrow" panose="020B0606020202030204" pitchFamily="34" charset="0"/>
            </a:rPr>
            <a:t>You risk losing the client</a:t>
          </a:r>
          <a:r>
            <a:rPr lang="en-US" sz="1600" baseline="0">
              <a:latin typeface="Arial Narrow" panose="020B0606020202030204" pitchFamily="34" charset="0"/>
            </a:rPr>
            <a:t>. </a:t>
          </a:r>
        </a:p>
        <a:p>
          <a:r>
            <a:rPr lang="en-US" sz="1200" baseline="0">
              <a:latin typeface="Cambria" panose="02040503050406030204" pitchFamily="18" charset="0"/>
              <a:ea typeface="Cambria" panose="02040503050406030204" pitchFamily="18" charset="0"/>
            </a:rPr>
            <a:t>After building up rapport with your client, your client may drop their guard to express their political views on some issue. Perhaps transference emerges, as they project their political angst onto you. If reacting with countertransference by instantly disagreeing (or agreeing) with your client's political views, because it emotionally elicits your vulnerable needs, you risk undermining the therapeutic alliance. Your elicited needs easily distracts full attention to their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If clinging to the notion that politics is based on rational agreements, you may unconsciously expect your client to link their thinking with yours on [ISSUE/the raised political issue]. If you seem to threaten their trusted political way to cope with their [ISSUE]-related needs, your client may suddenly cancel any further sessions. </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Your client could become disillusioned with therapy itself. They may see it as hopelessly partisan.</a:t>
          </a:r>
          <a:r>
            <a:rPr lang="en-US" sz="1200" baseline="30000">
              <a:latin typeface="Cambria" panose="02040503050406030204" pitchFamily="18" charset="0"/>
              <a:ea typeface="Cambria" panose="02040503050406030204" pitchFamily="18" charset="0"/>
            </a:rPr>
            <a:t>1</a:t>
          </a:r>
          <a:r>
            <a:rPr lang="en-US" sz="1200" baseline="0">
              <a:latin typeface="Cambria" panose="02040503050406030204" pitchFamily="18" charset="0"/>
              <a:ea typeface="Cambria" panose="02040503050406030204" pitchFamily="18" charset="0"/>
            </a:rPr>
            <a:t> They likely will warn others not to see you. You then risk your professional reputation. </a:t>
          </a:r>
        </a:p>
        <a:p>
          <a:endParaRPr lang="en-US" sz="1200" baseline="0">
            <a:latin typeface="Cambria" panose="02040503050406030204" pitchFamily="18" charset="0"/>
            <a:ea typeface="Cambria" panose="02040503050406030204" pitchFamily="18" charset="0"/>
          </a:endParaRPr>
        </a:p>
        <a:p>
          <a:r>
            <a:rPr lang="en-US" sz="1200" b="1" baseline="0">
              <a:latin typeface="Cambria" panose="02040503050406030204" pitchFamily="18" charset="0"/>
              <a:ea typeface="Cambria" panose="02040503050406030204" pitchFamily="18" charset="0"/>
            </a:rPr>
            <a:t>Harmony Politics </a:t>
          </a:r>
          <a:r>
            <a:rPr lang="en-US" sz="1200" baseline="0">
              <a:latin typeface="Cambria" panose="02040503050406030204" pitchFamily="18" charset="0"/>
              <a:ea typeface="Cambria" panose="02040503050406030204" pitchFamily="18" charset="0"/>
            </a:rPr>
            <a:t>turns popular politics on its head. It rethinks politics as a way for you to relate to your clients' needs, in at least three ways.</a:t>
          </a:r>
          <a:endParaRPr lang="en-US" sz="1200">
            <a:latin typeface="Cambria" panose="02040503050406030204" pitchFamily="18" charset="0"/>
            <a:ea typeface="Cambria" panose="02040503050406030204" pitchFamily="18" charset="0"/>
          </a:endParaRPr>
        </a:p>
      </xdr:txBody>
    </xdr:sp>
    <xdr:clientData/>
  </xdr:twoCellAnchor>
  <xdr:twoCellAnchor>
    <xdr:from>
      <xdr:col>15</xdr:col>
      <xdr:colOff>83818</xdr:colOff>
      <xdr:row>242</xdr:row>
      <xdr:rowOff>87205</xdr:rowOff>
    </xdr:from>
    <xdr:to>
      <xdr:col>26</xdr:col>
      <xdr:colOff>495298</xdr:colOff>
      <xdr:row>264</xdr:row>
      <xdr:rowOff>160020</xdr:rowOff>
    </xdr:to>
    <xdr:sp macro="" textlink="">
      <xdr:nvSpPr>
        <xdr:cNvPr id="467" name="Text Box 16">
          <a:extLst>
            <a:ext uri="{FF2B5EF4-FFF2-40B4-BE49-F238E27FC236}">
              <a16:creationId xmlns:a16="http://schemas.microsoft.com/office/drawing/2014/main" id="{00000000-0008-0000-0100-0000D3010000}"/>
            </a:ext>
          </a:extLst>
        </xdr:cNvPr>
        <xdr:cNvSpPr txBox="1"/>
      </xdr:nvSpPr>
      <xdr:spPr>
        <a:xfrm>
          <a:off x="6461758" y="60109945"/>
          <a:ext cx="5943600" cy="5094395"/>
        </a:xfrm>
        <a:prstGeom prst="rect">
          <a:avLst/>
        </a:prstGeom>
        <a:solidFill>
          <a:srgbClr val="FFCCFF"/>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Politics is largely a contest around generalizations. [Each/ISSUE] issue starts with the generalization of pitting [one side/STANCE] against [the other/STANCE]. Helping your client see</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beyond this overgeneralizing binary can free them from viewing the other political side as some mortal enemy. You help them see unresolved needs on all sides exists as a their specific foe.</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 </a:t>
          </a: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[ISSUE]-politics pits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a:t>
          </a:r>
          <a:r>
            <a:rPr lang="en-US" sz="1200">
              <a:effectLst/>
              <a:latin typeface="Cambria" panose="02040503050406030204" pitchFamily="18" charset="0"/>
              <a:ea typeface="Cambria" panose="02040503050406030204" pitchFamily="18" charset="0"/>
              <a:cs typeface="Times New Roman" panose="02020603050405020304" pitchFamily="18" charset="0"/>
            </a:rPr>
            <a:t>[W/D FOCUS] against [D/W FOCUS].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Your clients psychosocial orientation compels them to priortize the [ISSUE]-affected needs of [W/D NEED] over the [ISSUE]-affected needs of [D/W NEED].</a:t>
          </a:r>
          <a:r>
            <a:rPr lang="en-US" sz="1200">
              <a:effectLst/>
              <a:latin typeface="Cambria" panose="02040503050406030204" pitchFamily="18" charset="0"/>
              <a:ea typeface="Cambria" panose="02040503050406030204" pitchFamily="18" charset="0"/>
              <a:cs typeface="Times New Roman" panose="02020603050405020304" pitchFamily="18" charset="0"/>
            </a:rPr>
            <a:t> This positions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each other's </a:t>
          </a:r>
          <a:r>
            <a:rPr lang="en-US" sz="1200">
              <a:effectLst/>
              <a:latin typeface="Cambria" panose="02040503050406030204" pitchFamily="18" charset="0"/>
              <a:ea typeface="Cambria" panose="02040503050406030204" pitchFamily="18" charset="0"/>
              <a:cs typeface="Times New Roman" panose="02020603050405020304" pitchFamily="18" charset="0"/>
            </a:rPr>
            <a:t>priority of publicly affected needs against each</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other</a:t>
          </a:r>
          <a:r>
            <a:rPr lang="en-US" sz="1200">
              <a:effectLst/>
              <a:latin typeface="Cambria" panose="02040503050406030204" pitchFamily="18" charset="0"/>
              <a:ea typeface="Cambria" panose="02040503050406030204" pitchFamily="18" charset="0"/>
              <a:cs typeface="Times New Roman" panose="02020603050405020304" pitchFamily="18" charset="0"/>
            </a:rPr>
            <a:t>. It is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about one group generalizing their [ISSUE]-related needs as the only standard for society, which disrespects the different [ISSUE]-related needs of others. This always exposes a structural error.</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 </a:t>
          </a: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It is an overgeneralization to expect society to officially side with one priority over the other. These competing needs emerge as an arbitrary artifact of culture. If humanity always sided with the needs of [W/D NEED] against the needs of [D/W NEED], or with the needs of [D/W NEED] against the needs of [W/D NEED], there would be no humanity. This division is more of a structural </a:t>
          </a:r>
          <a:r>
            <a:rPr lang="en-US" sz="1200" baseline="0">
              <a:effectLst/>
              <a:latin typeface="Cambria" panose="02040503050406030204" pitchFamily="18" charset="0"/>
              <a:ea typeface="Cambria" panose="02040503050406030204" pitchFamily="18" charset="0"/>
              <a:cs typeface="Times New Roman" panose="02020603050405020304" pitchFamily="18" charset="0"/>
            </a:rPr>
            <a:t>problem, beyond the scope of traditional psychotherapy.</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Our challenge, as helping</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professionals, is to help each individual resolve their needs in sync with others resolving theirs. That requires letting go of each other's pain-relieving generalizations. To turn opposing political views on [ISSUE] into specific steps for resolving [ISSUE]-related needs, starting with your client's [ISSUE]-related needs. Welcome to Harmony Politics, the antidote to the divisiveness of popular politics. And a free tool for you to retain your ideologically diverse clients.</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xdr:txBody>
    </xdr:sp>
    <xdr:clientData/>
  </xdr:twoCellAnchor>
  <xdr:twoCellAnchor>
    <xdr:from>
      <xdr:col>15</xdr:col>
      <xdr:colOff>45719</xdr:colOff>
      <xdr:row>165</xdr:row>
      <xdr:rowOff>114300</xdr:rowOff>
    </xdr:from>
    <xdr:to>
      <xdr:col>26</xdr:col>
      <xdr:colOff>457199</xdr:colOff>
      <xdr:row>193</xdr:row>
      <xdr:rowOff>60960</xdr:rowOff>
    </xdr:to>
    <xdr:sp macro="" textlink="">
      <xdr:nvSpPr>
        <xdr:cNvPr id="468" name="TextBox 467">
          <a:extLst>
            <a:ext uri="{FF2B5EF4-FFF2-40B4-BE49-F238E27FC236}">
              <a16:creationId xmlns:a16="http://schemas.microsoft.com/office/drawing/2014/main" id="{00000000-0008-0000-0100-0000D4010000}"/>
            </a:ext>
          </a:extLst>
        </xdr:cNvPr>
        <xdr:cNvSpPr txBox="1"/>
      </xdr:nvSpPr>
      <xdr:spPr>
        <a:xfrm>
          <a:off x="6423659" y="43106340"/>
          <a:ext cx="5943600" cy="580644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As a counselor,</a:t>
          </a:r>
          <a:r>
            <a:rPr lang="en-US" sz="1200" baseline="0">
              <a:latin typeface="Cambria" panose="02040503050406030204" pitchFamily="18" charset="0"/>
              <a:ea typeface="Cambria" panose="02040503050406030204" pitchFamily="18" charset="0"/>
            </a:rPr>
            <a:t> you can now understand how your client experiences [Covid]-related challenges like [isolation] and [stress] through the lens of their prioritized needs. Think of their political views as a helpful window into their priority of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First, let go of the popular yet overgeneralized notion that we rationally choose our political beliefs. Jonathan Haidt</a:t>
          </a:r>
          <a:r>
            <a:rPr lang="en-US" sz="1200" baseline="30000">
              <a:latin typeface="Cambria" panose="02040503050406030204" pitchFamily="18" charset="0"/>
              <a:ea typeface="Cambria" panose="02040503050406030204" pitchFamily="18" charset="0"/>
            </a:rPr>
            <a:t>1</a:t>
          </a:r>
          <a:r>
            <a:rPr lang="en-US" sz="1200" baseline="0">
              <a:latin typeface="Cambria" panose="02040503050406030204" pitchFamily="18" charset="0"/>
              <a:ea typeface="Cambria" panose="02040503050406030204" pitchFamily="18" charset="0"/>
            </a:rPr>
            <a:t> is one among many to debunk this popular view. The prioritizing needs come first. Political beliefs attach to give expression to these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 gravitate to certain political beliefs because they serve your particular set of needs. Now you can relate to the particular set of needs of others expressed by beliefs different from your own, including your clients. Your political beliefs about [ISSUE] serve your specific needs. Your client likey has a different experience of needs around [ISSUE]. You understand their experience of [ISSUE]-related needs through their political views. You leave notions of rational choice at the door. </a:t>
          </a:r>
        </a:p>
        <a:p>
          <a:endParaRPr lang="en-US" sz="1200" baseline="0">
            <a:latin typeface="Cambria" panose="02040503050406030204" pitchFamily="18" charset="0"/>
            <a:ea typeface="Cambria" panose="02040503050406030204" pitchFamily="18" charset="0"/>
          </a:endParaRPr>
        </a:p>
        <a:p>
          <a:r>
            <a:rPr lang="en-US" sz="1200">
              <a:latin typeface="Cambria" panose="02040503050406030204" pitchFamily="18" charset="0"/>
              <a:ea typeface="Cambria" panose="02040503050406030204" pitchFamily="18" charset="0"/>
            </a:rPr>
            <a:t>The new social science of anankelogy, the study of need, provides you a</a:t>
          </a:r>
          <a:r>
            <a:rPr lang="en-US" sz="1200" baseline="0">
              <a:latin typeface="Cambria" panose="02040503050406030204" pitchFamily="18" charset="0"/>
              <a:ea typeface="Cambria" panose="02040503050406030204" pitchFamily="18" charset="0"/>
            </a:rPr>
            <a:t> robust understanding of politics as a way to agree on support to ease shared needs. According to anankelogy, politics is the art of generalizing how to agreeably address needs in different situations. Urban situations tend to create a different priority of needs than rural situations.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Anankelogy appreciates politics as the outward expression of an inward psychosocial orientation. Needs come first, their expression in politics arrives later. If more of your self-needs resolve than your social-needs, because of your life situation, you tend to have a wide-orientation</a:t>
          </a:r>
          <a:r>
            <a:rPr lang="en-US" sz="1200" baseline="0">
              <a:solidFill>
                <a:schemeClr val="dk1"/>
              </a:solidFill>
              <a:latin typeface="Cambria" panose="02040503050406030204" pitchFamily="18" charset="0"/>
              <a:ea typeface="Cambria" panose="02040503050406030204" pitchFamily="18" charset="0"/>
              <a:cs typeface="+mn-cs"/>
            </a:rPr>
            <a:t>. You express your prioritized needs with liberalism. If more of your social-needs resolve than your self-needs, because of your situation, you tend to have a deep-orientation. You express your prioritized needs with conserva</a:t>
          </a:r>
          <a:r>
            <a:rPr lang="en-US" sz="1200" baseline="0">
              <a:latin typeface="Cambria" panose="02040503050406030204" pitchFamily="18" charset="0"/>
              <a:ea typeface="Cambria" panose="02040503050406030204" pitchFamily="18" charset="0"/>
            </a:rPr>
            <a:t>tism.</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Politics typically divides between a side accommodating self-needs prioritizing over social-needs and a side accommodating social-needs prioritizing over self-needs. Learn more about this psychosocial orientation in the HP tab.</a:t>
          </a:r>
          <a:endParaRPr lang="en-US" sz="1200">
            <a:latin typeface="Cambria" panose="02040503050406030204" pitchFamily="18" charset="0"/>
            <a:ea typeface="Cambria" panose="02040503050406030204" pitchFamily="18" charset="0"/>
          </a:endParaRPr>
        </a:p>
      </xdr:txBody>
    </xdr:sp>
    <xdr:clientData/>
  </xdr:twoCellAnchor>
  <xdr:twoCellAnchor>
    <xdr:from>
      <xdr:col>15</xdr:col>
      <xdr:colOff>30479</xdr:colOff>
      <xdr:row>205</xdr:row>
      <xdr:rowOff>112489</xdr:rowOff>
    </xdr:from>
    <xdr:to>
      <xdr:col>26</xdr:col>
      <xdr:colOff>441959</xdr:colOff>
      <xdr:row>230</xdr:row>
      <xdr:rowOff>160020</xdr:rowOff>
    </xdr:to>
    <xdr:sp macro="" textlink="">
      <xdr:nvSpPr>
        <xdr:cNvPr id="469" name="TextBox 468">
          <a:extLst>
            <a:ext uri="{FF2B5EF4-FFF2-40B4-BE49-F238E27FC236}">
              <a16:creationId xmlns:a16="http://schemas.microsoft.com/office/drawing/2014/main" id="{00000000-0008-0000-0100-0000D5010000}"/>
            </a:ext>
          </a:extLst>
        </xdr:cNvPr>
        <xdr:cNvSpPr txBox="1"/>
      </xdr:nvSpPr>
      <xdr:spPr>
        <a:xfrm>
          <a:off x="6408419" y="51616069"/>
          <a:ext cx="5943600" cy="5815871"/>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HP helps you translate your client's</a:t>
          </a:r>
          <a:r>
            <a:rPr lang="en-US" sz="1200" baseline="0">
              <a:latin typeface="Cambria" panose="02040503050406030204" pitchFamily="18" charset="0"/>
              <a:ea typeface="Cambria" panose="02040503050406030204" pitchFamily="18" charset="0"/>
            </a:rPr>
            <a:t> </a:t>
          </a:r>
          <a:r>
            <a:rPr lang="en-US" sz="1200">
              <a:latin typeface="Cambria" panose="02040503050406030204" pitchFamily="18" charset="0"/>
              <a:ea typeface="Cambria" panose="02040503050406030204" pitchFamily="18" charset="0"/>
            </a:rPr>
            <a:t>political rhetoric into their</a:t>
          </a:r>
          <a:r>
            <a:rPr lang="en-US" sz="1200" baseline="0">
              <a:latin typeface="Cambria" panose="02040503050406030204" pitchFamily="18" charset="0"/>
              <a:ea typeface="Cambria" panose="02040503050406030204" pitchFamily="18" charset="0"/>
            </a:rPr>
            <a:t> current priority of needs. First, at the level of access to public resources to address their [ISSUE]-related needs. Second, at the deeper level of their impacted psychosocial needs. If your client favors a [PO-STANCE] on the issue of [ISSUE], you can suspect their [self-needs, like authenticity and privacy / social-needs, like cohesion and support], are more resolved than their [social-needs, like inclusion and fairness / self-needs, like self-initiative and independence]. You can affirm the needs themselves, without premature agreement or disagreement for what to do about them.</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Politics lets your client guard their vulnerable needs beneath a cloak of publically supported beliefs. They count on that support to insist what others must do, to respect their [ISSUE]-affected needs. They get to check how much you respect their [ISSUE]-affected needs. You can show the deepest respect by affirming their underlying needs, without premature agreement or disagreement for what to do about such needs. You acknowledge how important it must be for them to [STANCE ACTION], without offering comment, yet, for how well that will serve their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As an honored role in this helping profession, you are more helpful when guiding your client beyond the fragile certainty of [expressed/ISSUE] politics. "Before we get to that," you can tell your client seeking your agreement, "Let's get right to the point. Let's address your needs behind those views." You work with your client to cultivate the honesty necesary to process their vulnerably affected needs. </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Politics expresses agreement about ideas, about [ISSUE]. You resist that pull, to go straight to the needs affected by [ISSUE]. You affirm those needs without jumping ahead to what is to be done about those vulnerable needs affected by [ISSUE]. </a:t>
          </a:r>
        </a:p>
        <a:p>
          <a:endParaRPr lang="en-US" sz="1200" baseline="0">
            <a:latin typeface="Cambria" panose="02040503050406030204" pitchFamily="18" charset="0"/>
            <a:ea typeface="Cambria" panose="02040503050406030204" pitchFamily="18" charset="0"/>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a:solidFill>
                <a:schemeClr val="dk1"/>
              </a:solidFill>
              <a:effectLst/>
              <a:latin typeface="Cambria" panose="02040503050406030204" pitchFamily="18" charset="0"/>
              <a:ea typeface="Cambria" panose="02040503050406030204" pitchFamily="18" charset="0"/>
              <a:cs typeface="+mn-cs"/>
            </a:rPr>
            <a:t>HP</a:t>
          </a:r>
          <a:r>
            <a:rPr lang="en-US" sz="1200" baseline="0">
              <a:solidFill>
                <a:schemeClr val="dk1"/>
              </a:solidFill>
              <a:effectLst/>
              <a:latin typeface="Cambria" panose="02040503050406030204" pitchFamily="18" charset="0"/>
              <a:ea typeface="Cambria" panose="02040503050406030204" pitchFamily="18" charset="0"/>
              <a:cs typeface="+mn-cs"/>
            </a:rPr>
            <a:t> helps you d</a:t>
          </a:r>
          <a:r>
            <a:rPr lang="en-US" sz="1200">
              <a:solidFill>
                <a:schemeClr val="dk1"/>
              </a:solidFill>
              <a:effectLst/>
              <a:latin typeface="Cambria" panose="02040503050406030204" pitchFamily="18" charset="0"/>
              <a:ea typeface="Cambria" panose="02040503050406030204" pitchFamily="18" charset="0"/>
              <a:cs typeface="+mn-cs"/>
            </a:rPr>
            <a:t>istinguish between the inflexible prioritized needs around [ISSUE], expressed in</a:t>
          </a:r>
          <a:r>
            <a:rPr lang="en-US" sz="1200" baseline="0">
              <a:solidFill>
                <a:schemeClr val="dk1"/>
              </a:solidFill>
              <a:effectLst/>
              <a:latin typeface="Cambria" panose="02040503050406030204" pitchFamily="18" charset="0"/>
              <a:ea typeface="Cambria" panose="02040503050406030204" pitchFamily="18" charset="0"/>
              <a:cs typeface="+mn-cs"/>
            </a:rPr>
            <a:t> political terms, and the overgeneralizing expectations to ease such prioritized needs, also expressed in political terms. The former is not only legit but often essential. The latter is often problematic, for both sides. </a:t>
          </a:r>
          <a:endParaRPr lang="en-US" sz="1100">
            <a:effectLst/>
            <a:latin typeface="Cambria" panose="02040503050406030204" pitchFamily="18" charset="0"/>
            <a:ea typeface="Cambria" panose="02040503050406030204" pitchFamily="18" charset="0"/>
          </a:endParaRPr>
        </a:p>
      </xdr:txBody>
    </xdr:sp>
    <xdr:clientData/>
  </xdr:twoCellAnchor>
  <xdr:twoCellAnchor>
    <xdr:from>
      <xdr:col>23</xdr:col>
      <xdr:colOff>111623</xdr:colOff>
      <xdr:row>1050</xdr:row>
      <xdr:rowOff>68580</xdr:rowOff>
    </xdr:from>
    <xdr:to>
      <xdr:col>56</xdr:col>
      <xdr:colOff>571501</xdr:colOff>
      <xdr:row>1059</xdr:row>
      <xdr:rowOff>137159</xdr:rowOff>
    </xdr:to>
    <xdr:sp macro="" textlink="">
      <xdr:nvSpPr>
        <xdr:cNvPr id="552" name="TextBox 551" hidden="1">
          <a:extLst>
            <a:ext uri="{FF2B5EF4-FFF2-40B4-BE49-F238E27FC236}">
              <a16:creationId xmlns:a16="http://schemas.microsoft.com/office/drawing/2014/main" id="{00000000-0008-0000-0100-000028020000}"/>
            </a:ext>
          </a:extLst>
        </xdr:cNvPr>
        <xdr:cNvSpPr txBox="1"/>
      </xdr:nvSpPr>
      <xdr:spPr>
        <a:xfrm>
          <a:off x="10512923" y="209435700"/>
          <a:ext cx="5138558" cy="1645919"/>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200" baseline="0">
            <a:latin typeface="Cambria" panose="02040503050406030204" pitchFamily="18" charset="0"/>
            <a:ea typeface="Cambria" panose="02040503050406030204" pitchFamily="18" charset="0"/>
          </a:endParaRPr>
        </a:p>
        <a:p>
          <a:r>
            <a:rPr lang="en-US" sz="1200">
              <a:latin typeface="Cambria" panose="02040503050406030204" pitchFamily="18" charset="0"/>
              <a:ea typeface="Cambria" panose="02040503050406030204" pitchFamily="18" charset="0"/>
            </a:rPr>
            <a:t>One political side generalizes for relief of </a:t>
          </a:r>
          <a:r>
            <a:rPr lang="en-US" sz="1200">
              <a:solidFill>
                <a:schemeClr val="dk1"/>
              </a:solidFill>
              <a:latin typeface="Cambria" panose="02040503050406030204" pitchFamily="18" charset="0"/>
              <a:ea typeface="Cambria" panose="02040503050406030204" pitchFamily="18" charset="0"/>
              <a:cs typeface="+mn-cs"/>
            </a:rPr>
            <a:t>an unresolved psychosocial</a:t>
          </a:r>
          <a:r>
            <a:rPr lang="en-US" sz="1200" baseline="0">
              <a:solidFill>
                <a:schemeClr val="dk1"/>
              </a:solidFill>
              <a:latin typeface="Cambria" panose="02040503050406030204" pitchFamily="18" charset="0"/>
              <a:ea typeface="Cambria" panose="02040503050406030204" pitchFamily="18" charset="0"/>
              <a:cs typeface="+mn-cs"/>
            </a:rPr>
            <a:t> </a:t>
          </a:r>
          <a:r>
            <a:rPr lang="en-US" sz="1200">
              <a:solidFill>
                <a:schemeClr val="dk1"/>
              </a:solidFill>
              <a:latin typeface="Cambria" panose="02040503050406030204" pitchFamily="18" charset="0"/>
              <a:ea typeface="Cambria" panose="02040503050406030204" pitchFamily="18" charset="0"/>
              <a:cs typeface="+mn-cs"/>
            </a:rPr>
            <a:t>need, while guarding a more resolved psychosocial need.</a:t>
          </a:r>
          <a:r>
            <a:rPr lang="en-US" sz="1200" baseline="0">
              <a:solidFill>
                <a:schemeClr val="dk1"/>
              </a:solidFill>
              <a:latin typeface="Cambria" panose="02040503050406030204" pitchFamily="18" charset="0"/>
              <a:ea typeface="Cambria" panose="02040503050406030204" pitchFamily="18" charset="0"/>
              <a:cs typeface="+mn-cs"/>
            </a:rPr>
            <a:t> The other political side generalizes for relief of a psychosocial need, while guarding a more resolved psychosocial need. </a:t>
          </a:r>
          <a:endParaRPr lang="en-US" sz="1200">
            <a:solidFill>
              <a:schemeClr val="dk1"/>
            </a:solidFill>
            <a:latin typeface="Cambria" panose="02040503050406030204" pitchFamily="18" charset="0"/>
            <a:ea typeface="Cambria" panose="02040503050406030204" pitchFamily="18" charset="0"/>
            <a:cs typeface="+mn-cs"/>
          </a:endParaRPr>
        </a:p>
        <a:p>
          <a:endParaRPr lang="en-US" sz="120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Your</a:t>
          </a:r>
          <a:r>
            <a:rPr lang="en-US" sz="1200" baseline="0">
              <a:solidFill>
                <a:schemeClr val="dk1"/>
              </a:solidFill>
              <a:latin typeface="Cambria" panose="02040503050406030204" pitchFamily="18" charset="0"/>
              <a:ea typeface="Cambria" panose="02040503050406030204" pitchFamily="18" charset="0"/>
              <a:cs typeface="+mn-cs"/>
            </a:rPr>
            <a:t> side generalizes for [A] while guarding [B]. The other side generalize [C] while guarding their [D].</a:t>
          </a:r>
          <a:endParaRPr lang="en-US" sz="1200">
            <a:solidFill>
              <a:schemeClr val="dk1"/>
            </a:solidFill>
            <a:latin typeface="Cambria" panose="02040503050406030204" pitchFamily="18" charset="0"/>
            <a:ea typeface="Cambria" panose="02040503050406030204" pitchFamily="18" charset="0"/>
            <a:cs typeface="+mn-cs"/>
          </a:endParaRPr>
        </a:p>
        <a:p>
          <a:endParaRPr lang="en-US" sz="1050">
            <a:latin typeface="Arial Narrow" panose="020B0606020202030204" pitchFamily="34" charset="0"/>
          </a:endParaRPr>
        </a:p>
      </xdr:txBody>
    </xdr:sp>
    <xdr:clientData/>
  </xdr:twoCellAnchor>
  <xdr:twoCellAnchor>
    <xdr:from>
      <xdr:col>67</xdr:col>
      <xdr:colOff>243840</xdr:colOff>
      <xdr:row>1126</xdr:row>
      <xdr:rowOff>0</xdr:rowOff>
    </xdr:from>
    <xdr:to>
      <xdr:col>69</xdr:col>
      <xdr:colOff>215900</xdr:colOff>
      <xdr:row>1138</xdr:row>
      <xdr:rowOff>22860</xdr:rowOff>
    </xdr:to>
    <xdr:sp macro="" textlink="">
      <xdr:nvSpPr>
        <xdr:cNvPr id="553" name="Text Box 2">
          <a:extLst>
            <a:ext uri="{FF2B5EF4-FFF2-40B4-BE49-F238E27FC236}">
              <a16:creationId xmlns:a16="http://schemas.microsoft.com/office/drawing/2014/main" id="{00000000-0008-0000-0100-000029020000}"/>
            </a:ext>
          </a:extLst>
        </xdr:cNvPr>
        <xdr:cNvSpPr txBox="1"/>
      </xdr:nvSpPr>
      <xdr:spPr>
        <a:xfrm>
          <a:off x="22029420" y="242407440"/>
          <a:ext cx="1191260" cy="2133600"/>
        </a:xfrm>
        <a:prstGeom prst="rect">
          <a:avLst/>
        </a:prstGeom>
        <a:solidFill>
          <a:srgbClr val="B905FF"/>
        </a:solidFill>
        <a:ln w="6350">
          <a:solidFill>
            <a:srgbClr val="F0CDFF"/>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Immigration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Climate change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Gun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Abortion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Healthcare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Criminal justice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Economy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Racism</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Police brutality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Voting fairness</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Covid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Free speech</a:t>
          </a:r>
        </a:p>
      </xdr:txBody>
    </xdr:sp>
    <xdr:clientData/>
  </xdr:twoCellAnchor>
  <xdr:twoCellAnchor>
    <xdr:from>
      <xdr:col>56</xdr:col>
      <xdr:colOff>75604</xdr:colOff>
      <xdr:row>1117</xdr:row>
      <xdr:rowOff>143436</xdr:rowOff>
    </xdr:from>
    <xdr:to>
      <xdr:col>57</xdr:col>
      <xdr:colOff>578524</xdr:colOff>
      <xdr:row>1120</xdr:row>
      <xdr:rowOff>108369</xdr:rowOff>
    </xdr:to>
    <xdr:grpSp>
      <xdr:nvGrpSpPr>
        <xdr:cNvPr id="124" name="Group 123">
          <a:extLst>
            <a:ext uri="{FF2B5EF4-FFF2-40B4-BE49-F238E27FC236}">
              <a16:creationId xmlns:a16="http://schemas.microsoft.com/office/drawing/2014/main" id="{00000000-0008-0000-0100-00007C000000}"/>
            </a:ext>
          </a:extLst>
        </xdr:cNvPr>
        <xdr:cNvGrpSpPr/>
      </xdr:nvGrpSpPr>
      <xdr:grpSpPr>
        <a:xfrm>
          <a:off x="25892164" y="236456220"/>
          <a:ext cx="533996" cy="0"/>
          <a:chOff x="15125700" y="211576920"/>
          <a:chExt cx="1112520" cy="611289"/>
        </a:xfrm>
      </xdr:grpSpPr>
      <xdr:sp macro="" textlink="">
        <xdr:nvSpPr>
          <xdr:cNvPr id="123" name="Arrow: Down 122">
            <a:extLst>
              <a:ext uri="{FF2B5EF4-FFF2-40B4-BE49-F238E27FC236}">
                <a16:creationId xmlns:a16="http://schemas.microsoft.com/office/drawing/2014/main" id="{00000000-0008-0000-0100-00007B000000}"/>
              </a:ext>
            </a:extLst>
          </xdr:cNvPr>
          <xdr:cNvSpPr/>
        </xdr:nvSpPr>
        <xdr:spPr>
          <a:xfrm>
            <a:off x="15125700" y="211576920"/>
            <a:ext cx="1112520" cy="541020"/>
          </a:xfrm>
          <a:prstGeom prst="downArrow">
            <a:avLst>
              <a:gd name="adj1" fmla="val 92466"/>
              <a:gd name="adj2" fmla="val 23239"/>
            </a:avLst>
          </a:prstGeom>
          <a:solidFill>
            <a:srgbClr val="00823C"/>
          </a:solidFill>
          <a:ln>
            <a:solidFill>
              <a:srgbClr val="1EFF7D"/>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lIns="0" tIns="0" rIns="0" bIns="0" rtlCol="0" anchor="ctr"/>
          <a:lstStyle/>
          <a:p>
            <a:pPr algn="ctr"/>
            <a:r>
              <a:rPr lang="en-US" sz="1000" b="1">
                <a:latin typeface="Arial Narrow" panose="020B0606020202030204" pitchFamily="34" charset="0"/>
              </a:rPr>
              <a:t>IT STARTS HERE WITH NEEDS</a:t>
            </a:r>
          </a:p>
        </xdr:txBody>
      </xdr:sp>
      <xdr:pic>
        <xdr:nvPicPr>
          <xdr:cNvPr id="561" name="Picture 560">
            <a:extLst>
              <a:ext uri="{FF2B5EF4-FFF2-40B4-BE49-F238E27FC236}">
                <a16:creationId xmlns:a16="http://schemas.microsoft.com/office/drawing/2014/main" id="{00000000-0008-0000-0100-000031020000}"/>
              </a:ext>
            </a:extLst>
          </xdr:cNvPr>
          <xdr:cNvPicPr>
            <a:picLocks noChangeAspect="1"/>
          </xdr:cNvPicPr>
        </xdr:nvPicPr>
        <xdr:blipFill rotWithShape="1">
          <a:blip xmlns:r="http://schemas.openxmlformats.org/officeDocument/2006/relationships" r:embed="rId3"/>
          <a:srcRect l="15419" t="6369" r="8472"/>
          <a:stretch/>
        </xdr:blipFill>
        <xdr:spPr>
          <a:xfrm>
            <a:off x="15148560" y="211886902"/>
            <a:ext cx="297180" cy="301307"/>
          </a:xfrm>
          <a:prstGeom prst="rect">
            <a:avLst/>
          </a:prstGeom>
        </xdr:spPr>
      </xdr:pic>
      <xdr:pic>
        <xdr:nvPicPr>
          <xdr:cNvPr id="562" name="Picture 561">
            <a:extLst>
              <a:ext uri="{FF2B5EF4-FFF2-40B4-BE49-F238E27FC236}">
                <a16:creationId xmlns:a16="http://schemas.microsoft.com/office/drawing/2014/main" id="{00000000-0008-0000-0100-000032020000}"/>
              </a:ext>
            </a:extLst>
          </xdr:cNvPr>
          <xdr:cNvPicPr>
            <a:picLocks noChangeAspect="1"/>
          </xdr:cNvPicPr>
        </xdr:nvPicPr>
        <xdr:blipFill rotWithShape="1">
          <a:blip xmlns:r="http://schemas.openxmlformats.org/officeDocument/2006/relationships" r:embed="rId4"/>
          <a:srcRect l="10918" t="3776" r="6634"/>
          <a:stretch/>
        </xdr:blipFill>
        <xdr:spPr>
          <a:xfrm>
            <a:off x="15946334" y="211872140"/>
            <a:ext cx="269025" cy="313031"/>
          </a:xfrm>
          <a:prstGeom prst="rect">
            <a:avLst/>
          </a:prstGeom>
        </xdr:spPr>
      </xdr:pic>
    </xdr:grpSp>
    <xdr:clientData/>
  </xdr:twoCellAnchor>
  <xdr:twoCellAnchor>
    <xdr:from>
      <xdr:col>1</xdr:col>
      <xdr:colOff>38100</xdr:colOff>
      <xdr:row>434</xdr:row>
      <xdr:rowOff>22875</xdr:rowOff>
    </xdr:from>
    <xdr:to>
      <xdr:col>12</xdr:col>
      <xdr:colOff>449580</xdr:colOff>
      <xdr:row>444</xdr:row>
      <xdr:rowOff>152420</xdr:rowOff>
    </xdr:to>
    <xdr:grpSp>
      <xdr:nvGrpSpPr>
        <xdr:cNvPr id="583" name="Group 582">
          <a:extLst>
            <a:ext uri="{FF2B5EF4-FFF2-40B4-BE49-F238E27FC236}">
              <a16:creationId xmlns:a16="http://schemas.microsoft.com/office/drawing/2014/main" id="{00000000-0008-0000-0100-000047020000}"/>
            </a:ext>
          </a:extLst>
        </xdr:cNvPr>
        <xdr:cNvGrpSpPr/>
      </xdr:nvGrpSpPr>
      <xdr:grpSpPr>
        <a:xfrm>
          <a:off x="152400" y="104279715"/>
          <a:ext cx="5943600" cy="2247905"/>
          <a:chOff x="7955333" y="72081194"/>
          <a:chExt cx="6575866" cy="1868667"/>
        </a:xfrm>
      </xdr:grpSpPr>
      <xdr:grpSp>
        <xdr:nvGrpSpPr>
          <xdr:cNvPr id="584" name="Group 583">
            <a:extLst>
              <a:ext uri="{FF2B5EF4-FFF2-40B4-BE49-F238E27FC236}">
                <a16:creationId xmlns:a16="http://schemas.microsoft.com/office/drawing/2014/main" id="{00000000-0008-0000-0100-000048020000}"/>
              </a:ext>
            </a:extLst>
          </xdr:cNvPr>
          <xdr:cNvGrpSpPr/>
        </xdr:nvGrpSpPr>
        <xdr:grpSpPr>
          <a:xfrm>
            <a:off x="8039101" y="72170934"/>
            <a:ext cx="6400800" cy="1747274"/>
            <a:chOff x="8039100" y="72125875"/>
            <a:chExt cx="4572000" cy="902759"/>
          </a:xfrm>
        </xdr:grpSpPr>
        <xdr:sp macro="" textlink="">
          <xdr:nvSpPr>
            <xdr:cNvPr id="590" name="Rectangle: Top Corners Rounded 589">
              <a:extLst>
                <a:ext uri="{FF2B5EF4-FFF2-40B4-BE49-F238E27FC236}">
                  <a16:creationId xmlns:a16="http://schemas.microsoft.com/office/drawing/2014/main" id="{00000000-0008-0000-0100-00004E020000}"/>
                </a:ext>
              </a:extLst>
            </xdr:cNvPr>
            <xdr:cNvSpPr/>
          </xdr:nvSpPr>
          <xdr:spPr>
            <a:xfrm flipV="1">
              <a:off x="8039100" y="72188180"/>
              <a:ext cx="4572000" cy="834280"/>
            </a:xfrm>
            <a:prstGeom prst="round2SameRect">
              <a:avLst>
                <a:gd name="adj1" fmla="val 29584"/>
                <a:gd name="adj2" fmla="val 0"/>
              </a:avLst>
            </a:prstGeom>
            <a:pattFill prst="narHorz">
              <a:fgClr>
                <a:srgbClr val="00B0F0"/>
              </a:fgClr>
              <a:bgClr>
                <a:schemeClr val="bg1"/>
              </a:bgClr>
            </a:pattFill>
            <a:ln w="5715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sp macro="" textlink="">
          <xdr:nvSpPr>
            <xdr:cNvPr id="591" name="Rectangle 590">
              <a:extLst>
                <a:ext uri="{FF2B5EF4-FFF2-40B4-BE49-F238E27FC236}">
                  <a16:creationId xmlns:a16="http://schemas.microsoft.com/office/drawing/2014/main" id="{00000000-0008-0000-0100-00004F020000}"/>
                </a:ext>
              </a:extLst>
            </xdr:cNvPr>
            <xdr:cNvSpPr/>
          </xdr:nvSpPr>
          <xdr:spPr>
            <a:xfrm>
              <a:off x="8058694" y="72174045"/>
              <a:ext cx="4532811" cy="157331"/>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592" name="Rectangle: Top Corners Rounded 591">
              <a:extLst>
                <a:ext uri="{FF2B5EF4-FFF2-40B4-BE49-F238E27FC236}">
                  <a16:creationId xmlns:a16="http://schemas.microsoft.com/office/drawing/2014/main" id="{00000000-0008-0000-0100-000050020000}"/>
                </a:ext>
              </a:extLst>
            </xdr:cNvPr>
            <xdr:cNvSpPr/>
          </xdr:nvSpPr>
          <xdr:spPr>
            <a:xfrm flipV="1">
              <a:off x="8052642" y="72125875"/>
              <a:ext cx="4544338" cy="902759"/>
            </a:xfrm>
            <a:prstGeom prst="round2SameRect">
              <a:avLst>
                <a:gd name="adj1" fmla="val 29584"/>
                <a:gd name="adj2" fmla="val 0"/>
              </a:avLst>
            </a:prstGeom>
            <a:gradFill flip="none" rotWithShape="1">
              <a:gsLst>
                <a:gs pos="0">
                  <a:schemeClr val="tx1">
                    <a:lumMod val="75000"/>
                    <a:lumOff val="25000"/>
                    <a:alpha val="80000"/>
                  </a:schemeClr>
                </a:gs>
                <a:gs pos="50000">
                  <a:schemeClr val="tx1">
                    <a:lumMod val="50000"/>
                    <a:lumOff val="50000"/>
                    <a:alpha val="55000"/>
                  </a:schemeClr>
                </a:gs>
                <a:gs pos="100000">
                  <a:schemeClr val="bg1">
                    <a:lumMod val="95000"/>
                    <a:alpha val="25000"/>
                  </a:schemeClr>
                </a:gs>
              </a:gsLst>
              <a:lin ang="5400000" scaled="1"/>
              <a:tileRect/>
            </a:gradFill>
            <a:ln w="571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grpSp>
      <xdr:sp macro="" textlink="">
        <xdr:nvSpPr>
          <xdr:cNvPr id="585" name="Arrow: Left-Right 584">
            <a:extLst>
              <a:ext uri="{FF2B5EF4-FFF2-40B4-BE49-F238E27FC236}">
                <a16:creationId xmlns:a16="http://schemas.microsoft.com/office/drawing/2014/main" id="{00000000-0008-0000-0100-000049020000}"/>
              </a:ext>
            </a:extLst>
          </xdr:cNvPr>
          <xdr:cNvSpPr/>
        </xdr:nvSpPr>
        <xdr:spPr>
          <a:xfrm>
            <a:off x="8176260" y="72350851"/>
            <a:ext cx="6134100" cy="426720"/>
          </a:xfrm>
          <a:prstGeom prst="leftRightArrow">
            <a:avLst>
              <a:gd name="adj1" fmla="val 50000"/>
              <a:gd name="adj2" fmla="val 66071"/>
            </a:avLst>
          </a:prstGeom>
          <a:gradFill flip="none" rotWithShape="1">
            <a:gsLst>
              <a:gs pos="0">
                <a:schemeClr val="accent5">
                  <a:lumMod val="75000"/>
                </a:schemeClr>
              </a:gs>
              <a:gs pos="48000">
                <a:schemeClr val="accent5">
                  <a:lumMod val="75000"/>
                </a:schemeClr>
              </a:gs>
              <a:gs pos="52000">
                <a:srgbClr val="C00000"/>
              </a:gs>
              <a:gs pos="100000">
                <a:srgbClr val="C00000"/>
              </a:gs>
            </a:gsLst>
            <a:lin ang="0" scaled="1"/>
            <a:tileRect/>
          </a:gradFill>
          <a:ln>
            <a:solidFill>
              <a:schemeClr val="bg1"/>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45720" rIns="0" bIns="0" rtlCol="0" anchor="t"/>
          <a:lstStyle/>
          <a:p>
            <a:pPr algn="ctr"/>
            <a:r>
              <a:rPr lang="en-US" sz="1050" b="1" spc="-30">
                <a:solidFill>
                  <a:schemeClr val="bg1"/>
                </a:solidFill>
                <a:latin typeface="Arial Narrow" panose="020B0606020202030204" pitchFamily="34" charset="0"/>
              </a:rPr>
              <a:t>The agree-disagree</a:t>
            </a:r>
            <a:r>
              <a:rPr lang="en-US" sz="1050" b="1" spc="-30" baseline="0">
                <a:solidFill>
                  <a:schemeClr val="bg1"/>
                </a:solidFill>
                <a:latin typeface="Arial Narrow" panose="020B0606020202030204" pitchFamily="34" charset="0"/>
              </a:rPr>
              <a:t> binary correlates </a:t>
            </a:r>
            <a:r>
              <a:rPr lang="en-US" sz="1050" b="1" i="1" spc="-30" baseline="0">
                <a:solidFill>
                  <a:schemeClr val="bg1"/>
                </a:solidFill>
                <a:latin typeface="Arial Narrow" panose="020B0606020202030204" pitchFamily="34" charset="0"/>
              </a:rPr>
              <a:t>more</a:t>
            </a:r>
            <a:r>
              <a:rPr lang="en-US" sz="1050" b="1" spc="-30" baseline="0">
                <a:solidFill>
                  <a:schemeClr val="bg1"/>
                </a:solidFill>
                <a:latin typeface="Arial Narrow" panose="020B0606020202030204" pitchFamily="34" charset="0"/>
              </a:rPr>
              <a:t> with </a:t>
            </a:r>
            <a:r>
              <a:rPr lang="en-US" sz="1050" b="1" i="1" spc="-30" baseline="0">
                <a:solidFill>
                  <a:schemeClr val="bg1"/>
                </a:solidFill>
                <a:latin typeface="Arial Narrow" panose="020B0606020202030204" pitchFamily="34" charset="0"/>
              </a:rPr>
              <a:t>pain-easing vacillation</a:t>
            </a:r>
            <a:r>
              <a:rPr lang="en-US" sz="1050" b="1" spc="-30" baseline="0">
                <a:solidFill>
                  <a:schemeClr val="bg1"/>
                </a:solidFill>
                <a:latin typeface="Arial Narrow" panose="020B0606020202030204" pitchFamily="34" charset="0"/>
              </a:rPr>
              <a:t> </a:t>
            </a:r>
            <a:r>
              <a:rPr lang="en-US" sz="1050" b="1" i="0" spc="-30" baseline="0">
                <a:solidFill>
                  <a:schemeClr val="bg1"/>
                </a:solidFill>
                <a:latin typeface="Arial Narrow" panose="020B0606020202030204" pitchFamily="34" charset="0"/>
              </a:rPr>
              <a:t>than</a:t>
            </a:r>
            <a:r>
              <a:rPr lang="en-US" sz="1050" b="1" spc="-30" baseline="0">
                <a:solidFill>
                  <a:schemeClr val="bg1"/>
                </a:solidFill>
                <a:latin typeface="Arial Narrow" panose="020B0606020202030204" pitchFamily="34" charset="0"/>
              </a:rPr>
              <a:t> </a:t>
            </a:r>
            <a:r>
              <a:rPr lang="en-US" sz="1050" b="1" i="1" spc="-30" baseline="0">
                <a:solidFill>
                  <a:schemeClr val="bg1"/>
                </a:solidFill>
                <a:latin typeface="Arial Narrow" panose="020B0606020202030204" pitchFamily="34" charset="0"/>
              </a:rPr>
              <a:t>need-resolving integration</a:t>
            </a:r>
            <a:r>
              <a:rPr lang="en-US" sz="1050" b="1" spc="-30" baseline="0">
                <a:solidFill>
                  <a:schemeClr val="bg1"/>
                </a:solidFill>
                <a:latin typeface="Arial Narrow" panose="020B0606020202030204" pitchFamily="34" charset="0"/>
              </a:rPr>
              <a:t>.</a:t>
            </a:r>
            <a:endParaRPr lang="en-US" sz="1050" b="1" spc="-30">
              <a:solidFill>
                <a:schemeClr val="bg1"/>
              </a:solidFill>
              <a:latin typeface="Arial Narrow" panose="020B0606020202030204" pitchFamily="34" charset="0"/>
            </a:endParaRPr>
          </a:p>
        </xdr:txBody>
      </xdr:sp>
      <xdr:sp macro="" textlink="">
        <xdr:nvSpPr>
          <xdr:cNvPr id="586" name="TextBox 585">
            <a:extLst>
              <a:ext uri="{FF2B5EF4-FFF2-40B4-BE49-F238E27FC236}">
                <a16:creationId xmlns:a16="http://schemas.microsoft.com/office/drawing/2014/main" id="{00000000-0008-0000-0100-00004A020000}"/>
              </a:ext>
            </a:extLst>
          </xdr:cNvPr>
          <xdr:cNvSpPr txBox="1"/>
        </xdr:nvSpPr>
        <xdr:spPr>
          <a:xfrm>
            <a:off x="8450580" y="72081194"/>
            <a:ext cx="558546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6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Common</a:t>
            </a:r>
            <a:r>
              <a:rPr lang="en-US" sz="1600" b="1" baseline="0">
                <a:ln>
                  <a:solidFill>
                    <a:srgbClr val="FFFF00"/>
                  </a:solidFill>
                </a:ln>
                <a:latin typeface="Tahoma" panose="020B0604030504040204" pitchFamily="34" charset="0"/>
                <a:ea typeface="Tahoma" panose="020B0604030504040204" pitchFamily="34" charset="0"/>
                <a:cs typeface="Tahoma" panose="020B0604030504040204" pitchFamily="34" charset="0"/>
              </a:rPr>
              <a:t> </a:t>
            </a:r>
            <a:r>
              <a:rPr lang="en-US" sz="16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approach: Stay shallow and alienated</a:t>
            </a:r>
          </a:p>
        </xdr:txBody>
      </xdr:sp>
      <xdr:sp macro="" textlink="">
        <xdr:nvSpPr>
          <xdr:cNvPr id="587" name="Arrow: Right 586">
            <a:extLst>
              <a:ext uri="{FF2B5EF4-FFF2-40B4-BE49-F238E27FC236}">
                <a16:creationId xmlns:a16="http://schemas.microsoft.com/office/drawing/2014/main" id="{00000000-0008-0000-0100-00004B020000}"/>
              </a:ext>
            </a:extLst>
          </xdr:cNvPr>
          <xdr:cNvSpPr/>
        </xdr:nvSpPr>
        <xdr:spPr>
          <a:xfrm rot="1118158">
            <a:off x="7955333" y="72981697"/>
            <a:ext cx="3337560" cy="411480"/>
          </a:xfrm>
          <a:prstGeom prst="rightArrow">
            <a:avLst>
              <a:gd name="adj1" fmla="val 50000"/>
              <a:gd name="adj2" fmla="val 105556"/>
            </a:avLst>
          </a:prstGeom>
          <a:gradFill>
            <a:gsLst>
              <a:gs pos="50000">
                <a:srgbClr val="723EDA"/>
              </a:gs>
              <a:gs pos="0">
                <a:schemeClr val="accent5">
                  <a:lumMod val="75000"/>
                </a:schemeClr>
              </a:gs>
              <a:gs pos="100000">
                <a:srgbClr val="B905FF"/>
              </a:gs>
            </a:gsLst>
            <a:lin ang="0" scaled="1"/>
          </a:gradFill>
          <a:ln>
            <a:solidFill>
              <a:schemeClr val="bg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r"/>
            <a:r>
              <a:rPr lang="en-US" sz="1100" b="1">
                <a:latin typeface="Arial Narrow" panose="020B0606020202030204" pitchFamily="34" charset="0"/>
              </a:rPr>
              <a:t>identify</a:t>
            </a:r>
            <a:r>
              <a:rPr lang="en-US" sz="1100" b="1" baseline="0">
                <a:latin typeface="Arial Narrow" panose="020B0606020202030204" pitchFamily="34" charset="0"/>
              </a:rPr>
              <a:t> and address liberal prioritized needs</a:t>
            </a:r>
            <a:endParaRPr lang="en-US" sz="1100" b="1">
              <a:latin typeface="Arial Narrow" panose="020B0606020202030204" pitchFamily="34" charset="0"/>
            </a:endParaRPr>
          </a:p>
        </xdr:txBody>
      </xdr:sp>
      <xdr:sp macro="" textlink="">
        <xdr:nvSpPr>
          <xdr:cNvPr id="588" name="Arrow: Right 587">
            <a:extLst>
              <a:ext uri="{FF2B5EF4-FFF2-40B4-BE49-F238E27FC236}">
                <a16:creationId xmlns:a16="http://schemas.microsoft.com/office/drawing/2014/main" id="{00000000-0008-0000-0100-00004C020000}"/>
              </a:ext>
            </a:extLst>
          </xdr:cNvPr>
          <xdr:cNvSpPr/>
        </xdr:nvSpPr>
        <xdr:spPr>
          <a:xfrm rot="20481842" flipH="1">
            <a:off x="11193639" y="72983495"/>
            <a:ext cx="3337560" cy="411480"/>
          </a:xfrm>
          <a:prstGeom prst="rightArrow">
            <a:avLst>
              <a:gd name="adj1" fmla="val 50000"/>
              <a:gd name="adj2" fmla="val 105556"/>
            </a:avLst>
          </a:prstGeom>
          <a:gradFill>
            <a:gsLst>
              <a:gs pos="50000">
                <a:srgbClr val="D9038B"/>
              </a:gs>
              <a:gs pos="0">
                <a:srgbClr val="C00000"/>
              </a:gs>
              <a:gs pos="100000">
                <a:srgbClr val="B905FF"/>
              </a:gs>
            </a:gsLst>
            <a:lin ang="0" scaled="1"/>
          </a:gradFill>
          <a:ln>
            <a:solidFill>
              <a:schemeClr val="bg1"/>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l"/>
            <a:r>
              <a:rPr lang="en-US" sz="1100" b="1" spc="-40">
                <a:latin typeface="Arial Narrow" panose="020B0606020202030204" pitchFamily="34" charset="0"/>
              </a:rPr>
              <a:t>identify</a:t>
            </a:r>
            <a:r>
              <a:rPr lang="en-US" sz="1100" b="1" spc="-40" baseline="0">
                <a:latin typeface="Arial Narrow" panose="020B0606020202030204" pitchFamily="34" charset="0"/>
              </a:rPr>
              <a:t> and address conservative prioritized needs</a:t>
            </a:r>
            <a:endParaRPr lang="en-US" sz="1100" b="1" spc="-40">
              <a:latin typeface="Arial Narrow" panose="020B0606020202030204" pitchFamily="34" charset="0"/>
            </a:endParaRPr>
          </a:p>
        </xdr:txBody>
      </xdr:sp>
      <xdr:sp macro="" textlink="">
        <xdr:nvSpPr>
          <xdr:cNvPr id="589" name="TextBox 588">
            <a:extLst>
              <a:ext uri="{FF2B5EF4-FFF2-40B4-BE49-F238E27FC236}">
                <a16:creationId xmlns:a16="http://schemas.microsoft.com/office/drawing/2014/main" id="{00000000-0008-0000-0100-00004D020000}"/>
              </a:ext>
            </a:extLst>
          </xdr:cNvPr>
          <xdr:cNvSpPr txBox="1"/>
        </xdr:nvSpPr>
        <xdr:spPr>
          <a:xfrm>
            <a:off x="8061960" y="73613254"/>
            <a:ext cx="6362700" cy="3366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b="1">
                <a:ln>
                  <a:solidFill>
                    <a:srgbClr val="B4FFCD"/>
                  </a:solidFill>
                </a:ln>
                <a:solidFill>
                  <a:srgbClr val="B4FFCD"/>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Preferred approach: Go deep and connect</a:t>
            </a:r>
          </a:p>
        </xdr:txBody>
      </xdr:sp>
    </xdr:grpSp>
    <xdr:clientData/>
  </xdr:twoCellAnchor>
  <xdr:twoCellAnchor>
    <xdr:from>
      <xdr:col>15</xdr:col>
      <xdr:colOff>53340</xdr:colOff>
      <xdr:row>397</xdr:row>
      <xdr:rowOff>198118</xdr:rowOff>
    </xdr:from>
    <xdr:to>
      <xdr:col>26</xdr:col>
      <xdr:colOff>464820</xdr:colOff>
      <xdr:row>416</xdr:row>
      <xdr:rowOff>129540</xdr:rowOff>
    </xdr:to>
    <xdr:sp macro="" textlink="">
      <xdr:nvSpPr>
        <xdr:cNvPr id="597" name="notes" hidden="1">
          <a:extLst>
            <a:ext uri="{FF2B5EF4-FFF2-40B4-BE49-F238E27FC236}">
              <a16:creationId xmlns:a16="http://schemas.microsoft.com/office/drawing/2014/main" id="{00000000-0008-0000-0100-000055020000}"/>
            </a:ext>
          </a:extLst>
        </xdr:cNvPr>
        <xdr:cNvSpPr txBox="1"/>
      </xdr:nvSpPr>
      <xdr:spPr>
        <a:xfrm>
          <a:off x="6431280" y="78242158"/>
          <a:ext cx="5943600" cy="4457702"/>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strike="sngStrike" baseline="0">
              <a:solidFill>
                <a:schemeClr val="dk1"/>
              </a:solidFill>
              <a:latin typeface="Cambria" panose="02040503050406030204" pitchFamily="18" charset="0"/>
              <a:ea typeface="Cambria" panose="02040503050406030204" pitchFamily="18" charset="0"/>
              <a:cs typeface="+mn-cs"/>
            </a:rPr>
            <a:t>Your client's political views give you a glimpse into their pressing needs. If you remain atop of any tendency toward countertransference, you can tap into their priorities without having to ask. Politics </a:t>
          </a:r>
        </a:p>
        <a:p>
          <a:r>
            <a:rPr lang="en-US" sz="1200" strike="sngStrike" baseline="0">
              <a:solidFill>
                <a:schemeClr val="dk1"/>
              </a:solidFill>
              <a:latin typeface="Cambria" panose="02040503050406030204" pitchFamily="18" charset="0"/>
              <a:ea typeface="Cambria" panose="02040503050406030204" pitchFamily="18" charset="0"/>
              <a:cs typeface="+mn-cs"/>
            </a:rPr>
            <a:t>code for what is most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The needs behind political differences are not open to debate. No one's needs will ever change because you disagree with it. Only what others are to do about such needs fall within a legitimate political debate. You can disagree all you want [COUNSELOR PO STANCE] but your client's needs for [CLIENT PO STANCE] will not budge. Popular politics conflates inflexible needs with generalized reactions to those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strike="sngStrike" baseline="0">
              <a:solidFill>
                <a:schemeClr val="dk1"/>
              </a:solidFill>
              <a:latin typeface="Cambria" panose="02040503050406030204" pitchFamily="18" charset="0"/>
              <a:ea typeface="Cambria" panose="02040503050406030204" pitchFamily="18" charset="0"/>
              <a:cs typeface="+mn-cs"/>
            </a:rPr>
            <a:t>Popular politics suggests your client's [ISSUE]-related needs can be eased simply by [POSITION REACTION]. The more painful their unresolved needs, the less attention they can afford to how their stance can affect others.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Popular politics easily pulls them into an unnecessary conflict with others whose [ISSUE]-related needs insist they [POSITION REACTION]. Each side consumes precious resources trying to prove themselves right. You can redirect your client to take a more proactive path, toward resolving their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HP provides you opportunity to help clients distinguish between their inflexible [ISSUE]-related needs and the overgeneralizing tendency of [ISSUE] politics that rarely if ever can help resolve those inflexible needs. </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050">
            <a:latin typeface="Arial Narrow" panose="020B0606020202030204" pitchFamily="34" charset="0"/>
          </a:endParaRPr>
        </a:p>
      </xdr:txBody>
    </xdr:sp>
    <xdr:clientData/>
  </xdr:twoCellAnchor>
  <xdr:twoCellAnchor>
    <xdr:from>
      <xdr:col>15</xdr:col>
      <xdr:colOff>15240</xdr:colOff>
      <xdr:row>394</xdr:row>
      <xdr:rowOff>175260</xdr:rowOff>
    </xdr:from>
    <xdr:to>
      <xdr:col>26</xdr:col>
      <xdr:colOff>426720</xdr:colOff>
      <xdr:row>421</xdr:row>
      <xdr:rowOff>99060</xdr:rowOff>
    </xdr:to>
    <xdr:sp macro="" textlink="">
      <xdr:nvSpPr>
        <xdr:cNvPr id="602" name="TextBox 601">
          <a:extLst>
            <a:ext uri="{FF2B5EF4-FFF2-40B4-BE49-F238E27FC236}">
              <a16:creationId xmlns:a16="http://schemas.microsoft.com/office/drawing/2014/main" id="{00000000-0008-0000-0100-00005A020000}"/>
            </a:ext>
          </a:extLst>
        </xdr:cNvPr>
        <xdr:cNvSpPr txBox="1"/>
      </xdr:nvSpPr>
      <xdr:spPr>
        <a:xfrm>
          <a:off x="6393180" y="95097600"/>
          <a:ext cx="5943600" cy="58369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Cambria" panose="02040503050406030204" pitchFamily="18" charset="0"/>
              <a:ea typeface="Cambria" panose="02040503050406030204" pitchFamily="18" charset="0"/>
            </a:rPr>
            <a:t>Your client's political views grant you a glimpse into their sensitive needs. At first, they cloak their affected needs as arguable political positions. It is easer for them to express an emotionally charged need </a:t>
          </a:r>
          <a:r>
            <a:rPr lang="en-US" sz="1200" baseline="0">
              <a:solidFill>
                <a:schemeClr val="dk1"/>
              </a:solidFill>
              <a:latin typeface="Cambria" panose="02040503050406030204" pitchFamily="18" charset="0"/>
              <a:ea typeface="Cambria" panose="02040503050406030204" pitchFamily="18" charset="0"/>
              <a:cs typeface="+mn-cs"/>
            </a:rPr>
            <a:t>when given with some idea how to relieve it. It is generally easier for your client to insist we [R1117] than to vulnerably admit they struggle with [AD1117] and [AF1117].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It generally is easier for them to change their expressed views than alter their politically charged feelings. They personally cannot do much about the issue of [ISSUE D1117], but they can feel supported by those who agree with their [H1117] stance. Their feeling of [AD1117] and [AF1117] express the vulnerability of their publicly affected needs. They cannot change those feelings or their vulnerable needs for [AJ1117] and [AL1117] as easily as they can alter their [ISSUE] views to fit a friendly or hostile audience. </a:t>
          </a:r>
        </a:p>
        <a:p>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 peal back their layers of protected alienation to help resolve their deeper needs. Harmony Politics helps you reverse engineer their emotionally charged [ISSUE]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[ISSUE] could undermine this intimate journey into greater self-awareness.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Your client can feel alienated from you when you stay at the popularly expected level of agreement-disagreement. They likely expect you to [</a:t>
          </a:r>
          <a:r>
            <a:rPr lang="en-US" sz="1200" cap="all" baseline="0">
              <a:latin typeface="Cambria" panose="02040503050406030204" pitchFamily="18" charset="0"/>
              <a:ea typeface="Cambria" panose="02040503050406030204" pitchFamily="18" charset="0"/>
            </a:rPr>
            <a:t>agree/disagree</a:t>
          </a:r>
          <a:r>
            <a:rPr lang="en-US" sz="1200" baseline="0">
              <a:latin typeface="Cambria" panose="02040503050406030204" pitchFamily="18" charset="0"/>
              <a:ea typeface="Cambria" panose="02040503050406030204" pitchFamily="18" charset="0"/>
            </a:rPr>
            <a:t>] with their [STANCE H1117] stance on [ISSUE D1117]. If you miss this opportunity to connect beyond their [ISSUE] </a:t>
          </a:r>
          <a:r>
            <a:rPr lang="en-US" sz="1200" baseline="0">
              <a:solidFill>
                <a:schemeClr val="dk1"/>
              </a:solidFill>
              <a:latin typeface="Cambria" panose="02040503050406030204" pitchFamily="18" charset="0"/>
              <a:ea typeface="Cambria" panose="02040503050406030204" pitchFamily="18" charset="0"/>
              <a:cs typeface="+mn-cs"/>
            </a:rPr>
            <a:t>politics, with a hint of disagreement, the client reflexively self-censors their politically charged feelings. They tested the waters and withdrew. They cannot change the needs fueling those feelings. They can more easily change </a:t>
          </a:r>
          <a:r>
            <a:rPr lang="en-US" sz="1200" baseline="0">
              <a:latin typeface="Cambria" panose="02040503050406030204" pitchFamily="18" charset="0"/>
              <a:ea typeface="Cambria" panose="02040503050406030204" pitchFamily="18" charset="0"/>
            </a:rPr>
            <a:t>your relation with you. This missed opportunity risks leaving your client stuck in alienation.</a:t>
          </a:r>
        </a:p>
      </xdr:txBody>
    </xdr:sp>
    <xdr:clientData/>
  </xdr:twoCellAnchor>
  <xdr:twoCellAnchor>
    <xdr:from>
      <xdr:col>14</xdr:col>
      <xdr:colOff>83820</xdr:colOff>
      <xdr:row>323</xdr:row>
      <xdr:rowOff>53340</xdr:rowOff>
    </xdr:from>
    <xdr:to>
      <xdr:col>26</xdr:col>
      <xdr:colOff>411481</xdr:colOff>
      <xdr:row>332</xdr:row>
      <xdr:rowOff>30480</xdr:rowOff>
    </xdr:to>
    <xdr:sp macro="" textlink="">
      <xdr:nvSpPr>
        <xdr:cNvPr id="631" name="TextBox 630">
          <a:extLst>
            <a:ext uri="{FF2B5EF4-FFF2-40B4-BE49-F238E27FC236}">
              <a16:creationId xmlns:a16="http://schemas.microsoft.com/office/drawing/2014/main" id="{00000000-0008-0000-0100-000077020000}"/>
            </a:ext>
          </a:extLst>
        </xdr:cNvPr>
        <xdr:cNvSpPr txBox="1"/>
      </xdr:nvSpPr>
      <xdr:spPr>
        <a:xfrm>
          <a:off x="6347460" y="78775560"/>
          <a:ext cx="5974081" cy="1912620"/>
        </a:xfrm>
        <a:prstGeom prst="rect">
          <a:avLst/>
        </a:prstGeom>
        <a:solidFill>
          <a:srgbClr val="FFCCFF"/>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 first experience a need [W/D FELT NEED], or vicariously experience others' need [W/D FELT NEED]. Those on the other political side directly or vicariously experience a need [W/D FELT NEED]. Your client first experiences a need [W/D FELT NEED], or vicariously experience others' need [W/D FELT NEED]. [Your shared outlook could still result in some transference and countertransference. You both risk overgeneralizing the client's reaction to their publicly affected needs. / Your contrasting outlook could result in some transference and countertransference. You risk provoking your client's defensiveness instead of understanding how they experience their publicly affected needs. ] You mitigate by detaching from generalizing.</a:t>
          </a:r>
        </a:p>
        <a:p>
          <a:endParaRPr lang="en-US" sz="1050">
            <a:latin typeface="Arial Narrow" panose="020B0606020202030204" pitchFamily="34" charset="0"/>
          </a:endParaRPr>
        </a:p>
      </xdr:txBody>
    </xdr:sp>
    <xdr:clientData/>
  </xdr:twoCellAnchor>
  <xdr:twoCellAnchor>
    <xdr:from>
      <xdr:col>14</xdr:col>
      <xdr:colOff>106082</xdr:colOff>
      <xdr:row>1117</xdr:row>
      <xdr:rowOff>31678</xdr:rowOff>
    </xdr:from>
    <xdr:to>
      <xdr:col>17</xdr:col>
      <xdr:colOff>98462</xdr:colOff>
      <xdr:row>1120</xdr:row>
      <xdr:rowOff>19471</xdr:rowOff>
    </xdr:to>
    <xdr:grpSp>
      <xdr:nvGrpSpPr>
        <xdr:cNvPr id="604" name="Group 603">
          <a:extLst>
            <a:ext uri="{FF2B5EF4-FFF2-40B4-BE49-F238E27FC236}">
              <a16:creationId xmlns:a16="http://schemas.microsoft.com/office/drawing/2014/main" id="{00000000-0008-0000-0100-00005C020000}"/>
            </a:ext>
          </a:extLst>
        </xdr:cNvPr>
        <xdr:cNvGrpSpPr/>
      </xdr:nvGrpSpPr>
      <xdr:grpSpPr>
        <a:xfrm>
          <a:off x="6263640" y="236456220"/>
          <a:ext cx="0" cy="0"/>
          <a:chOff x="15125700" y="211576920"/>
          <a:chExt cx="1112520" cy="611289"/>
        </a:xfrm>
      </xdr:grpSpPr>
      <xdr:sp macro="" textlink="">
        <xdr:nvSpPr>
          <xdr:cNvPr id="605" name="Arrow: Down 604">
            <a:extLst>
              <a:ext uri="{FF2B5EF4-FFF2-40B4-BE49-F238E27FC236}">
                <a16:creationId xmlns:a16="http://schemas.microsoft.com/office/drawing/2014/main" id="{00000000-0008-0000-0100-00005D020000}"/>
              </a:ext>
            </a:extLst>
          </xdr:cNvPr>
          <xdr:cNvSpPr/>
        </xdr:nvSpPr>
        <xdr:spPr>
          <a:xfrm>
            <a:off x="15125700" y="211576920"/>
            <a:ext cx="1112520" cy="541020"/>
          </a:xfrm>
          <a:prstGeom prst="downArrow">
            <a:avLst>
              <a:gd name="adj1" fmla="val 92466"/>
              <a:gd name="adj2" fmla="val 23239"/>
            </a:avLst>
          </a:prstGeom>
          <a:solidFill>
            <a:srgbClr val="B905FF"/>
          </a:solidFill>
          <a:ln>
            <a:solidFill>
              <a:srgbClr val="7030A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lIns="0" tIns="0" rIns="0" bIns="91440" rtlCol="0" anchor="ctr"/>
          <a:lstStyle/>
          <a:p>
            <a:pPr algn="ctr"/>
            <a:r>
              <a:rPr lang="en-US" sz="1000" b="1">
                <a:latin typeface="Arial Narrow" panose="020B0606020202030204" pitchFamily="34" charset="0"/>
              </a:rPr>
              <a:t>WHOSE NEEDS MATTER MOST</a:t>
            </a:r>
          </a:p>
        </xdr:txBody>
      </xdr:sp>
      <xdr:pic>
        <xdr:nvPicPr>
          <xdr:cNvPr id="606" name="Picture 605">
            <a:extLst>
              <a:ext uri="{FF2B5EF4-FFF2-40B4-BE49-F238E27FC236}">
                <a16:creationId xmlns:a16="http://schemas.microsoft.com/office/drawing/2014/main" id="{00000000-0008-0000-0100-00005E020000}"/>
              </a:ext>
            </a:extLst>
          </xdr:cNvPr>
          <xdr:cNvPicPr>
            <a:picLocks noChangeAspect="1"/>
          </xdr:cNvPicPr>
        </xdr:nvPicPr>
        <xdr:blipFill rotWithShape="1">
          <a:blip xmlns:r="http://schemas.openxmlformats.org/officeDocument/2006/relationships" r:embed="rId3"/>
          <a:srcRect l="15419" t="6369" r="8472"/>
          <a:stretch/>
        </xdr:blipFill>
        <xdr:spPr>
          <a:xfrm>
            <a:off x="15148560" y="211886902"/>
            <a:ext cx="297180" cy="301307"/>
          </a:xfrm>
          <a:prstGeom prst="rect">
            <a:avLst/>
          </a:prstGeom>
        </xdr:spPr>
      </xdr:pic>
      <xdr:pic>
        <xdr:nvPicPr>
          <xdr:cNvPr id="607" name="Picture 606">
            <a:extLst>
              <a:ext uri="{FF2B5EF4-FFF2-40B4-BE49-F238E27FC236}">
                <a16:creationId xmlns:a16="http://schemas.microsoft.com/office/drawing/2014/main" id="{00000000-0008-0000-0100-00005F020000}"/>
              </a:ext>
            </a:extLst>
          </xdr:cNvPr>
          <xdr:cNvPicPr>
            <a:picLocks noChangeAspect="1"/>
          </xdr:cNvPicPr>
        </xdr:nvPicPr>
        <xdr:blipFill rotWithShape="1">
          <a:blip xmlns:r="http://schemas.openxmlformats.org/officeDocument/2006/relationships" r:embed="rId4"/>
          <a:srcRect l="10918" t="3776" r="6634"/>
          <a:stretch/>
        </xdr:blipFill>
        <xdr:spPr>
          <a:xfrm>
            <a:off x="15946334" y="211872140"/>
            <a:ext cx="269025" cy="313031"/>
          </a:xfrm>
          <a:prstGeom prst="rect">
            <a:avLst/>
          </a:prstGeom>
        </xdr:spPr>
      </xdr:pic>
    </xdr:grpSp>
    <xdr:clientData/>
  </xdr:twoCellAnchor>
  <xdr:twoCellAnchor>
    <xdr:from>
      <xdr:col>7</xdr:col>
      <xdr:colOff>129540</xdr:colOff>
      <xdr:row>1050</xdr:row>
      <xdr:rowOff>121920</xdr:rowOff>
    </xdr:from>
    <xdr:to>
      <xdr:col>20</xdr:col>
      <xdr:colOff>342901</xdr:colOff>
      <xdr:row>1061</xdr:row>
      <xdr:rowOff>7620</xdr:rowOff>
    </xdr:to>
    <xdr:sp macro="" textlink="">
      <xdr:nvSpPr>
        <xdr:cNvPr id="608" name="TextBox 607" hidden="1">
          <a:extLst>
            <a:ext uri="{FF2B5EF4-FFF2-40B4-BE49-F238E27FC236}">
              <a16:creationId xmlns:a16="http://schemas.microsoft.com/office/drawing/2014/main" id="{00000000-0008-0000-0100-000060020000}"/>
            </a:ext>
          </a:extLst>
        </xdr:cNvPr>
        <xdr:cNvSpPr txBox="1"/>
      </xdr:nvSpPr>
      <xdr:spPr>
        <a:xfrm>
          <a:off x="3261360" y="208848960"/>
          <a:ext cx="5974081" cy="1813560"/>
        </a:xfrm>
        <a:prstGeom prst="rect">
          <a:avLst/>
        </a:prstGeom>
        <a:solidFill>
          <a:srgbClr val="E1FFEB"/>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 first experience a need [W/D FELT NEED], or vicariously experience others' need [W/D FELT NEED]. Those on the other political side directly or vicariously experience a need [W/D FELT NEED]. Your client first experiences a need [W/D FELT NEED], or vicariously experience others' need [W/D FELT NEED]. [Your shared outlook could still result in some transference and countertransference. You both risk overgeneralizing the client's reaction to their publicly affected needs. / Your contrasting outlook could result in some transference and countertransference. You risk provoking your client's defensiveness instead of understanding how they experience their publicly affected needs. ]</a:t>
          </a:r>
        </a:p>
        <a:p>
          <a:endParaRPr lang="en-US" sz="1050">
            <a:latin typeface="Arial Narrow" panose="020B0606020202030204" pitchFamily="34" charset="0"/>
          </a:endParaRPr>
        </a:p>
      </xdr:txBody>
    </xdr:sp>
    <xdr:clientData/>
  </xdr:twoCellAnchor>
  <xdr:twoCellAnchor>
    <xdr:from>
      <xdr:col>14</xdr:col>
      <xdr:colOff>106680</xdr:colOff>
      <xdr:row>331</xdr:row>
      <xdr:rowOff>167640</xdr:rowOff>
    </xdr:from>
    <xdr:to>
      <xdr:col>26</xdr:col>
      <xdr:colOff>434341</xdr:colOff>
      <xdr:row>340</xdr:row>
      <xdr:rowOff>213360</xdr:rowOff>
    </xdr:to>
    <xdr:sp macro="" textlink="">
      <xdr:nvSpPr>
        <xdr:cNvPr id="609" name="TextBox 608">
          <a:extLst>
            <a:ext uri="{FF2B5EF4-FFF2-40B4-BE49-F238E27FC236}">
              <a16:creationId xmlns:a16="http://schemas.microsoft.com/office/drawing/2014/main" id="{00000000-0008-0000-0100-000061020000}"/>
            </a:ext>
          </a:extLst>
        </xdr:cNvPr>
        <xdr:cNvSpPr txBox="1"/>
      </xdr:nvSpPr>
      <xdr:spPr>
        <a:xfrm>
          <a:off x="6370320" y="80520540"/>
          <a:ext cx="5974081" cy="2270760"/>
        </a:xfrm>
        <a:prstGeom prst="rect">
          <a:avLst/>
        </a:prstGeom>
        <a:solidFill>
          <a:srgbClr val="FFCCFF"/>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Through the lens of their psychosocial orientation, your client views the affected needs of [W/D NEED] over the affected needs of [D/W NEEDS]. Their priority of needs compels them to [W/D EASE]. They can hardly empathize with the other side's priority to [D/W EASE]. Your client likely feels stuck in emotional pain until sufficient balance removes that pain. Political generalizing offers relief from that pain.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Spurred into further generalizing, each side imagines the worst in the other. Your client may express outrage that [REPUBLICANS/DEMOCRATS][W/D worse1] and may</a:t>
          </a:r>
          <a:r>
            <a:rPr lang="en-US" sz="1200" baseline="0">
              <a:solidFill>
                <a:srgbClr val="FF0000"/>
              </a:solidFill>
              <a:latin typeface="Cambria" panose="02040503050406030204" pitchFamily="18" charset="0"/>
              <a:ea typeface="Cambria" panose="02040503050406030204" pitchFamily="18" charset="0"/>
              <a:cs typeface="+mn-cs"/>
            </a:rPr>
            <a:t>be</a:t>
          </a:r>
          <a:r>
            <a:rPr lang="en-US" sz="1200" baseline="0">
              <a:solidFill>
                <a:schemeClr val="dk1"/>
              </a:solidFill>
              <a:latin typeface="Cambria" panose="02040503050406030204" pitchFamily="18" charset="0"/>
              <a:ea typeface="Cambria" panose="02040503050406030204" pitchFamily="18" charset="0"/>
              <a:cs typeface="+mn-cs"/>
            </a:rPr>
            <a:t> even [W/D worse2]. Your client may get defensive when opponents claim [DEMOCRATS/ REPUBLICANS][D/W worse1] or [D/W worse2]. Such catastrophizing may ease their pain. Rational thinking must take a back seat to the persisting pain of your client's publicly affected needs.</a:t>
          </a:r>
        </a:p>
      </xdr:txBody>
    </xdr:sp>
    <xdr:clientData/>
  </xdr:twoCellAnchor>
  <xdr:twoCellAnchor editAs="oneCell">
    <xdr:from>
      <xdr:col>0</xdr:col>
      <xdr:colOff>83820</xdr:colOff>
      <xdr:row>192</xdr:row>
      <xdr:rowOff>243840</xdr:rowOff>
    </xdr:from>
    <xdr:to>
      <xdr:col>2</xdr:col>
      <xdr:colOff>416270</xdr:colOff>
      <xdr:row>196</xdr:row>
      <xdr:rowOff>213360</xdr:rowOff>
    </xdr:to>
    <xdr:pic>
      <xdr:nvPicPr>
        <xdr:cNvPr id="129" name="Picture 128">
          <a:extLst>
            <a:ext uri="{FF2B5EF4-FFF2-40B4-BE49-F238E27FC236}">
              <a16:creationId xmlns:a16="http://schemas.microsoft.com/office/drawing/2014/main" id="{00000000-0008-0000-0100-000081000000}"/>
            </a:ext>
          </a:extLst>
        </xdr:cNvPr>
        <xdr:cNvPicPr>
          <a:picLocks noChangeAspect="1"/>
        </xdr:cNvPicPr>
      </xdr:nvPicPr>
      <xdr:blipFill rotWithShape="1">
        <a:blip xmlns:r="http://schemas.openxmlformats.org/officeDocument/2006/relationships" r:embed="rId5"/>
        <a:srcRect l="14106" t="5971" r="10441"/>
        <a:stretch/>
      </xdr:blipFill>
      <xdr:spPr>
        <a:xfrm>
          <a:off x="83820" y="49171860"/>
          <a:ext cx="949670" cy="975360"/>
        </a:xfrm>
        <a:prstGeom prst="rect">
          <a:avLst/>
        </a:prstGeom>
      </xdr:spPr>
    </xdr:pic>
    <xdr:clientData/>
  </xdr:twoCellAnchor>
  <xdr:twoCellAnchor editAs="oneCell">
    <xdr:from>
      <xdr:col>11</xdr:col>
      <xdr:colOff>47301</xdr:colOff>
      <xdr:row>192</xdr:row>
      <xdr:rowOff>182618</xdr:rowOff>
    </xdr:from>
    <xdr:to>
      <xdr:col>12</xdr:col>
      <xdr:colOff>441604</xdr:colOff>
      <xdr:row>196</xdr:row>
      <xdr:rowOff>204377</xdr:rowOff>
    </xdr:to>
    <xdr:pic>
      <xdr:nvPicPr>
        <xdr:cNvPr id="130" name="Picture 129">
          <a:extLst>
            <a:ext uri="{FF2B5EF4-FFF2-40B4-BE49-F238E27FC236}">
              <a16:creationId xmlns:a16="http://schemas.microsoft.com/office/drawing/2014/main" id="{00000000-0008-0000-0100-000082000000}"/>
            </a:ext>
          </a:extLst>
        </xdr:cNvPr>
        <xdr:cNvPicPr>
          <a:picLocks noChangeAspect="1"/>
        </xdr:cNvPicPr>
      </xdr:nvPicPr>
      <xdr:blipFill rotWithShape="1">
        <a:blip xmlns:r="http://schemas.openxmlformats.org/officeDocument/2006/relationships" r:embed="rId6"/>
        <a:srcRect l="10197" t="5287" r="7107"/>
        <a:stretch/>
      </xdr:blipFill>
      <xdr:spPr>
        <a:xfrm>
          <a:off x="5190801" y="49110638"/>
          <a:ext cx="897223" cy="1027599"/>
        </a:xfrm>
        <a:prstGeom prst="rect">
          <a:avLst/>
        </a:prstGeom>
      </xdr:spPr>
    </xdr:pic>
    <xdr:clientData/>
  </xdr:twoCellAnchor>
  <xdr:twoCellAnchor>
    <xdr:from>
      <xdr:col>15</xdr:col>
      <xdr:colOff>0</xdr:colOff>
      <xdr:row>342</xdr:row>
      <xdr:rowOff>60961</xdr:rowOff>
    </xdr:from>
    <xdr:to>
      <xdr:col>26</xdr:col>
      <xdr:colOff>411480</xdr:colOff>
      <xdr:row>349</xdr:row>
      <xdr:rowOff>114300</xdr:rowOff>
    </xdr:to>
    <xdr:sp macro="" textlink="">
      <xdr:nvSpPr>
        <xdr:cNvPr id="633" name="TextBox 632">
          <a:extLst>
            <a:ext uri="{FF2B5EF4-FFF2-40B4-BE49-F238E27FC236}">
              <a16:creationId xmlns:a16="http://schemas.microsoft.com/office/drawing/2014/main" id="{00000000-0008-0000-0100-000079020000}"/>
            </a:ext>
          </a:extLst>
        </xdr:cNvPr>
        <xdr:cNvSpPr txBox="1"/>
      </xdr:nvSpPr>
      <xdr:spPr>
        <a:xfrm>
          <a:off x="6377940" y="82936081"/>
          <a:ext cx="5943600" cy="1623059"/>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One political side generalizes for relief of </a:t>
          </a:r>
          <a:r>
            <a:rPr lang="en-US" sz="1200">
              <a:solidFill>
                <a:schemeClr val="dk1"/>
              </a:solidFill>
              <a:latin typeface="Cambria" panose="02040503050406030204" pitchFamily="18" charset="0"/>
              <a:ea typeface="Cambria" panose="02040503050406030204" pitchFamily="18" charset="0"/>
              <a:cs typeface="+mn-cs"/>
            </a:rPr>
            <a:t>an unresolved psychosocial</a:t>
          </a:r>
          <a:r>
            <a:rPr lang="en-US" sz="1200" baseline="0">
              <a:solidFill>
                <a:schemeClr val="dk1"/>
              </a:solidFill>
              <a:latin typeface="Cambria" panose="02040503050406030204" pitchFamily="18" charset="0"/>
              <a:ea typeface="Cambria" panose="02040503050406030204" pitchFamily="18" charset="0"/>
              <a:cs typeface="+mn-cs"/>
            </a:rPr>
            <a:t> </a:t>
          </a:r>
          <a:r>
            <a:rPr lang="en-US" sz="1200">
              <a:solidFill>
                <a:schemeClr val="dk1"/>
              </a:solidFill>
              <a:latin typeface="Cambria" panose="02040503050406030204" pitchFamily="18" charset="0"/>
              <a:ea typeface="Cambria" panose="02040503050406030204" pitchFamily="18" charset="0"/>
              <a:cs typeface="+mn-cs"/>
            </a:rPr>
            <a:t>need, while guarding a more resolved psychosocial need.</a:t>
          </a:r>
          <a:r>
            <a:rPr lang="en-US" sz="1200" baseline="0">
              <a:solidFill>
                <a:schemeClr val="dk1"/>
              </a:solidFill>
              <a:latin typeface="Cambria" panose="02040503050406030204" pitchFamily="18" charset="0"/>
              <a:ea typeface="Cambria" panose="02040503050406030204" pitchFamily="18" charset="0"/>
              <a:cs typeface="+mn-cs"/>
            </a:rPr>
            <a:t> The other political side generalizes for relief of a psychosocial need, while guarding a more resolved psychosocial need. </a:t>
          </a:r>
          <a:r>
            <a:rPr lang="en-US" sz="1200">
              <a:solidFill>
                <a:schemeClr val="dk1"/>
              </a:solidFill>
              <a:latin typeface="Cambria" panose="02040503050406030204" pitchFamily="18" charset="0"/>
              <a:ea typeface="Cambria" panose="02040503050406030204" pitchFamily="18" charset="0"/>
              <a:cs typeface="+mn-cs"/>
            </a:rPr>
            <a:t>Your</a:t>
          </a:r>
          <a:r>
            <a:rPr lang="en-US" sz="1200" baseline="0">
              <a:solidFill>
                <a:schemeClr val="dk1"/>
              </a:solidFill>
              <a:latin typeface="Cambria" panose="02040503050406030204" pitchFamily="18" charset="0"/>
              <a:ea typeface="Cambria" panose="02040503050406030204" pitchFamily="18" charset="0"/>
              <a:cs typeface="+mn-cs"/>
            </a:rPr>
            <a:t> side generalizes for [A] while guarding [B]. The other side generalize [C] while guarding their [D]. To ease that need, your client may overgeneralize by saying "[OVERGEN]" while the other side overgeneralizes by saying "[OVERGEN]". </a:t>
          </a:r>
        </a:p>
        <a:p>
          <a:endParaRPr lang="en-US" sz="1050">
            <a:latin typeface="Arial Narrow" panose="020B0606020202030204" pitchFamily="34" charset="0"/>
          </a:endParaRPr>
        </a:p>
      </xdr:txBody>
    </xdr:sp>
    <xdr:clientData/>
  </xdr:twoCellAnchor>
  <xdr:twoCellAnchor>
    <xdr:from>
      <xdr:col>1</xdr:col>
      <xdr:colOff>30422</xdr:colOff>
      <xdr:row>389</xdr:row>
      <xdr:rowOff>43747</xdr:rowOff>
    </xdr:from>
    <xdr:to>
      <xdr:col>3</xdr:col>
      <xdr:colOff>396182</xdr:colOff>
      <xdr:row>394</xdr:row>
      <xdr:rowOff>249487</xdr:rowOff>
    </xdr:to>
    <xdr:grpSp>
      <xdr:nvGrpSpPr>
        <xdr:cNvPr id="642" name="Group 641">
          <a:extLst>
            <a:ext uri="{FF2B5EF4-FFF2-40B4-BE49-F238E27FC236}">
              <a16:creationId xmlns:a16="http://schemas.microsoft.com/office/drawing/2014/main" id="{00000000-0008-0000-0100-000082020000}"/>
            </a:ext>
          </a:extLst>
        </xdr:cNvPr>
        <xdr:cNvGrpSpPr/>
      </xdr:nvGrpSpPr>
      <xdr:grpSpPr>
        <a:xfrm>
          <a:off x="144722" y="94097407"/>
          <a:ext cx="1371600" cy="1463040"/>
          <a:chOff x="17419320" y="216971880"/>
          <a:chExt cx="1333772" cy="1546860"/>
        </a:xfrm>
      </xdr:grpSpPr>
      <xdr:pic>
        <xdr:nvPicPr>
          <xdr:cNvPr id="643" name="Picture 642" descr="Yield, Give Way Sign, Right Of Way, Road Sign, Roadsign">
            <a:extLst>
              <a:ext uri="{FF2B5EF4-FFF2-40B4-BE49-F238E27FC236}">
                <a16:creationId xmlns:a16="http://schemas.microsoft.com/office/drawing/2014/main" id="{00000000-0008-0000-0100-00008302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419320" y="216971880"/>
            <a:ext cx="1333772" cy="1546860"/>
          </a:xfrm>
          <a:prstGeom prst="rect">
            <a:avLst/>
          </a:prstGeom>
          <a:noFill/>
          <a:effectLst>
            <a:outerShdw blurRad="50800" dist="38100" dir="5400000" algn="t"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sp macro="" textlink="">
        <xdr:nvSpPr>
          <xdr:cNvPr id="644" name="Rectangle 643">
            <a:extLst>
              <a:ext uri="{FF2B5EF4-FFF2-40B4-BE49-F238E27FC236}">
                <a16:creationId xmlns:a16="http://schemas.microsoft.com/office/drawing/2014/main" id="{00000000-0008-0000-0100-000084020000}"/>
              </a:ext>
            </a:extLst>
          </xdr:cNvPr>
          <xdr:cNvSpPr/>
        </xdr:nvSpPr>
        <xdr:spPr>
          <a:xfrm>
            <a:off x="17663160" y="217003136"/>
            <a:ext cx="845820" cy="711478"/>
          </a:xfrm>
          <a:prstGeom prst="rect">
            <a:avLst/>
          </a:prstGeom>
          <a:noFill/>
        </xdr:spPr>
        <xdr:txBody>
          <a:bodyPr wrap="square" lIns="91440" tIns="45720" rIns="91440" bIns="45720" anchor="ctr">
            <a:noAutofit/>
          </a:bodyPr>
          <a:lstStyle/>
          <a:p>
            <a:pPr algn="ctr"/>
            <a:r>
              <a:rPr lang="en-US" sz="1600" b="1" cap="none" spc="0">
                <a:ln w="10160">
                  <a:solidFill>
                    <a:srgbClr val="FF5050"/>
                  </a:solidFill>
                  <a:prstDash val="solid"/>
                </a:ln>
                <a:solidFill>
                  <a:schemeClr val="accent4">
                    <a:lumMod val="50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public norms</a:t>
            </a:r>
          </a:p>
        </xdr:txBody>
      </xdr:sp>
    </xdr:grpSp>
    <xdr:clientData/>
  </xdr:twoCellAnchor>
  <xdr:twoCellAnchor>
    <xdr:from>
      <xdr:col>1</xdr:col>
      <xdr:colOff>83762</xdr:colOff>
      <xdr:row>317</xdr:row>
      <xdr:rowOff>51343</xdr:rowOff>
    </xdr:from>
    <xdr:to>
      <xdr:col>3</xdr:col>
      <xdr:colOff>449522</xdr:colOff>
      <xdr:row>322</xdr:row>
      <xdr:rowOff>20863</xdr:rowOff>
    </xdr:to>
    <xdr:grpSp>
      <xdr:nvGrpSpPr>
        <xdr:cNvPr id="645" name="Group 644">
          <a:extLst>
            <a:ext uri="{FF2B5EF4-FFF2-40B4-BE49-F238E27FC236}">
              <a16:creationId xmlns:a16="http://schemas.microsoft.com/office/drawing/2014/main" id="{00000000-0008-0000-0100-000085020000}"/>
            </a:ext>
          </a:extLst>
        </xdr:cNvPr>
        <xdr:cNvGrpSpPr/>
      </xdr:nvGrpSpPr>
      <xdr:grpSpPr>
        <a:xfrm>
          <a:off x="198062" y="77302903"/>
          <a:ext cx="1371600" cy="1303020"/>
          <a:chOff x="16954500" y="214624896"/>
          <a:chExt cx="1371600" cy="1371600"/>
        </a:xfrm>
      </xdr:grpSpPr>
      <xdr:sp macro="" textlink="">
        <xdr:nvSpPr>
          <xdr:cNvPr id="646" name="Octagon 645">
            <a:extLst>
              <a:ext uri="{FF2B5EF4-FFF2-40B4-BE49-F238E27FC236}">
                <a16:creationId xmlns:a16="http://schemas.microsoft.com/office/drawing/2014/main" id="{00000000-0008-0000-0100-000086020000}"/>
              </a:ext>
            </a:extLst>
          </xdr:cNvPr>
          <xdr:cNvSpPr/>
        </xdr:nvSpPr>
        <xdr:spPr>
          <a:xfrm>
            <a:off x="16954500" y="214624896"/>
            <a:ext cx="1371600" cy="1371600"/>
          </a:xfrm>
          <a:prstGeom prst="octagon">
            <a:avLst>
              <a:gd name="adj" fmla="val 27774"/>
            </a:avLst>
          </a:prstGeom>
          <a:solidFill>
            <a:srgbClr val="FF5050"/>
          </a:solidFill>
          <a:effectLst>
            <a:outerShdw blurRad="50800" dist="38100" dir="5400000" algn="t" rotWithShape="0">
              <a:prstClr val="black">
                <a:alpha val="40000"/>
              </a:prstClr>
            </a:outerShdw>
          </a:effectLst>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cap="none" spc="40" baseline="0">
                <a:ln w="10160">
                  <a:solidFill>
                    <a:schemeClr val="bg1"/>
                  </a:solidFill>
                  <a:prstDash val="solid"/>
                </a:ln>
                <a:solidFill>
                  <a:schemeClr val="bg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publicly affected needs</a:t>
            </a:r>
          </a:p>
        </xdr:txBody>
      </xdr:sp>
      <xdr:sp macro="" textlink="">
        <xdr:nvSpPr>
          <xdr:cNvPr id="647" name="Octagon 646">
            <a:extLst>
              <a:ext uri="{FF2B5EF4-FFF2-40B4-BE49-F238E27FC236}">
                <a16:creationId xmlns:a16="http://schemas.microsoft.com/office/drawing/2014/main" id="{00000000-0008-0000-0100-000087020000}"/>
              </a:ext>
            </a:extLst>
          </xdr:cNvPr>
          <xdr:cNvSpPr>
            <a:spLocks noChangeAspect="1"/>
          </xdr:cNvSpPr>
        </xdr:nvSpPr>
        <xdr:spPr>
          <a:xfrm>
            <a:off x="17045940" y="214716360"/>
            <a:ext cx="1188720" cy="1188720"/>
          </a:xfrm>
          <a:prstGeom prst="octagon">
            <a:avLst>
              <a:gd name="adj" fmla="val 27774"/>
            </a:avLst>
          </a:prstGeom>
          <a:noFill/>
          <a:ln w="28575">
            <a:solidFill>
              <a:schemeClr val="bg1"/>
            </a:solidFill>
          </a:ln>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endParaRPr lang="en-US" sz="1200" b="1" cap="none" spc="0">
              <a:ln w="10160">
                <a:solidFill>
                  <a:srgbClr val="FF505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97119</xdr:colOff>
      <xdr:row>594</xdr:row>
      <xdr:rowOff>110273</xdr:rowOff>
    </xdr:from>
    <xdr:to>
      <xdr:col>13</xdr:col>
      <xdr:colOff>36314</xdr:colOff>
      <xdr:row>605</xdr:row>
      <xdr:rowOff>86672</xdr:rowOff>
    </xdr:to>
    <xdr:grpSp>
      <xdr:nvGrpSpPr>
        <xdr:cNvPr id="132" name="traffic light levels">
          <a:extLst>
            <a:ext uri="{FF2B5EF4-FFF2-40B4-BE49-F238E27FC236}">
              <a16:creationId xmlns:a16="http://schemas.microsoft.com/office/drawing/2014/main" id="{00000000-0008-0000-0100-000084000000}"/>
            </a:ext>
          </a:extLst>
        </xdr:cNvPr>
        <xdr:cNvGrpSpPr/>
      </xdr:nvGrpSpPr>
      <xdr:grpSpPr>
        <a:xfrm>
          <a:off x="97119" y="141659393"/>
          <a:ext cx="6088535" cy="2300499"/>
          <a:chOff x="16822" y="84681057"/>
          <a:chExt cx="6086798" cy="2765832"/>
        </a:xfrm>
      </xdr:grpSpPr>
      <xdr:sp macro="" textlink="">
        <xdr:nvSpPr>
          <xdr:cNvPr id="655" name="Value Relating">
            <a:extLst>
              <a:ext uri="{FF2B5EF4-FFF2-40B4-BE49-F238E27FC236}">
                <a16:creationId xmlns:a16="http://schemas.microsoft.com/office/drawing/2014/main" id="{00000000-0008-0000-0100-00008F020000}"/>
              </a:ext>
            </a:extLst>
          </xdr:cNvPr>
          <xdr:cNvSpPr txBox="1"/>
        </xdr:nvSpPr>
        <xdr:spPr>
          <a:xfrm>
            <a:off x="643424" y="84780129"/>
            <a:ext cx="5460196" cy="26667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rIns="0" bIns="73152" rtlCol="0" anchor="b" anchorCtr="1"/>
          <a:lstStyle/>
          <a:p>
            <a:pPr lvl="1" algn="ctr">
              <a:lnSpc>
                <a:spcPts val="1200"/>
              </a:lnSpc>
            </a:pPr>
            <a:r>
              <a:rPr lang="en-US" sz="1100" b="1">
                <a:ln>
                  <a:noFill/>
                </a:ln>
                <a:solidFill>
                  <a:srgbClr val="00B050"/>
                </a:solidFill>
                <a:effectLst>
                  <a:innerShdw blurRad="114300">
                    <a:prstClr val="black"/>
                  </a:innerShdw>
                </a:effectLst>
                <a:latin typeface="Arial Black" panose="020B0A04020102020204" pitchFamily="34" charset="0"/>
                <a:ea typeface="Tahoma" panose="020B0604030504040204" pitchFamily="34" charset="0"/>
                <a:cs typeface="Tahoma" panose="020B0604030504040204" pitchFamily="34" charset="0"/>
              </a:rPr>
              <a:t>Value</a:t>
            </a:r>
            <a:r>
              <a:rPr lang="en-US" sz="1100" b="1">
                <a:ln>
                  <a:noFill/>
                </a:ln>
                <a:effectLst>
                  <a:innerShdw blurRad="114300">
                    <a:prstClr val="black"/>
                  </a:innerShdw>
                </a:effectLst>
                <a:latin typeface="Arial Black" panose="020B0A04020102020204" pitchFamily="34" charset="0"/>
                <a:ea typeface="Tahoma" panose="020B0604030504040204" pitchFamily="34" charset="0"/>
                <a:cs typeface="Tahoma" panose="020B0604030504040204" pitchFamily="34" charset="0"/>
              </a:rPr>
              <a:t> </a:t>
            </a:r>
            <a:r>
              <a:rPr lang="en-US" sz="1100" b="1">
                <a:ln>
                  <a:noFill/>
                </a:ln>
                <a:solidFill>
                  <a:srgbClr val="7030A0"/>
                </a:solidFill>
                <a:effectLst>
                  <a:innerShdw blurRad="114300">
                    <a:prstClr val="black"/>
                  </a:innerShdw>
                </a:effectLst>
                <a:latin typeface="Arial Black" panose="020B0A04020102020204" pitchFamily="34" charset="0"/>
                <a:ea typeface="Tahoma" panose="020B0604030504040204" pitchFamily="34" charset="0"/>
                <a:cs typeface="Tahoma" panose="020B0604030504040204" pitchFamily="34" charset="0"/>
              </a:rPr>
              <a:t>Relating </a:t>
            </a:r>
            <a:r>
              <a:rPr lang="en-US" sz="1000" b="1" baseline="0">
                <a:solidFill>
                  <a:schemeClr val="tx1">
                    <a:lumMod val="65000"/>
                    <a:lumOff val="35000"/>
                  </a:schemeClr>
                </a:solidFill>
                <a:latin typeface="Tahoma" panose="020B0604030504040204" pitchFamily="34" charset="0"/>
                <a:ea typeface="Tahoma" panose="020B0604030504040204" pitchFamily="34" charset="0"/>
                <a:cs typeface="Tahoma" panose="020B0604030504040204" pitchFamily="34" charset="0"/>
              </a:rPr>
              <a:t>is currently the only provider of psychsociotherapy.</a:t>
            </a:r>
            <a:endParaRPr lang="en-US" sz="1000" b="1">
              <a:solidFill>
                <a:schemeClr val="tx1">
                  <a:lumMod val="65000"/>
                  <a:lumOff val="35000"/>
                </a:schemeClr>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51" name="Recover...">
            <a:extLst>
              <a:ext uri="{FF2B5EF4-FFF2-40B4-BE49-F238E27FC236}">
                <a16:creationId xmlns:a16="http://schemas.microsoft.com/office/drawing/2014/main" id="{00000000-0008-0000-0100-00008B020000}"/>
              </a:ext>
            </a:extLst>
          </xdr:cNvPr>
          <xdr:cNvSpPr txBox="1"/>
        </xdr:nvSpPr>
        <xdr:spPr>
          <a:xfrm>
            <a:off x="1310640" y="84787740"/>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18288" bIns="0" rtlCol="0" anchor="t"/>
          <a:lstStyle/>
          <a:p>
            <a:pPr lvl="1">
              <a:spcAft>
                <a:spcPts val="200"/>
              </a:spcAft>
            </a:pPr>
            <a:r>
              <a:rPr lang="en-US" sz="1200" b="1">
                <a:latin typeface="Tahoma" panose="020B0604030504040204" pitchFamily="34" charset="0"/>
                <a:ea typeface="Tahoma" panose="020B0604030504040204" pitchFamily="34" charset="0"/>
                <a:cs typeface="Tahoma" panose="020B0604030504040204" pitchFamily="34" charset="0"/>
              </a:rPr>
              <a:t>Recover rapport</a:t>
            </a:r>
          </a:p>
          <a:p>
            <a:pPr lvl="0">
              <a:lnSpc>
                <a:spcPts val="1000"/>
              </a:lnSpc>
            </a:pPr>
            <a:r>
              <a:rPr lang="en-US" sz="1000" b="1" baseline="0">
                <a:latin typeface="Arial Narrow" panose="020B0606020202030204" pitchFamily="34" charset="0"/>
              </a:rPr>
              <a:t>First, Harmony Politics stops you from losing clients over political </a:t>
            </a:r>
            <a:r>
              <a:rPr lang="en-US" sz="1000" b="1" baseline="0">
                <a:solidFill>
                  <a:schemeClr val="dk1"/>
                </a:solidFill>
                <a:latin typeface="Arial Narrow" panose="020B0606020202030204" pitchFamily="34" charset="0"/>
                <a:ea typeface="+mn-ea"/>
                <a:cs typeface="+mn-cs"/>
              </a:rPr>
              <a:t>differences</a:t>
            </a:r>
            <a:r>
              <a:rPr lang="en-US" sz="1000" baseline="0">
                <a:solidFill>
                  <a:schemeClr val="dk1"/>
                </a:solidFill>
                <a:latin typeface="Arial Narrow" panose="020B0606020202030204" pitchFamily="34" charset="0"/>
                <a:ea typeface="+mn-ea"/>
                <a:cs typeface="+mn-cs"/>
              </a:rPr>
              <a:t>. You set yourself apart from less inclined counselors when demonstrating you can connect more deeply with your client over contentious issues. Because you go deeper to the underlying needs.</a:t>
            </a:r>
          </a:p>
          <a:p>
            <a:endParaRPr lang="en-US" sz="1050">
              <a:latin typeface="Arial Narrow" panose="020B0606020202030204" pitchFamily="34" charset="0"/>
            </a:endParaRPr>
          </a:p>
        </xdr:txBody>
      </xdr:sp>
      <xdr:sp macro="" textlink="">
        <xdr:nvSpPr>
          <xdr:cNvPr id="652" name="Sustain...">
            <a:extLst>
              <a:ext uri="{FF2B5EF4-FFF2-40B4-BE49-F238E27FC236}">
                <a16:creationId xmlns:a16="http://schemas.microsoft.com/office/drawing/2014/main" id="{00000000-0008-0000-0100-00008C020000}"/>
              </a:ext>
            </a:extLst>
          </xdr:cNvPr>
          <xdr:cNvSpPr txBox="1"/>
        </xdr:nvSpPr>
        <xdr:spPr>
          <a:xfrm>
            <a:off x="1310640" y="85534500"/>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18288" bIns="0" rtlCol="0" anchor="t"/>
          <a:lstStyle/>
          <a:p>
            <a:pPr lvl="1">
              <a:spcAft>
                <a:spcPts val="200"/>
              </a:spcAft>
            </a:pPr>
            <a:r>
              <a:rPr lang="en-US" sz="1200" b="1">
                <a:latin typeface="Tahoma" panose="020B0604030504040204" pitchFamily="34" charset="0"/>
                <a:ea typeface="Tahoma" panose="020B0604030504040204" pitchFamily="34" charset="0"/>
                <a:cs typeface="Tahoma" panose="020B0604030504040204" pitchFamily="34" charset="0"/>
              </a:rPr>
              <a:t>Sustain momentum</a:t>
            </a:r>
          </a:p>
          <a:p>
            <a:pPr marL="0" marR="0" lvl="0" indent="0" defTabSz="914400" eaLnBrk="1" fontAlgn="auto" latinLnBrk="0" hangingPunct="1">
              <a:lnSpc>
                <a:spcPts val="1000"/>
              </a:lnSpc>
              <a:spcBef>
                <a:spcPts val="0"/>
              </a:spcBef>
              <a:spcAft>
                <a:spcPts val="0"/>
              </a:spcAft>
              <a:buClrTx/>
              <a:buSzTx/>
              <a:buFontTx/>
              <a:buNone/>
              <a:tabLst/>
              <a:defRPr/>
            </a:pPr>
            <a:r>
              <a:rPr lang="en-US" sz="1000" b="1" baseline="0">
                <a:latin typeface="Arial Narrow" panose="020B0606020202030204" pitchFamily="34" charset="0"/>
              </a:rPr>
              <a:t>Second, Harmony Politics slows damage between opposing sides</a:t>
            </a:r>
            <a:r>
              <a:rPr lang="en-US" sz="1000" baseline="0">
                <a:latin typeface="Arial Narrow" panose="020B0606020202030204" pitchFamily="34" charset="0"/>
              </a:rPr>
              <a:t>. </a:t>
            </a:r>
            <a:r>
              <a:rPr lang="en-US" sz="1000" baseline="0">
                <a:solidFill>
                  <a:schemeClr val="dk1"/>
                </a:solidFill>
                <a:latin typeface="Arial Narrow" panose="020B0606020202030204" pitchFamily="34" charset="0"/>
                <a:ea typeface="+mn-ea"/>
                <a:cs typeface="+mn-cs"/>
              </a:rPr>
              <a:t>You stand out as a counselor who builds bridges between political sides. You empathize with a Trump supporter as much as you empathize with a Bernie supporter. You position yourself in high demand.</a:t>
            </a:r>
          </a:p>
          <a:p>
            <a:pPr lvl="0"/>
            <a:endParaRPr lang="en-US" sz="1050" baseline="0">
              <a:latin typeface="Arial Narrow" panose="020B0606020202030204" pitchFamily="34" charset="0"/>
            </a:endParaRPr>
          </a:p>
          <a:p>
            <a:endParaRPr lang="en-US" sz="1050">
              <a:latin typeface="Arial Narrow" panose="020B0606020202030204" pitchFamily="34" charset="0"/>
            </a:endParaRPr>
          </a:p>
        </xdr:txBody>
      </xdr:sp>
      <xdr:sp macro="" textlink="">
        <xdr:nvSpPr>
          <xdr:cNvPr id="653" name="Thrive...">
            <a:extLst>
              <a:ext uri="{FF2B5EF4-FFF2-40B4-BE49-F238E27FC236}">
                <a16:creationId xmlns:a16="http://schemas.microsoft.com/office/drawing/2014/main" id="{00000000-0008-0000-0100-00008D020000}"/>
              </a:ext>
            </a:extLst>
          </xdr:cNvPr>
          <xdr:cNvSpPr txBox="1"/>
        </xdr:nvSpPr>
        <xdr:spPr>
          <a:xfrm>
            <a:off x="1310640" y="86281260"/>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18288" bIns="0" rtlCol="0" anchor="t"/>
          <a:lstStyle/>
          <a:p>
            <a:pPr lvl="1">
              <a:spcAft>
                <a:spcPts val="200"/>
              </a:spcAft>
            </a:pPr>
            <a:r>
              <a:rPr lang="en-US" sz="1200" b="1">
                <a:latin typeface="Tahoma" panose="020B0604030504040204" pitchFamily="34" charset="0"/>
                <a:ea typeface="Tahoma" panose="020B0604030504040204" pitchFamily="34" charset="0"/>
                <a:cs typeface="Tahoma" panose="020B0604030504040204" pitchFamily="34" charset="0"/>
              </a:rPr>
              <a:t>Thrive with psychosocial</a:t>
            </a:r>
            <a:r>
              <a:rPr lang="en-US" sz="1200" b="1" baseline="0">
                <a:latin typeface="Tahoma" panose="020B0604030504040204" pitchFamily="34" charset="0"/>
                <a:ea typeface="Tahoma" panose="020B0604030504040204" pitchFamily="34" charset="0"/>
                <a:cs typeface="Tahoma" panose="020B0604030504040204" pitchFamily="34" charset="0"/>
              </a:rPr>
              <a:t> flow</a:t>
            </a:r>
            <a:endParaRPr lang="en-US" sz="1200" b="1">
              <a:latin typeface="Tahoma" panose="020B0604030504040204" pitchFamily="34" charset="0"/>
              <a:ea typeface="Tahoma" panose="020B0604030504040204" pitchFamily="34" charset="0"/>
              <a:cs typeface="Tahoma" panose="020B0604030504040204" pitchFamily="34" charset="0"/>
            </a:endParaRPr>
          </a:p>
          <a:p>
            <a:pPr lvl="0">
              <a:lnSpc>
                <a:spcPts val="1000"/>
              </a:lnSpc>
            </a:pPr>
            <a:r>
              <a:rPr lang="en-US" sz="1000" b="1" baseline="0">
                <a:latin typeface="Arial Narrow" panose="020B0606020202030204" pitchFamily="34" charset="0"/>
              </a:rPr>
              <a:t>Lastly, Harmony Politics can speed up your client's full life potential</a:t>
            </a:r>
            <a:r>
              <a:rPr lang="en-US" sz="1000" baseline="0">
                <a:latin typeface="Arial Narrow" panose="020B0606020202030204" pitchFamily="34" charset="0"/>
              </a:rPr>
              <a:t>. </a:t>
            </a:r>
            <a:r>
              <a:rPr lang="en-US" sz="1000" baseline="0">
                <a:solidFill>
                  <a:schemeClr val="dk1"/>
                </a:solidFill>
                <a:latin typeface="Arial Narrow" panose="020B0606020202030204" pitchFamily="34" charset="0"/>
                <a:ea typeface="+mn-ea"/>
                <a:cs typeface="+mn-cs"/>
              </a:rPr>
              <a:t>You can learn to use </a:t>
            </a:r>
            <a:r>
              <a:rPr lang="en-US" sz="1000" i="1" baseline="0">
                <a:ln w="3175">
                  <a:solidFill>
                    <a:srgbClr val="00B050"/>
                  </a:solidFill>
                </a:ln>
                <a:solidFill>
                  <a:schemeClr val="dk1"/>
                </a:solidFill>
                <a:latin typeface="Arial Narrow" panose="020B0606020202030204" pitchFamily="34" charset="0"/>
                <a:ea typeface="+mn-ea"/>
                <a:cs typeface="+mn-cs"/>
              </a:rPr>
              <a:t>psychosociotherapy</a:t>
            </a:r>
            <a:r>
              <a:rPr lang="en-US" sz="1000" baseline="0">
                <a:solidFill>
                  <a:schemeClr val="dk1"/>
                </a:solidFill>
                <a:latin typeface="Arial Narrow" panose="020B0606020202030204" pitchFamily="34" charset="0"/>
                <a:ea typeface="+mn-ea"/>
                <a:cs typeface="+mn-cs"/>
              </a:rPr>
              <a:t> to empower your client to speak their truth to power. You advocate the resolution of their affected needs in accord with others resolving their needs.</a:t>
            </a:r>
          </a:p>
          <a:p>
            <a:endParaRPr lang="en-US" sz="1050">
              <a:latin typeface="Arial Narrow" panose="020B0606020202030204" pitchFamily="34" charset="0"/>
            </a:endParaRPr>
          </a:p>
        </xdr:txBody>
      </xdr:sp>
      <xdr:pic>
        <xdr:nvPicPr>
          <xdr:cNvPr id="654" name="traffic light pgn">
            <a:extLst>
              <a:ext uri="{FF2B5EF4-FFF2-40B4-BE49-F238E27FC236}">
                <a16:creationId xmlns:a16="http://schemas.microsoft.com/office/drawing/2014/main" id="{00000000-0008-0000-0100-00008E020000}"/>
              </a:ext>
            </a:extLst>
          </xdr:cNvPr>
          <xdr:cNvPicPr>
            <a:picLocks noChangeAspect="1"/>
          </xdr:cNvPicPr>
        </xdr:nvPicPr>
        <xdr:blipFill rotWithShape="1">
          <a:blip xmlns:r="http://schemas.openxmlformats.org/officeDocument/2006/relationships" r:embed="rId8"/>
          <a:srcRect b="275"/>
          <a:stretch/>
        </xdr:blipFill>
        <xdr:spPr>
          <a:xfrm>
            <a:off x="16822" y="84681057"/>
            <a:ext cx="1449327" cy="2758356"/>
          </a:xfrm>
          <a:prstGeom prst="rect">
            <a:avLst/>
          </a:prstGeom>
        </xdr:spPr>
      </xdr:pic>
    </xdr:grpSp>
    <xdr:clientData/>
  </xdr:twoCellAnchor>
  <xdr:twoCellAnchor>
    <xdr:from>
      <xdr:col>15</xdr:col>
      <xdr:colOff>152400</xdr:colOff>
      <xdr:row>514</xdr:row>
      <xdr:rowOff>91440</xdr:rowOff>
    </xdr:from>
    <xdr:to>
      <xdr:col>27</xdr:col>
      <xdr:colOff>99060</xdr:colOff>
      <xdr:row>525</xdr:row>
      <xdr:rowOff>224028</xdr:rowOff>
    </xdr:to>
    <xdr:grpSp>
      <xdr:nvGrpSpPr>
        <xdr:cNvPr id="656" name="traffic light" hidden="1">
          <a:extLst>
            <a:ext uri="{FF2B5EF4-FFF2-40B4-BE49-F238E27FC236}">
              <a16:creationId xmlns:a16="http://schemas.microsoft.com/office/drawing/2014/main" id="{00000000-0008-0000-0100-000090020000}"/>
            </a:ext>
          </a:extLst>
        </xdr:cNvPr>
        <xdr:cNvGrpSpPr/>
      </xdr:nvGrpSpPr>
      <xdr:grpSpPr>
        <a:xfrm>
          <a:off x="6263640" y="121897140"/>
          <a:ext cx="0" cy="2708148"/>
          <a:chOff x="121920" y="84681060"/>
          <a:chExt cx="5981700" cy="2769108"/>
        </a:xfrm>
      </xdr:grpSpPr>
      <xdr:sp macro="" textlink="">
        <xdr:nvSpPr>
          <xdr:cNvPr id="657" name="value relating">
            <a:extLst>
              <a:ext uri="{FF2B5EF4-FFF2-40B4-BE49-F238E27FC236}">
                <a16:creationId xmlns:a16="http://schemas.microsoft.com/office/drawing/2014/main" id="{00000000-0008-0000-0100-000091020000}"/>
              </a:ext>
            </a:extLst>
          </xdr:cNvPr>
          <xdr:cNvSpPr txBox="1"/>
        </xdr:nvSpPr>
        <xdr:spPr>
          <a:xfrm>
            <a:off x="297180" y="84780120"/>
            <a:ext cx="5806440" cy="2670048"/>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nchorCtr="1"/>
          <a:lstStyle/>
          <a:p>
            <a:pPr lvl="1" algn="ctr"/>
            <a:r>
              <a:rPr lang="en-US" sz="1400" b="1">
                <a:solidFill>
                  <a:srgbClr val="00B050"/>
                </a:solidFill>
                <a:latin typeface="Tahoma" panose="020B0604030504040204" pitchFamily="34" charset="0"/>
                <a:ea typeface="Tahoma" panose="020B0604030504040204" pitchFamily="34" charset="0"/>
                <a:cs typeface="Tahoma" panose="020B0604030504040204" pitchFamily="34" charset="0"/>
              </a:rPr>
              <a:t>Value</a:t>
            </a:r>
            <a:r>
              <a:rPr lang="en-US" sz="1400" b="1">
                <a:latin typeface="Tahoma" panose="020B0604030504040204" pitchFamily="34" charset="0"/>
                <a:ea typeface="Tahoma" panose="020B0604030504040204" pitchFamily="34" charset="0"/>
                <a:cs typeface="Tahoma" panose="020B0604030504040204" pitchFamily="34" charset="0"/>
              </a:rPr>
              <a:t> </a:t>
            </a:r>
            <a:r>
              <a:rPr lang="en-US" sz="1400" b="1">
                <a:solidFill>
                  <a:srgbClr val="7030A0"/>
                </a:solidFill>
                <a:latin typeface="Tahoma" panose="020B0604030504040204" pitchFamily="34" charset="0"/>
                <a:ea typeface="Tahoma" panose="020B0604030504040204" pitchFamily="34" charset="0"/>
                <a:cs typeface="Tahoma" panose="020B0604030504040204" pitchFamily="34" charset="0"/>
              </a:rPr>
              <a:t>Relating</a:t>
            </a:r>
          </a:p>
          <a:p>
            <a:pPr lvl="1" algn="ctr"/>
            <a:r>
              <a:rPr lang="en-US" sz="1050" baseline="0">
                <a:latin typeface="Arial Narrow" panose="020B0606020202030204" pitchFamily="34" charset="0"/>
              </a:rPr>
              <a:t>solving problems by resolving needs</a:t>
            </a:r>
            <a:endParaRPr lang="en-US" sz="1050">
              <a:latin typeface="Arial Narrow" panose="020B0606020202030204" pitchFamily="34" charset="0"/>
            </a:endParaRPr>
          </a:p>
        </xdr:txBody>
      </xdr:sp>
      <xdr:sp macro="" textlink="">
        <xdr:nvSpPr>
          <xdr:cNvPr id="658" name="recover rapport">
            <a:extLst>
              <a:ext uri="{FF2B5EF4-FFF2-40B4-BE49-F238E27FC236}">
                <a16:creationId xmlns:a16="http://schemas.microsoft.com/office/drawing/2014/main" id="{00000000-0008-0000-0100-000092020000}"/>
              </a:ext>
            </a:extLst>
          </xdr:cNvPr>
          <xdr:cNvSpPr txBox="1"/>
        </xdr:nvSpPr>
        <xdr:spPr>
          <a:xfrm>
            <a:off x="1310640" y="84787740"/>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Recover rapport</a:t>
            </a:r>
          </a:p>
          <a:p>
            <a:pPr lvl="1"/>
            <a:r>
              <a:rPr lang="en-US" sz="1050" baseline="0">
                <a:latin typeface="Arial Narrow" panose="020B0606020202030204" pitchFamily="34" charset="0"/>
              </a:rPr>
              <a:t>First, Harmony Politics stops you from losing clients over political differences. </a:t>
            </a:r>
          </a:p>
          <a:p>
            <a:endParaRPr lang="en-US" sz="1050">
              <a:latin typeface="Arial Narrow" panose="020B0606020202030204" pitchFamily="34" charset="0"/>
            </a:endParaRPr>
          </a:p>
        </xdr:txBody>
      </xdr:sp>
      <xdr:sp macro="" textlink="">
        <xdr:nvSpPr>
          <xdr:cNvPr id="659" name="sustain development">
            <a:extLst>
              <a:ext uri="{FF2B5EF4-FFF2-40B4-BE49-F238E27FC236}">
                <a16:creationId xmlns:a16="http://schemas.microsoft.com/office/drawing/2014/main" id="{00000000-0008-0000-0100-000093020000}"/>
              </a:ext>
            </a:extLst>
          </xdr:cNvPr>
          <xdr:cNvSpPr txBox="1"/>
        </xdr:nvSpPr>
        <xdr:spPr>
          <a:xfrm>
            <a:off x="1310640" y="85534500"/>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Sustain development</a:t>
            </a:r>
          </a:p>
          <a:p>
            <a:pPr lvl="1"/>
            <a:r>
              <a:rPr lang="en-US" sz="1050" baseline="0">
                <a:latin typeface="Arial Narrow" panose="020B0606020202030204" pitchFamily="34" charset="0"/>
              </a:rPr>
              <a:t>Second, Harmony Politics helps you sustain your client's psychosocial development. </a:t>
            </a:r>
          </a:p>
          <a:p>
            <a:endParaRPr lang="en-US" sz="1050">
              <a:latin typeface="Arial Narrow" panose="020B0606020202030204" pitchFamily="34" charset="0"/>
            </a:endParaRPr>
          </a:p>
        </xdr:txBody>
      </xdr:sp>
      <xdr:sp macro="" textlink="">
        <xdr:nvSpPr>
          <xdr:cNvPr id="660" name="thrive flow">
            <a:extLst>
              <a:ext uri="{FF2B5EF4-FFF2-40B4-BE49-F238E27FC236}">
                <a16:creationId xmlns:a16="http://schemas.microsoft.com/office/drawing/2014/main" id="{00000000-0008-0000-0100-000094020000}"/>
              </a:ext>
            </a:extLst>
          </xdr:cNvPr>
          <xdr:cNvSpPr txBox="1"/>
        </xdr:nvSpPr>
        <xdr:spPr>
          <a:xfrm>
            <a:off x="1310640" y="86281260"/>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Thrive with psychosocial</a:t>
            </a:r>
            <a:r>
              <a:rPr lang="en-US" sz="1200" b="1" baseline="0">
                <a:latin typeface="Tahoma" panose="020B0604030504040204" pitchFamily="34" charset="0"/>
                <a:ea typeface="Tahoma" panose="020B0604030504040204" pitchFamily="34" charset="0"/>
                <a:cs typeface="Tahoma" panose="020B0604030504040204" pitchFamily="34" charset="0"/>
              </a:rPr>
              <a:t> flow</a:t>
            </a:r>
            <a:endParaRPr lang="en-US" sz="1200" b="1">
              <a:latin typeface="Tahoma" panose="020B0604030504040204" pitchFamily="34" charset="0"/>
              <a:ea typeface="Tahoma" panose="020B0604030504040204" pitchFamily="34" charset="0"/>
              <a:cs typeface="Tahoma" panose="020B0604030504040204" pitchFamily="34" charset="0"/>
            </a:endParaRPr>
          </a:p>
          <a:p>
            <a:pPr lvl="1"/>
            <a:r>
              <a:rPr lang="en-US" sz="1050" baseline="0">
                <a:latin typeface="Arial Narrow" panose="020B0606020202030204" pitchFamily="34" charset="0"/>
              </a:rPr>
              <a:t>Lastly, Harmony Politics can empower your client to live up to their full potential. </a:t>
            </a:r>
          </a:p>
          <a:p>
            <a:endParaRPr lang="en-US" sz="1050">
              <a:latin typeface="Arial Narrow" panose="020B0606020202030204" pitchFamily="34" charset="0"/>
            </a:endParaRPr>
          </a:p>
        </xdr:txBody>
      </xdr:sp>
      <xdr:pic>
        <xdr:nvPicPr>
          <xdr:cNvPr id="661" name="traffic light pgn">
            <a:extLst>
              <a:ext uri="{FF2B5EF4-FFF2-40B4-BE49-F238E27FC236}">
                <a16:creationId xmlns:a16="http://schemas.microsoft.com/office/drawing/2014/main" id="{00000000-0008-0000-0100-000095020000}"/>
              </a:ext>
            </a:extLst>
          </xdr:cNvPr>
          <xdr:cNvPicPr>
            <a:picLocks noChangeAspect="1"/>
          </xdr:cNvPicPr>
        </xdr:nvPicPr>
        <xdr:blipFill>
          <a:blip xmlns:r="http://schemas.openxmlformats.org/officeDocument/2006/relationships" r:embed="rId8"/>
          <a:stretch>
            <a:fillRect/>
          </a:stretch>
        </xdr:blipFill>
        <xdr:spPr>
          <a:xfrm>
            <a:off x="121920" y="84681060"/>
            <a:ext cx="1649019" cy="2765934"/>
          </a:xfrm>
          <a:prstGeom prst="rect">
            <a:avLst/>
          </a:prstGeom>
        </xdr:spPr>
      </xdr:pic>
    </xdr:grpSp>
    <xdr:clientData/>
  </xdr:twoCellAnchor>
  <xdr:twoCellAnchor>
    <xdr:from>
      <xdr:col>1</xdr:col>
      <xdr:colOff>45720</xdr:colOff>
      <xdr:row>464</xdr:row>
      <xdr:rowOff>15240</xdr:rowOff>
    </xdr:from>
    <xdr:to>
      <xdr:col>3</xdr:col>
      <xdr:colOff>411480</xdr:colOff>
      <xdr:row>469</xdr:row>
      <xdr:rowOff>205740</xdr:rowOff>
    </xdr:to>
    <xdr:sp macro="" textlink="">
      <xdr:nvSpPr>
        <xdr:cNvPr id="726" name="Oval 725">
          <a:extLst>
            <a:ext uri="{FF2B5EF4-FFF2-40B4-BE49-F238E27FC236}">
              <a16:creationId xmlns:a16="http://schemas.microsoft.com/office/drawing/2014/main" id="{00000000-0008-0000-0100-0000D6020000}"/>
            </a:ext>
          </a:extLst>
        </xdr:cNvPr>
        <xdr:cNvSpPr>
          <a:spLocks noChangeAspect="1"/>
        </xdr:cNvSpPr>
      </xdr:nvSpPr>
      <xdr:spPr>
        <a:xfrm>
          <a:off x="160020" y="110733840"/>
          <a:ext cx="1371600" cy="1371600"/>
        </a:xfrm>
        <a:prstGeom prst="ellipse">
          <a:avLst/>
        </a:prstGeom>
        <a:solidFill>
          <a:srgbClr val="0AFA96"/>
        </a:solidFill>
        <a:ln w="57150">
          <a:solidFill>
            <a:srgbClr val="00B050"/>
          </a:solidFill>
        </a:ln>
        <a:effectLst>
          <a:outerShdw blurRad="50800" dist="38100" dir="5400000" algn="t" rotWithShape="0">
            <a:prstClr val="black">
              <a:alpha val="40000"/>
            </a:prstClr>
          </a:outerShdw>
        </a:effectLst>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tIns="0" rIns="0" bIns="0" rtlCol="0" anchor="ctr"/>
        <a:lstStyle/>
        <a:p>
          <a:pPr algn="ctr"/>
          <a:r>
            <a:rPr lang="en-US" sz="1400" b="1">
              <a:latin typeface="Tahoma" panose="020B0604030504040204" pitchFamily="34" charset="0"/>
              <a:ea typeface="Tahoma" panose="020B0604030504040204" pitchFamily="34" charset="0"/>
              <a:cs typeface="Tahoma" panose="020B0604030504040204" pitchFamily="34" charset="0"/>
            </a:rPr>
            <a:t>mutually resolve needs</a:t>
          </a:r>
          <a:endParaRPr lang="en-US" sz="1100" b="1">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15</xdr:col>
      <xdr:colOff>15240</xdr:colOff>
      <xdr:row>427</xdr:row>
      <xdr:rowOff>68580</xdr:rowOff>
    </xdr:from>
    <xdr:to>
      <xdr:col>26</xdr:col>
      <xdr:colOff>426720</xdr:colOff>
      <xdr:row>433</xdr:row>
      <xdr:rowOff>129540</xdr:rowOff>
    </xdr:to>
    <xdr:sp macro="" textlink="">
      <xdr:nvSpPr>
        <xdr:cNvPr id="728" name="TextBox 727">
          <a:extLst>
            <a:ext uri="{FF2B5EF4-FFF2-40B4-BE49-F238E27FC236}">
              <a16:creationId xmlns:a16="http://schemas.microsoft.com/office/drawing/2014/main" id="{00000000-0008-0000-0100-0000D8020000}"/>
            </a:ext>
          </a:extLst>
        </xdr:cNvPr>
        <xdr:cNvSpPr txBox="1"/>
      </xdr:nvSpPr>
      <xdr:spPr>
        <a:xfrm>
          <a:off x="6393180" y="102549960"/>
          <a:ext cx="5943600" cy="144018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Popular politics entices you and your client to stay shallow and alienated. You both are given a generalization to agree or disagree, with little room for nuance. If your client agrees to [R1117], it may ease their [AD1117] and [AF1117]. Since this pain-relief does not resolve the needs provoking such pain, your client's [ISSUE]-related pain persists. Your client risks staying shallow and alienated to cope with unending pain of their unresolved needs. Shift from that overgeneralizing binary to deeper understanding of your client's [ISSUE]-impacted needs.</a:t>
          </a:r>
        </a:p>
      </xdr:txBody>
    </xdr:sp>
    <xdr:clientData/>
  </xdr:twoCellAnchor>
  <xdr:twoCellAnchor>
    <xdr:from>
      <xdr:col>15</xdr:col>
      <xdr:colOff>7620</xdr:colOff>
      <xdr:row>444</xdr:row>
      <xdr:rowOff>137160</xdr:rowOff>
    </xdr:from>
    <xdr:to>
      <xdr:col>26</xdr:col>
      <xdr:colOff>419100</xdr:colOff>
      <xdr:row>450</xdr:row>
      <xdr:rowOff>167640</xdr:rowOff>
    </xdr:to>
    <xdr:sp macro="" textlink="">
      <xdr:nvSpPr>
        <xdr:cNvPr id="750" name="TextBox 749">
          <a:extLst>
            <a:ext uri="{FF2B5EF4-FFF2-40B4-BE49-F238E27FC236}">
              <a16:creationId xmlns:a16="http://schemas.microsoft.com/office/drawing/2014/main" id="{00000000-0008-0000-0100-0000EE020000}"/>
            </a:ext>
          </a:extLst>
        </xdr:cNvPr>
        <xdr:cNvSpPr txBox="1"/>
      </xdr:nvSpPr>
      <xdr:spPr>
        <a:xfrm>
          <a:off x="6385560" y="106573320"/>
          <a:ext cx="5943600" cy="14097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Harmony Politics encourages you to go deep and connect with your client's and anyone's political views. Instead of arguing for [L1117] or against [M1117], or some similar generalization for relief, you help them identify and express their specific [ISSUE]-affected needs. You guide them to see how their unique situation prompts them to [R1117] over [S1117]. After seeing why each side prioritizes their particular needs, your client can appreciate politics is relative to needs. Then they can go deep and connect with political others, just as you went deep and connected with them.</a:t>
          </a:r>
        </a:p>
        <a:p>
          <a:pPr marL="0" indent="0"/>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editAs="oneCell">
    <xdr:from>
      <xdr:col>24</xdr:col>
      <xdr:colOff>212952</xdr:colOff>
      <xdr:row>483</xdr:row>
      <xdr:rowOff>68580</xdr:rowOff>
    </xdr:from>
    <xdr:to>
      <xdr:col>31</xdr:col>
      <xdr:colOff>690250</xdr:colOff>
      <xdr:row>497</xdr:row>
      <xdr:rowOff>56161</xdr:rowOff>
    </xdr:to>
    <xdr:pic>
      <xdr:nvPicPr>
        <xdr:cNvPr id="145" name="needs in balance" hidden="1">
          <a:extLst>
            <a:ext uri="{FF2B5EF4-FFF2-40B4-BE49-F238E27FC236}">
              <a16:creationId xmlns:a16="http://schemas.microsoft.com/office/drawing/2014/main" id="{00000000-0008-0000-0100-00009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1117172" y="66560700"/>
          <a:ext cx="2869570" cy="1222022"/>
        </a:xfrm>
        <a:prstGeom prst="rect">
          <a:avLst/>
        </a:prstGeom>
      </xdr:spPr>
    </xdr:pic>
    <xdr:clientData/>
  </xdr:twoCellAnchor>
  <xdr:twoCellAnchor>
    <xdr:from>
      <xdr:col>15</xdr:col>
      <xdr:colOff>38100</xdr:colOff>
      <xdr:row>502</xdr:row>
      <xdr:rowOff>99060</xdr:rowOff>
    </xdr:from>
    <xdr:to>
      <xdr:col>26</xdr:col>
      <xdr:colOff>449580</xdr:colOff>
      <xdr:row>517</xdr:row>
      <xdr:rowOff>91440</xdr:rowOff>
    </xdr:to>
    <xdr:sp macro="" textlink="">
      <xdr:nvSpPr>
        <xdr:cNvPr id="788" name="TextBox 787">
          <a:extLst>
            <a:ext uri="{FF2B5EF4-FFF2-40B4-BE49-F238E27FC236}">
              <a16:creationId xmlns:a16="http://schemas.microsoft.com/office/drawing/2014/main" id="{00000000-0008-0000-0100-000014030000}"/>
            </a:ext>
          </a:extLst>
        </xdr:cNvPr>
        <xdr:cNvSpPr txBox="1"/>
      </xdr:nvSpPr>
      <xdr:spPr>
        <a:xfrm>
          <a:off x="6416040" y="119413020"/>
          <a:ext cx="5943600" cy="325374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Nature pulls us to balance our self-needs and social-needs. Your client experiences intense emotions like [AD1117] and [AF1117] because their need behind their desire [AH1117] remains unresolved. Their desire [AH1117] depends on their deeper unmet psychosocial need for [AJ1117] and their guarded psychosocial need for [AL1117].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Situations beyond their personal control dictates these needs. Politics give expression to these impacts, with the support of those similar affected. Because we blindly trust politics to ease such needs. As your client focuses on their more visible need [AH1117], you focus on their less visibly affected psychosocial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As you support resolving their affected self-needs on par with resolving their affected social-needs, you see their polarization gradually collapse. You nurture their conciliation between a wide and deep orientation to [D1119]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60960</xdr:colOff>
      <xdr:row>470</xdr:row>
      <xdr:rowOff>30480</xdr:rowOff>
    </xdr:from>
    <xdr:to>
      <xdr:col>26</xdr:col>
      <xdr:colOff>472440</xdr:colOff>
      <xdr:row>491</xdr:row>
      <xdr:rowOff>106680</xdr:rowOff>
    </xdr:to>
    <xdr:sp macro="" textlink="">
      <xdr:nvSpPr>
        <xdr:cNvPr id="792" name="TextBox 791">
          <a:extLst>
            <a:ext uri="{FF2B5EF4-FFF2-40B4-BE49-F238E27FC236}">
              <a16:creationId xmlns:a16="http://schemas.microsoft.com/office/drawing/2014/main" id="{00000000-0008-0000-0100-000018030000}"/>
            </a:ext>
          </a:extLst>
        </xdr:cNvPr>
        <xdr:cNvSpPr txBox="1"/>
      </xdr:nvSpPr>
      <xdr:spPr>
        <a:xfrm>
          <a:off x="6438900" y="112509300"/>
          <a:ext cx="5943600" cy="441198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The less your client's [ISSUE D1117]-related needs resolve, the more drawn to extreme positions for relief. Political polarization feeds on our increasing volume of unresolved needs. You as their counselor can provide a meaningful alternative to the disappointment of divisive politics.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Instead of overgeneralizing by insisting we must [AN1117], you encourage your client to empathize with [AP1117]. Ask your client how it impacts what they need when the other side insists we must [AO1117]. You remain present for their painful reaction. You focus their attention to specific needs, like the need [AH1117]. You ask them if they still think this is more important than the need [AI1117].</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When you see they are ready to focus more on resolving affected needs, you encourage them to see the other side's need for [AK1117] and for [AM1117] is no more or less important than your need for [AJ1117] and for [AL1117]. The more your client can empathize with [AP1117], ask them if this can make it easier for the other side to empathize with [AQ1117].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If your client ever thought of the other side as full of repugnant [Z1117], does your client still think that way? Or can your client humanize the other side with competing needs? Can your client now understand why those most desperate on the other side may think of your client as complicit with other [AA1117]? Once your client can envision receiving more respect from the other side for their [D1119] affected needs, you can help free their focus on their impacted psychosocial needs. You can then segue to de-polarizing.</a:t>
          </a:r>
        </a:p>
      </xdr:txBody>
    </xdr:sp>
    <xdr:clientData/>
  </xdr:twoCellAnchor>
  <xdr:twoCellAnchor>
    <xdr:from>
      <xdr:col>15</xdr:col>
      <xdr:colOff>30480</xdr:colOff>
      <xdr:row>355</xdr:row>
      <xdr:rowOff>114300</xdr:rowOff>
    </xdr:from>
    <xdr:to>
      <xdr:col>26</xdr:col>
      <xdr:colOff>472441</xdr:colOff>
      <xdr:row>365</xdr:row>
      <xdr:rowOff>205740</xdr:rowOff>
    </xdr:to>
    <xdr:sp macro="" textlink="">
      <xdr:nvSpPr>
        <xdr:cNvPr id="796" name="TextBox 795">
          <a:extLst>
            <a:ext uri="{FF2B5EF4-FFF2-40B4-BE49-F238E27FC236}">
              <a16:creationId xmlns:a16="http://schemas.microsoft.com/office/drawing/2014/main" id="{00000000-0008-0000-0100-00001C030000}"/>
            </a:ext>
          </a:extLst>
        </xdr:cNvPr>
        <xdr:cNvSpPr txBox="1"/>
      </xdr:nvSpPr>
      <xdr:spPr>
        <a:xfrm>
          <a:off x="6408420" y="85808820"/>
          <a:ext cx="5974081" cy="2415540"/>
        </a:xfrm>
        <a:prstGeom prst="rect">
          <a:avLst/>
        </a:prstGeom>
        <a:solidFill>
          <a:srgbClr val="E1FFEB"/>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Divisive politics tends to be </a:t>
          </a:r>
          <a:r>
            <a:rPr lang="en-US" sz="1200" b="1" baseline="0">
              <a:solidFill>
                <a:schemeClr val="dk1"/>
              </a:solidFill>
              <a:latin typeface="Cambria" panose="02040503050406030204" pitchFamily="18" charset="0"/>
              <a:ea typeface="Cambria" panose="02040503050406030204" pitchFamily="18" charset="0"/>
              <a:cs typeface="+mn-cs"/>
            </a:rPr>
            <a:t>FAKE</a:t>
          </a:r>
          <a:r>
            <a:rPr lang="en-US" sz="1200" baseline="0">
              <a:solidFill>
                <a:schemeClr val="dk1"/>
              </a:solidFill>
              <a:latin typeface="Cambria" panose="02040503050406030204" pitchFamily="18" charset="0"/>
              <a:ea typeface="Cambria" panose="02040503050406030204" pitchFamily="18" charset="0"/>
              <a:cs typeface="+mn-cs"/>
            </a:rPr>
            <a:t>, </a:t>
          </a:r>
          <a:r>
            <a:rPr lang="en-US" sz="1200" b="1" baseline="0">
              <a:solidFill>
                <a:schemeClr val="dk1"/>
              </a:solidFill>
              <a:latin typeface="Cambria" panose="02040503050406030204" pitchFamily="18" charset="0"/>
              <a:ea typeface="Cambria" panose="02040503050406030204" pitchFamily="18" charset="0"/>
              <a:cs typeface="+mn-cs"/>
            </a:rPr>
            <a:t>f</a:t>
          </a:r>
          <a:r>
            <a:rPr lang="en-US" sz="1200" baseline="0">
              <a:solidFill>
                <a:schemeClr val="dk1"/>
              </a:solidFill>
              <a:latin typeface="Cambria" panose="02040503050406030204" pitchFamily="18" charset="0"/>
              <a:ea typeface="Cambria" panose="02040503050406030204" pitchFamily="18" charset="0"/>
              <a:cs typeface="+mn-cs"/>
            </a:rPr>
            <a:t>reely </a:t>
          </a:r>
          <a:r>
            <a:rPr lang="en-US" sz="1200" b="1" baseline="0">
              <a:solidFill>
                <a:schemeClr val="dk1"/>
              </a:solidFill>
              <a:latin typeface="Cambria" panose="02040503050406030204" pitchFamily="18" charset="0"/>
              <a:ea typeface="Cambria" panose="02040503050406030204" pitchFamily="18" charset="0"/>
              <a:cs typeface="+mn-cs"/>
            </a:rPr>
            <a:t>a</a:t>
          </a:r>
          <a:r>
            <a:rPr lang="en-US" sz="1200" baseline="0">
              <a:solidFill>
                <a:schemeClr val="dk1"/>
              </a:solidFill>
              <a:latin typeface="Cambria" panose="02040503050406030204" pitchFamily="18" charset="0"/>
              <a:ea typeface="Cambria" panose="02040503050406030204" pitchFamily="18" charset="0"/>
              <a:cs typeface="+mn-cs"/>
            </a:rPr>
            <a:t>nd </a:t>
          </a:r>
          <a:r>
            <a:rPr lang="en-US" sz="1200" b="1" baseline="0">
              <a:solidFill>
                <a:schemeClr val="dk1"/>
              </a:solidFill>
              <a:latin typeface="Cambria" panose="02040503050406030204" pitchFamily="18" charset="0"/>
              <a:ea typeface="Cambria" panose="02040503050406030204" pitchFamily="18" charset="0"/>
              <a:cs typeface="+mn-cs"/>
            </a:rPr>
            <a:t>k</a:t>
          </a:r>
          <a:r>
            <a:rPr lang="en-US" sz="1200" baseline="0">
              <a:solidFill>
                <a:schemeClr val="dk1"/>
              </a:solidFill>
              <a:latin typeface="Cambria" panose="02040503050406030204" pitchFamily="18" charset="0"/>
              <a:ea typeface="Cambria" panose="02040503050406030204" pitchFamily="18" charset="0"/>
              <a:cs typeface="+mn-cs"/>
            </a:rPr>
            <a:t>nowingly </a:t>
          </a:r>
          <a:r>
            <a:rPr lang="en-US" sz="1200" b="1" baseline="0">
              <a:solidFill>
                <a:schemeClr val="dk1"/>
              </a:solidFill>
              <a:latin typeface="Cambria" panose="02040503050406030204" pitchFamily="18" charset="0"/>
              <a:ea typeface="Cambria" panose="02040503050406030204" pitchFamily="18" charset="0"/>
              <a:cs typeface="+mn-cs"/>
            </a:rPr>
            <a:t>e</a:t>
          </a:r>
          <a:r>
            <a:rPr lang="en-US" sz="1200" baseline="0">
              <a:solidFill>
                <a:schemeClr val="dk1"/>
              </a:solidFill>
              <a:latin typeface="Cambria" panose="02040503050406030204" pitchFamily="18" charset="0"/>
              <a:ea typeface="Cambria" panose="02040503050406030204" pitchFamily="18" charset="0"/>
              <a:cs typeface="+mn-cs"/>
            </a:rPr>
            <a:t>xaggerated. Politics serves better as a window than a door. You can peer in with its broad generalizations, but cannot enter into meaningful solutions without first shifting to applicable specifics. Too often, politics fails to become that stepping stone to relevant specifics. Too often, politics hardens into stumbling blocks of self-serving exaggerations.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Divisive politics lets you judge the other side by its most exaggerated generalizations. Then it upholds your side by casting its most exaggerated genralizations as mere aberration. Divisive politics tempts your client to view those arguing to [AO1117] as an example of the other side, while characterizing anyone on the client's side who argues to [AN1117] as merely an exception to your client side's sound arguments. </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editAs="oneCell">
    <xdr:from>
      <xdr:col>25</xdr:col>
      <xdr:colOff>385018</xdr:colOff>
      <xdr:row>320</xdr:row>
      <xdr:rowOff>0</xdr:rowOff>
    </xdr:from>
    <xdr:to>
      <xdr:col>31</xdr:col>
      <xdr:colOff>433028</xdr:colOff>
      <xdr:row>328</xdr:row>
      <xdr:rowOff>129540</xdr:rowOff>
    </xdr:to>
    <xdr:pic>
      <xdr:nvPicPr>
        <xdr:cNvPr id="797" name="ballot box, clear" hidden="1">
          <a:extLst>
            <a:ext uri="{FF2B5EF4-FFF2-40B4-BE49-F238E27FC236}">
              <a16:creationId xmlns:a16="http://schemas.microsoft.com/office/drawing/2014/main" id="{00000000-0008-0000-0100-00001D03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1792158" y="66240660"/>
          <a:ext cx="2650448" cy="2087880"/>
        </a:xfrm>
        <a:prstGeom prst="rect">
          <a:avLst/>
        </a:prstGeom>
      </xdr:spPr>
    </xdr:pic>
    <xdr:clientData/>
  </xdr:twoCellAnchor>
  <xdr:twoCellAnchor editAs="oneCell">
    <xdr:from>
      <xdr:col>18</xdr:col>
      <xdr:colOff>29865</xdr:colOff>
      <xdr:row>350</xdr:row>
      <xdr:rowOff>205740</xdr:rowOff>
    </xdr:from>
    <xdr:to>
      <xdr:col>30</xdr:col>
      <xdr:colOff>566111</xdr:colOff>
      <xdr:row>358</xdr:row>
      <xdr:rowOff>228873</xdr:rowOff>
    </xdr:to>
    <xdr:pic>
      <xdr:nvPicPr>
        <xdr:cNvPr id="798" name="overgen yield sign" hidden="1">
          <a:extLst>
            <a:ext uri="{FF2B5EF4-FFF2-40B4-BE49-F238E27FC236}">
              <a16:creationId xmlns:a16="http://schemas.microsoft.com/office/drawing/2014/main" id="{00000000-0008-0000-0100-00001E03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916565" y="73731120"/>
          <a:ext cx="2044391" cy="1813833"/>
        </a:xfrm>
        <a:prstGeom prst="rect">
          <a:avLst/>
        </a:prstGeom>
      </xdr:spPr>
    </xdr:pic>
    <xdr:clientData/>
  </xdr:twoCellAnchor>
  <xdr:twoCellAnchor>
    <xdr:from>
      <xdr:col>0</xdr:col>
      <xdr:colOff>99060</xdr:colOff>
      <xdr:row>366</xdr:row>
      <xdr:rowOff>182880</xdr:rowOff>
    </xdr:from>
    <xdr:to>
      <xdr:col>12</xdr:col>
      <xdr:colOff>373380</xdr:colOff>
      <xdr:row>372</xdr:row>
      <xdr:rowOff>91440</xdr:rowOff>
    </xdr:to>
    <xdr:grpSp>
      <xdr:nvGrpSpPr>
        <xdr:cNvPr id="821" name="overgeneralizing arguments">
          <a:extLst>
            <a:ext uri="{FF2B5EF4-FFF2-40B4-BE49-F238E27FC236}">
              <a16:creationId xmlns:a16="http://schemas.microsoft.com/office/drawing/2014/main" id="{00000000-0008-0000-0100-000035030000}"/>
            </a:ext>
          </a:extLst>
        </xdr:cNvPr>
        <xdr:cNvGrpSpPr/>
      </xdr:nvGrpSpPr>
      <xdr:grpSpPr>
        <a:xfrm>
          <a:off x="99060" y="88452960"/>
          <a:ext cx="5920740" cy="1737360"/>
          <a:chOff x="152400" y="70363080"/>
          <a:chExt cx="5920740" cy="1836420"/>
        </a:xfrm>
      </xdr:grpSpPr>
      <xdr:sp macro="" textlink="">
        <xdr:nvSpPr>
          <xdr:cNvPr id="819" name="Rectangle: Rounded Corners 818">
            <a:extLst>
              <a:ext uri="{FF2B5EF4-FFF2-40B4-BE49-F238E27FC236}">
                <a16:creationId xmlns:a16="http://schemas.microsoft.com/office/drawing/2014/main" id="{00000000-0008-0000-0100-000033030000}"/>
              </a:ext>
            </a:extLst>
          </xdr:cNvPr>
          <xdr:cNvSpPr/>
        </xdr:nvSpPr>
        <xdr:spPr>
          <a:xfrm>
            <a:off x="152400" y="70363080"/>
            <a:ext cx="5920740" cy="1836420"/>
          </a:xfrm>
          <a:prstGeom prst="roundRect">
            <a:avLst>
              <a:gd name="adj" fmla="val 50000"/>
            </a:avLst>
          </a:prstGeom>
          <a:gradFill flip="none" rotWithShape="1">
            <a:gsLst>
              <a:gs pos="0">
                <a:srgbClr val="002060"/>
              </a:gs>
              <a:gs pos="100000">
                <a:srgbClr val="910000"/>
              </a:gs>
            </a:gsLst>
            <a:lin ang="0" scaled="1"/>
            <a:tileRect/>
          </a:gra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US" sz="1100"/>
          </a:p>
        </xdr:txBody>
      </xdr:sp>
      <xdr:sp macro="" textlink="">
        <xdr:nvSpPr>
          <xdr:cNvPr id="800" name="Rectangle: Rounded Corners 799">
            <a:extLst>
              <a:ext uri="{FF2B5EF4-FFF2-40B4-BE49-F238E27FC236}">
                <a16:creationId xmlns:a16="http://schemas.microsoft.com/office/drawing/2014/main" id="{00000000-0008-0000-0100-000020030000}"/>
              </a:ext>
            </a:extLst>
          </xdr:cNvPr>
          <xdr:cNvSpPr/>
        </xdr:nvSpPr>
        <xdr:spPr>
          <a:xfrm>
            <a:off x="152400" y="70698360"/>
            <a:ext cx="5920740" cy="1188720"/>
          </a:xfrm>
          <a:prstGeom prst="roundRect">
            <a:avLst>
              <a:gd name="adj" fmla="val 50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US" sz="1100"/>
          </a:p>
        </xdr:txBody>
      </xdr:sp>
      <xdr:pic>
        <xdr:nvPicPr>
          <xdr:cNvPr id="801" name="liberal in blue">
            <a:extLst>
              <a:ext uri="{FF2B5EF4-FFF2-40B4-BE49-F238E27FC236}">
                <a16:creationId xmlns:a16="http://schemas.microsoft.com/office/drawing/2014/main" id="{00000000-0008-0000-0100-00002103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19621" y="70492200"/>
            <a:ext cx="723665" cy="1595400"/>
          </a:xfrm>
          <a:prstGeom prst="rect">
            <a:avLst/>
          </a:prstGeom>
        </xdr:spPr>
      </xdr:pic>
      <xdr:pic>
        <xdr:nvPicPr>
          <xdr:cNvPr id="802" name="conservative in red">
            <a:extLst>
              <a:ext uri="{FF2B5EF4-FFF2-40B4-BE49-F238E27FC236}">
                <a16:creationId xmlns:a16="http://schemas.microsoft.com/office/drawing/2014/main" id="{00000000-0008-0000-0100-00002203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942560" y="70482180"/>
            <a:ext cx="1007841" cy="1595400"/>
          </a:xfrm>
          <a:prstGeom prst="rect">
            <a:avLst/>
          </a:prstGeom>
        </xdr:spPr>
      </xdr:pic>
      <xdr:pic>
        <xdr:nvPicPr>
          <xdr:cNvPr id="814" name="overgen statements">
            <a:extLst>
              <a:ext uri="{FF2B5EF4-FFF2-40B4-BE49-F238E27FC236}">
                <a16:creationId xmlns:a16="http://schemas.microsoft.com/office/drawing/2014/main" id="{00000000-0008-0000-0100-00002E03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933080" y="70703580"/>
            <a:ext cx="2395080" cy="1197540"/>
          </a:xfrm>
          <a:prstGeom prst="rect">
            <a:avLst/>
          </a:prstGeom>
        </xdr:spPr>
      </xdr:pic>
      <xdr:pic>
        <xdr:nvPicPr>
          <xdr:cNvPr id="803" name="arguing triggers defensive...">
            <a:extLst>
              <a:ext uri="{FF2B5EF4-FFF2-40B4-BE49-F238E27FC236}">
                <a16:creationId xmlns:a16="http://schemas.microsoft.com/office/drawing/2014/main" id="{00000000-0008-0000-0100-00002303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54380" y="70395192"/>
            <a:ext cx="4549140" cy="1804308"/>
          </a:xfrm>
          <a:prstGeom prst="rect">
            <a:avLst/>
          </a:prstGeom>
        </xdr:spPr>
      </xdr:pic>
    </xdr:grpSp>
    <xdr:clientData/>
  </xdr:twoCellAnchor>
  <xdr:twoCellAnchor>
    <xdr:from>
      <xdr:col>15</xdr:col>
      <xdr:colOff>22860</xdr:colOff>
      <xdr:row>373</xdr:row>
      <xdr:rowOff>45720</xdr:rowOff>
    </xdr:from>
    <xdr:to>
      <xdr:col>26</xdr:col>
      <xdr:colOff>434340</xdr:colOff>
      <xdr:row>383</xdr:row>
      <xdr:rowOff>22860</xdr:rowOff>
    </xdr:to>
    <xdr:sp macro="" textlink="">
      <xdr:nvSpPr>
        <xdr:cNvPr id="822" name="TextBox 821">
          <a:extLst>
            <a:ext uri="{FF2B5EF4-FFF2-40B4-BE49-F238E27FC236}">
              <a16:creationId xmlns:a16="http://schemas.microsoft.com/office/drawing/2014/main" id="{00000000-0008-0000-0100-000036030000}"/>
            </a:ext>
          </a:extLst>
        </xdr:cNvPr>
        <xdr:cNvSpPr txBox="1"/>
      </xdr:nvSpPr>
      <xdr:spPr>
        <a:xfrm>
          <a:off x="6400800" y="72565260"/>
          <a:ext cx="5943600" cy="249174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Any attachment your client has to political generalizations is likely fueled by pain of unresolved needs. Instead of challenging your client's generalizing, invite them to get a little more specific. If they support the view to [AN1117], or something like it, ask what that would do for them if allowed to come to past. Would that satisfy their apparent need for [AK1117]?</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This process of stepping gradually away from trusted generalizations is called </a:t>
          </a:r>
          <a:r>
            <a:rPr lang="en-US" sz="1200" b="1" baseline="0">
              <a:solidFill>
                <a:schemeClr val="dk1"/>
              </a:solidFill>
              <a:latin typeface="Cambria" panose="02040503050406030204" pitchFamily="18" charset="0"/>
              <a:ea typeface="Cambria" panose="02040503050406030204" pitchFamily="18" charset="0"/>
              <a:cs typeface="+mn-cs"/>
            </a:rPr>
            <a:t>degeneralizing</a:t>
          </a:r>
          <a:r>
            <a:rPr lang="en-US" sz="1200" baseline="0">
              <a:solidFill>
                <a:schemeClr val="dk1"/>
              </a:solidFill>
              <a:latin typeface="Cambria" panose="02040503050406030204" pitchFamily="18" charset="0"/>
              <a:ea typeface="Cambria" panose="02040503050406030204" pitchFamily="18" charset="0"/>
              <a:cs typeface="+mn-cs"/>
            </a:rPr>
            <a:t>. Instead of bouncing back and forth between generalizations, you guide their transition from trusted generalizing to something a little less general. You support their shift from pain-avoiding generalizations to need-resolving specifics, one gentle step at a time. You add some disinfecting sunlight to what fuels their exaggerations, their unresolved needs. You help them remove the poison of alienation.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latin typeface="Cambria" panose="02040503050406030204" pitchFamily="18" charset="0"/>
            <a:ea typeface="Cambria" panose="02040503050406030204" pitchFamily="18" charset="0"/>
          </a:endParaRPr>
        </a:p>
      </xdr:txBody>
    </xdr:sp>
    <xdr:clientData/>
  </xdr:twoCellAnchor>
  <xdr:twoCellAnchor>
    <xdr:from>
      <xdr:col>15</xdr:col>
      <xdr:colOff>60960</xdr:colOff>
      <xdr:row>451</xdr:row>
      <xdr:rowOff>182880</xdr:rowOff>
    </xdr:from>
    <xdr:to>
      <xdr:col>26</xdr:col>
      <xdr:colOff>472440</xdr:colOff>
      <xdr:row>457</xdr:row>
      <xdr:rowOff>152400</xdr:rowOff>
    </xdr:to>
    <xdr:sp macro="" textlink="">
      <xdr:nvSpPr>
        <xdr:cNvPr id="823" name="TextBox 822">
          <a:extLst>
            <a:ext uri="{FF2B5EF4-FFF2-40B4-BE49-F238E27FC236}">
              <a16:creationId xmlns:a16="http://schemas.microsoft.com/office/drawing/2014/main" id="{00000000-0008-0000-0100-000037030000}"/>
            </a:ext>
          </a:extLst>
        </xdr:cNvPr>
        <xdr:cNvSpPr txBox="1"/>
      </xdr:nvSpPr>
      <xdr:spPr>
        <a:xfrm>
          <a:off x="6438900" y="108264960"/>
          <a:ext cx="5943600" cy="13030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This process of going deeper to connect both sides is called </a:t>
          </a:r>
          <a:r>
            <a:rPr lang="en-US" sz="1200" b="1" baseline="0">
              <a:solidFill>
                <a:schemeClr val="dk1"/>
              </a:solidFill>
              <a:latin typeface="Cambria" panose="02040503050406030204" pitchFamily="18" charset="0"/>
              <a:ea typeface="Cambria" panose="02040503050406030204" pitchFamily="18" charset="0"/>
              <a:cs typeface="+mn-cs"/>
            </a:rPr>
            <a:t>dealienating</a:t>
          </a:r>
          <a:r>
            <a:rPr lang="en-US" sz="1200" baseline="0">
              <a:solidFill>
                <a:schemeClr val="dk1"/>
              </a:solidFill>
              <a:latin typeface="Cambria" panose="02040503050406030204" pitchFamily="18" charset="0"/>
              <a:ea typeface="Cambria" panose="02040503050406030204" pitchFamily="18" charset="0"/>
              <a:cs typeface="+mn-cs"/>
            </a:rPr>
            <a:t>. Instead of settling for alienating norms, you guide your client to transition from disappointing expectations of others to knowing what you can actually do for each other. You support their shift from normative alienation to mutual expression of affected needs. You help them upend the status quo of political leaders dictating what they should believe and do. You help them reverse the trap of sliding into political polarization.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latin typeface="Cambria" panose="02040503050406030204" pitchFamily="18" charset="0"/>
            <a:ea typeface="Cambria" panose="02040503050406030204" pitchFamily="18" charset="0"/>
          </a:endParaRPr>
        </a:p>
      </xdr:txBody>
    </xdr:sp>
    <xdr:clientData/>
  </xdr:twoCellAnchor>
  <xdr:twoCellAnchor>
    <xdr:from>
      <xdr:col>15</xdr:col>
      <xdr:colOff>0</xdr:colOff>
      <xdr:row>302</xdr:row>
      <xdr:rowOff>15240</xdr:rowOff>
    </xdr:from>
    <xdr:to>
      <xdr:col>26</xdr:col>
      <xdr:colOff>411480</xdr:colOff>
      <xdr:row>307</xdr:row>
      <xdr:rowOff>152400</xdr:rowOff>
    </xdr:to>
    <xdr:sp macro="" textlink="">
      <xdr:nvSpPr>
        <xdr:cNvPr id="824" name="TextBox 823">
          <a:extLst>
            <a:ext uri="{FF2B5EF4-FFF2-40B4-BE49-F238E27FC236}">
              <a16:creationId xmlns:a16="http://schemas.microsoft.com/office/drawing/2014/main" id="{00000000-0008-0000-0100-000038030000}"/>
            </a:ext>
          </a:extLst>
        </xdr:cNvPr>
        <xdr:cNvSpPr txBox="1"/>
      </xdr:nvSpPr>
      <xdr:spPr>
        <a:xfrm>
          <a:off x="6377940" y="73715880"/>
          <a:ext cx="5943600" cy="120396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Popular politics tempts us to be disivisive. We are told we must each take a packaged side, generalizations and all. We are to skip any nuance to hold our coalition together. Staying neutral, they say, makes us complicit with the wrong side. We must fight for what we know is right, after accepting the generalization that others with an opposing priority of needs must be wrong. But you realize soon enough how opposing what another needs does not extinguish moral conflict, but enflames it.</a:t>
          </a:r>
        </a:p>
      </xdr:txBody>
    </xdr:sp>
    <xdr:clientData/>
  </xdr:twoCellAnchor>
  <xdr:twoCellAnchor>
    <xdr:from>
      <xdr:col>15</xdr:col>
      <xdr:colOff>22860</xdr:colOff>
      <xdr:row>530</xdr:row>
      <xdr:rowOff>38100</xdr:rowOff>
    </xdr:from>
    <xdr:to>
      <xdr:col>26</xdr:col>
      <xdr:colOff>434340</xdr:colOff>
      <xdr:row>536</xdr:row>
      <xdr:rowOff>0</xdr:rowOff>
    </xdr:to>
    <xdr:sp macro="" textlink="">
      <xdr:nvSpPr>
        <xdr:cNvPr id="831" name="TextBox 830">
          <a:extLst>
            <a:ext uri="{FF2B5EF4-FFF2-40B4-BE49-F238E27FC236}">
              <a16:creationId xmlns:a16="http://schemas.microsoft.com/office/drawing/2014/main" id="{00000000-0008-0000-0100-00003F030000}"/>
            </a:ext>
          </a:extLst>
        </xdr:cNvPr>
        <xdr:cNvSpPr txBox="1"/>
      </xdr:nvSpPr>
      <xdr:spPr>
        <a:xfrm>
          <a:off x="6400800" y="125288040"/>
          <a:ext cx="5943600" cy="12801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This process of conciliating both sides is called </a:t>
          </a:r>
          <a:r>
            <a:rPr lang="en-US" sz="1200" b="1" baseline="0">
              <a:solidFill>
                <a:schemeClr val="dk1"/>
              </a:solidFill>
              <a:latin typeface="Cambria" panose="02040503050406030204" pitchFamily="18" charset="0"/>
              <a:ea typeface="Cambria" panose="02040503050406030204" pitchFamily="18" charset="0"/>
              <a:cs typeface="+mn-cs"/>
            </a:rPr>
            <a:t>depolarizing</a:t>
          </a:r>
          <a:r>
            <a:rPr lang="en-US" sz="1200" baseline="0">
              <a:solidFill>
                <a:schemeClr val="dk1"/>
              </a:solidFill>
              <a:latin typeface="Cambria" panose="02040503050406030204" pitchFamily="18" charset="0"/>
              <a:ea typeface="Cambria" panose="02040503050406030204" pitchFamily="18" charset="0"/>
              <a:cs typeface="+mn-cs"/>
            </a:rPr>
            <a:t>. Instead of pitting one side's priority of needs against the other's priority of needs, you guide your client to recognize the pressing needs on both sides of the issue. You support their shift from </a:t>
          </a:r>
          <a:r>
            <a:rPr lang="en-US" sz="1200" i="1" baseline="0">
              <a:solidFill>
                <a:schemeClr val="dk1"/>
              </a:solidFill>
              <a:latin typeface="Cambria" panose="02040503050406030204" pitchFamily="18" charset="0"/>
              <a:ea typeface="Cambria" panose="02040503050406030204" pitchFamily="18" charset="0"/>
              <a:cs typeface="+mn-cs"/>
            </a:rPr>
            <a:t>mutual hostilities </a:t>
          </a:r>
          <a:r>
            <a:rPr lang="en-US" sz="1200" baseline="0">
              <a:solidFill>
                <a:schemeClr val="dk1"/>
              </a:solidFill>
              <a:latin typeface="Cambria" panose="02040503050406030204" pitchFamily="18" charset="0"/>
              <a:ea typeface="Cambria" panose="02040503050406030204" pitchFamily="18" charset="0"/>
              <a:cs typeface="+mn-cs"/>
            </a:rPr>
            <a:t>to </a:t>
          </a:r>
          <a:r>
            <a:rPr lang="en-US" sz="1200" b="0" i="1" baseline="0">
              <a:solidFill>
                <a:schemeClr val="dk1"/>
              </a:solidFill>
              <a:latin typeface="Cambria" panose="02040503050406030204" pitchFamily="18" charset="0"/>
              <a:ea typeface="Cambria" panose="02040503050406030204" pitchFamily="18" charset="0"/>
              <a:cs typeface="+mn-cs"/>
            </a:rPr>
            <a:t>mutual resolution of relevant needs</a:t>
          </a:r>
          <a:r>
            <a:rPr lang="en-US" sz="1200" baseline="0">
              <a:solidFill>
                <a:schemeClr val="dk1"/>
              </a:solidFill>
              <a:latin typeface="Cambria" panose="02040503050406030204" pitchFamily="18" charset="0"/>
              <a:ea typeface="Cambria" panose="02040503050406030204" pitchFamily="18" charset="0"/>
              <a:cs typeface="+mn-cs"/>
            </a:rPr>
            <a:t>. You help them connect resolution of their publicly affected needs with the other side being able to resolve their publicly affected needs. You help them spread some need-resolving love.</a:t>
          </a:r>
        </a:p>
        <a:p>
          <a:endParaRPr lang="en-US" sz="1200" baseline="0">
            <a:latin typeface="Cambria" panose="02040503050406030204" pitchFamily="18" charset="0"/>
            <a:ea typeface="Cambria" panose="02040503050406030204" pitchFamily="18" charset="0"/>
          </a:endParaRPr>
        </a:p>
      </xdr:txBody>
    </xdr:sp>
    <xdr:clientData/>
  </xdr:twoCellAnchor>
  <xdr:twoCellAnchor editAs="oneCell">
    <xdr:from>
      <xdr:col>1</xdr:col>
      <xdr:colOff>22860</xdr:colOff>
      <xdr:row>520</xdr:row>
      <xdr:rowOff>0</xdr:rowOff>
    </xdr:from>
    <xdr:to>
      <xdr:col>12</xdr:col>
      <xdr:colOff>480060</xdr:colOff>
      <xdr:row>530</xdr:row>
      <xdr:rowOff>7621</xdr:rowOff>
    </xdr:to>
    <xdr:pic>
      <xdr:nvPicPr>
        <xdr:cNvPr id="834" name="Picture 833">
          <a:extLst>
            <a:ext uri="{FF2B5EF4-FFF2-40B4-BE49-F238E27FC236}">
              <a16:creationId xmlns:a16="http://schemas.microsoft.com/office/drawing/2014/main" id="{00000000-0008-0000-0100-000042030000}"/>
            </a:ext>
          </a:extLst>
        </xdr:cNvPr>
        <xdr:cNvPicPr>
          <a:picLocks noChangeAspect="1"/>
        </xdr:cNvPicPr>
      </xdr:nvPicPr>
      <xdr:blipFill>
        <a:blip xmlns:r="http://schemas.openxmlformats.org/officeDocument/2006/relationships" r:embed="rId16"/>
        <a:stretch>
          <a:fillRect/>
        </a:stretch>
      </xdr:blipFill>
      <xdr:spPr>
        <a:xfrm>
          <a:off x="137160" y="123238260"/>
          <a:ext cx="5989320" cy="2331721"/>
        </a:xfrm>
        <a:prstGeom prst="rect">
          <a:avLst/>
        </a:prstGeom>
        <a:effectLst>
          <a:outerShdw blurRad="50800" dist="38100" dir="5400000" algn="t" rotWithShape="0">
            <a:prstClr val="black">
              <a:alpha val="40000"/>
            </a:prstClr>
          </a:outerShdw>
        </a:effectLst>
      </xdr:spPr>
    </xdr:pic>
    <xdr:clientData/>
  </xdr:twoCellAnchor>
  <xdr:twoCellAnchor>
    <xdr:from>
      <xdr:col>15</xdr:col>
      <xdr:colOff>30480</xdr:colOff>
      <xdr:row>117</xdr:row>
      <xdr:rowOff>0</xdr:rowOff>
    </xdr:from>
    <xdr:to>
      <xdr:col>26</xdr:col>
      <xdr:colOff>441960</xdr:colOff>
      <xdr:row>123</xdr:row>
      <xdr:rowOff>114300</xdr:rowOff>
    </xdr:to>
    <xdr:sp macro="" textlink="">
      <xdr:nvSpPr>
        <xdr:cNvPr id="846" name="TextBox 845">
          <a:extLst>
            <a:ext uri="{FF2B5EF4-FFF2-40B4-BE49-F238E27FC236}">
              <a16:creationId xmlns:a16="http://schemas.microsoft.com/office/drawing/2014/main" id="{00000000-0008-0000-0100-00004E030000}"/>
            </a:ext>
          </a:extLst>
        </xdr:cNvPr>
        <xdr:cNvSpPr txBox="1"/>
      </xdr:nvSpPr>
      <xdr:spPr>
        <a:xfrm>
          <a:off x="6408420" y="32004000"/>
          <a:ext cx="5943600" cy="15316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Politics runs thick with generalizing. Your specific experiences in life may resist fitting neatly into the liberal-conservative divide. Your client may also defy simple categorizing. A client may present a liberal position on one issue and a more conservative stance on other issues. After engaging others of an opposing political side and empathizing with their affected needs, your client may shift their position. Your client may be processing their feelings and beliefs about a hot botton issue right now, using you as a sounding board. With all that in mind, let this serve as a rule of thumb. Let us move beyond popular politics. </a:t>
          </a:r>
        </a:p>
        <a:p>
          <a:endParaRPr lang="en-US" sz="1050" baseline="0">
            <a:solidFill>
              <a:schemeClr val="dk1"/>
            </a:solidFill>
            <a:latin typeface="Arial Narrow" panose="020B0606020202030204" pitchFamily="34" charset="0"/>
            <a:ea typeface="+mn-ea"/>
            <a:cs typeface="+mn-cs"/>
          </a:endParaRPr>
        </a:p>
      </xdr:txBody>
    </xdr:sp>
    <xdr:clientData/>
  </xdr:twoCellAnchor>
  <xdr:oneCellAnchor>
    <xdr:from>
      <xdr:col>0</xdr:col>
      <xdr:colOff>64628</xdr:colOff>
      <xdr:row>22</xdr:row>
      <xdr:rowOff>136975</xdr:rowOff>
    </xdr:from>
    <xdr:ext cx="5943600" cy="998405"/>
    <xdr:sp macro="" textlink="">
      <xdr:nvSpPr>
        <xdr:cNvPr id="847" name="Rectangle 846">
          <a:hlinkClick xmlns:r="http://schemas.openxmlformats.org/officeDocument/2006/relationships" r:id="rId17" tooltip="to next page"/>
          <a:extLst>
            <a:ext uri="{FF2B5EF4-FFF2-40B4-BE49-F238E27FC236}">
              <a16:creationId xmlns:a16="http://schemas.microsoft.com/office/drawing/2014/main" id="{00000000-0008-0000-0100-00004F030000}"/>
            </a:ext>
          </a:extLst>
        </xdr:cNvPr>
        <xdr:cNvSpPr/>
      </xdr:nvSpPr>
      <xdr:spPr>
        <a:xfrm>
          <a:off x="64628" y="8572315"/>
          <a:ext cx="5943600" cy="998405"/>
        </a:xfrm>
        <a:prstGeom prst="rect">
          <a:avLst/>
        </a:prstGeom>
        <a:noFill/>
      </xdr:spPr>
      <xdr:txBody>
        <a:bodyPr wrap="square" lIns="91440" tIns="45720" rIns="91440" bIns="45720">
          <a:noAutofit/>
        </a:bodyPr>
        <a:lstStyle/>
        <a:p>
          <a:pPr algn="l">
            <a:spcAft>
              <a:spcPts val="600"/>
            </a:spcAft>
          </a:pPr>
          <a:r>
            <a:rPr lang="en-US" sz="24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What can this do for</a:t>
          </a:r>
          <a:r>
            <a:rPr lang="en-US" sz="2400" b="1"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as a counselor?</a:t>
          </a:r>
          <a:endParaRPr lang="en-US" sz="32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l">
            <a:spcBef>
              <a:spcPts val="600"/>
            </a:spcBef>
            <a:spcAft>
              <a:spcPts val="600"/>
            </a:spcAft>
          </a:pP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Translate your client's political views into their sensitive needs.</a:t>
          </a:r>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0</xdr:col>
      <xdr:colOff>82926</xdr:colOff>
      <xdr:row>480</xdr:row>
      <xdr:rowOff>259103</xdr:rowOff>
    </xdr:from>
    <xdr:to>
      <xdr:col>13</xdr:col>
      <xdr:colOff>24356</xdr:colOff>
      <xdr:row>485</xdr:row>
      <xdr:rowOff>134135</xdr:rowOff>
    </xdr:to>
    <xdr:grpSp>
      <xdr:nvGrpSpPr>
        <xdr:cNvPr id="1205" name="Group 1204">
          <a:extLst>
            <a:ext uri="{FF2B5EF4-FFF2-40B4-BE49-F238E27FC236}">
              <a16:creationId xmlns:a16="http://schemas.microsoft.com/office/drawing/2014/main" id="{00000000-0008-0000-0100-0000B5040000}"/>
            </a:ext>
          </a:extLst>
        </xdr:cNvPr>
        <xdr:cNvGrpSpPr/>
      </xdr:nvGrpSpPr>
      <xdr:grpSpPr>
        <a:xfrm>
          <a:off x="82926" y="114856283"/>
          <a:ext cx="6090770" cy="850392"/>
          <a:chOff x="83820" y="97465892"/>
          <a:chExt cx="6088380" cy="1228348"/>
        </a:xfrm>
      </xdr:grpSpPr>
      <xdr:pic>
        <xdr:nvPicPr>
          <xdr:cNvPr id="927" name="Picture 926">
            <a:extLst>
              <a:ext uri="{FF2B5EF4-FFF2-40B4-BE49-F238E27FC236}">
                <a16:creationId xmlns:a16="http://schemas.microsoft.com/office/drawing/2014/main" id="{00000000-0008-0000-0100-00009F03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401387" y="97478732"/>
            <a:ext cx="747952" cy="1120074"/>
          </a:xfrm>
          <a:prstGeom prst="rect">
            <a:avLst/>
          </a:prstGeom>
        </xdr:spPr>
      </xdr:pic>
      <xdr:pic>
        <xdr:nvPicPr>
          <xdr:cNvPr id="926" name="Picture 925">
            <a:extLst>
              <a:ext uri="{FF2B5EF4-FFF2-40B4-BE49-F238E27FC236}">
                <a16:creationId xmlns:a16="http://schemas.microsoft.com/office/drawing/2014/main" id="{00000000-0008-0000-0100-00009E03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44769" y="97465892"/>
            <a:ext cx="754965" cy="1120074"/>
          </a:xfrm>
          <a:prstGeom prst="rect">
            <a:avLst/>
          </a:prstGeom>
        </xdr:spPr>
      </xdr:pic>
      <xdr:grpSp>
        <xdr:nvGrpSpPr>
          <xdr:cNvPr id="851" name="Group 850">
            <a:extLst>
              <a:ext uri="{FF2B5EF4-FFF2-40B4-BE49-F238E27FC236}">
                <a16:creationId xmlns:a16="http://schemas.microsoft.com/office/drawing/2014/main" id="{00000000-0008-0000-0100-000053030000}"/>
              </a:ext>
            </a:extLst>
          </xdr:cNvPr>
          <xdr:cNvGrpSpPr/>
        </xdr:nvGrpSpPr>
        <xdr:grpSpPr>
          <a:xfrm>
            <a:off x="83820" y="97467420"/>
            <a:ext cx="6088380" cy="1226820"/>
            <a:chOff x="83820" y="97322640"/>
            <a:chExt cx="6088380" cy="1226820"/>
          </a:xfrm>
        </xdr:grpSpPr>
        <xdr:pic>
          <xdr:nvPicPr>
            <xdr:cNvPr id="848" name="Picture 847">
              <a:extLst>
                <a:ext uri="{FF2B5EF4-FFF2-40B4-BE49-F238E27FC236}">
                  <a16:creationId xmlns:a16="http://schemas.microsoft.com/office/drawing/2014/main" id="{00000000-0008-0000-0100-00005003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946538" y="97322640"/>
              <a:ext cx="1012518" cy="1143000"/>
            </a:xfrm>
            <a:prstGeom prst="rect">
              <a:avLst/>
            </a:prstGeom>
          </xdr:spPr>
        </xdr:pic>
        <xdr:pic>
          <xdr:nvPicPr>
            <xdr:cNvPr id="849" name="Picture 848">
              <a:extLst>
                <a:ext uri="{FF2B5EF4-FFF2-40B4-BE49-F238E27FC236}">
                  <a16:creationId xmlns:a16="http://schemas.microsoft.com/office/drawing/2014/main" id="{00000000-0008-0000-0100-00005103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310641" y="97335480"/>
              <a:ext cx="1005856" cy="1143000"/>
            </a:xfrm>
            <a:prstGeom prst="rect">
              <a:avLst/>
            </a:prstGeom>
          </xdr:spPr>
        </xdr:pic>
        <xdr:pic>
          <xdr:nvPicPr>
            <xdr:cNvPr id="850" name="Picture 849" descr="Bridge, Water, River, Crossing, Limit, Danube, Stream">
              <a:extLst>
                <a:ext uri="{FF2B5EF4-FFF2-40B4-BE49-F238E27FC236}">
                  <a16:creationId xmlns:a16="http://schemas.microsoft.com/office/drawing/2014/main" id="{00000000-0008-0000-0100-000052030000}"/>
                </a:ext>
              </a:extLst>
            </xdr:cNvPr>
            <xdr:cNvPicPr>
              <a:picLocks noChangeAspect="1" noChangeArrowheads="1"/>
            </xdr:cNvPicPr>
          </xdr:nvPicPr>
          <xdr:blipFill rotWithShape="1">
            <a:blip xmlns:r="http://schemas.openxmlformats.org/officeDocument/2006/relationships" r:embed="rId22">
              <a:duotone>
                <a:prstClr val="black"/>
                <a:srgbClr val="FFCCFF">
                  <a:tint val="45000"/>
                  <a:satMod val="400000"/>
                </a:srgbClr>
              </a:duotone>
              <a:extLst>
                <a:ext uri="{28A0092B-C50C-407E-A947-70E740481C1C}">
                  <a14:useLocalDpi xmlns:a14="http://schemas.microsoft.com/office/drawing/2010/main" val="0"/>
                </a:ext>
              </a:extLst>
            </a:blip>
            <a:srcRect t="23666" b="24000"/>
            <a:stretch/>
          </xdr:blipFill>
          <xdr:spPr bwMode="auto">
            <a:xfrm>
              <a:off x="83820" y="97502662"/>
              <a:ext cx="6088380" cy="1046798"/>
            </a:xfrm>
            <a:prstGeom prst="rect">
              <a:avLst/>
            </a:prstGeom>
            <a:noFill/>
            <a:effectLst>
              <a:outerShdw blurRad="50800" dist="38100" dir="5400000" algn="t"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grpSp>
    </xdr:grpSp>
    <xdr:clientData/>
  </xdr:twoCellAnchor>
  <xdr:twoCellAnchor>
    <xdr:from>
      <xdr:col>1</xdr:col>
      <xdr:colOff>64293</xdr:colOff>
      <xdr:row>549</xdr:row>
      <xdr:rowOff>106680</xdr:rowOff>
    </xdr:from>
    <xdr:to>
      <xdr:col>3</xdr:col>
      <xdr:colOff>430053</xdr:colOff>
      <xdr:row>554</xdr:row>
      <xdr:rowOff>228600</xdr:rowOff>
    </xdr:to>
    <xdr:grpSp>
      <xdr:nvGrpSpPr>
        <xdr:cNvPr id="950" name="Group 949">
          <a:extLst>
            <a:ext uri="{FF2B5EF4-FFF2-40B4-BE49-F238E27FC236}">
              <a16:creationId xmlns:a16="http://schemas.microsoft.com/office/drawing/2014/main" id="{00000000-0008-0000-0100-0000B6030000}"/>
            </a:ext>
          </a:extLst>
        </xdr:cNvPr>
        <xdr:cNvGrpSpPr/>
      </xdr:nvGrpSpPr>
      <xdr:grpSpPr>
        <a:xfrm>
          <a:off x="178593" y="130515360"/>
          <a:ext cx="1371600" cy="1379220"/>
          <a:chOff x="16954500" y="214624920"/>
          <a:chExt cx="1371600" cy="1371600"/>
        </a:xfrm>
      </xdr:grpSpPr>
      <xdr:sp macro="" textlink="">
        <xdr:nvSpPr>
          <xdr:cNvPr id="956" name="Octagon 955">
            <a:extLst>
              <a:ext uri="{FF2B5EF4-FFF2-40B4-BE49-F238E27FC236}">
                <a16:creationId xmlns:a16="http://schemas.microsoft.com/office/drawing/2014/main" id="{00000000-0008-0000-0100-0000BC030000}"/>
              </a:ext>
            </a:extLst>
          </xdr:cNvPr>
          <xdr:cNvSpPr/>
        </xdr:nvSpPr>
        <xdr:spPr>
          <a:xfrm>
            <a:off x="16954500" y="214624920"/>
            <a:ext cx="1371600" cy="1371600"/>
          </a:xfrm>
          <a:prstGeom prst="octagon">
            <a:avLst>
              <a:gd name="adj" fmla="val 27774"/>
            </a:avLst>
          </a:prstGeom>
          <a:solidFill>
            <a:srgbClr val="FF5050"/>
          </a:solidFill>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cap="none" spc="0">
                <a:ln w="10160">
                  <a:solidFill>
                    <a:srgbClr val="FF505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painful emotion reports unresolved need</a:t>
            </a:r>
          </a:p>
        </xdr:txBody>
      </xdr:sp>
      <xdr:sp macro="" textlink="">
        <xdr:nvSpPr>
          <xdr:cNvPr id="957" name="Octagon 956">
            <a:extLst>
              <a:ext uri="{FF2B5EF4-FFF2-40B4-BE49-F238E27FC236}">
                <a16:creationId xmlns:a16="http://schemas.microsoft.com/office/drawing/2014/main" id="{00000000-0008-0000-0100-0000BD030000}"/>
              </a:ext>
            </a:extLst>
          </xdr:cNvPr>
          <xdr:cNvSpPr>
            <a:spLocks noChangeAspect="1"/>
          </xdr:cNvSpPr>
        </xdr:nvSpPr>
        <xdr:spPr>
          <a:xfrm>
            <a:off x="17045940" y="214716360"/>
            <a:ext cx="1188720" cy="1188720"/>
          </a:xfrm>
          <a:prstGeom prst="octagon">
            <a:avLst>
              <a:gd name="adj" fmla="val 27774"/>
            </a:avLst>
          </a:prstGeom>
          <a:noFill/>
          <a:ln w="28575">
            <a:solidFill>
              <a:srgbClr val="FFFF00"/>
            </a:solidFill>
          </a:ln>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endParaRPr lang="en-US" sz="1200" b="1" cap="none" spc="0">
              <a:ln w="10160">
                <a:solidFill>
                  <a:srgbClr val="FF505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15</xdr:col>
      <xdr:colOff>49531</xdr:colOff>
      <xdr:row>549</xdr:row>
      <xdr:rowOff>38100</xdr:rowOff>
    </xdr:from>
    <xdr:to>
      <xdr:col>26</xdr:col>
      <xdr:colOff>461011</xdr:colOff>
      <xdr:row>553</xdr:row>
      <xdr:rowOff>53340</xdr:rowOff>
    </xdr:to>
    <xdr:sp macro="" textlink="">
      <xdr:nvSpPr>
        <xdr:cNvPr id="964" name="TextBox 963">
          <a:extLst>
            <a:ext uri="{FF2B5EF4-FFF2-40B4-BE49-F238E27FC236}">
              <a16:creationId xmlns:a16="http://schemas.microsoft.com/office/drawing/2014/main" id="{00000000-0008-0000-0100-0000C4030000}"/>
            </a:ext>
          </a:extLst>
        </xdr:cNvPr>
        <xdr:cNvSpPr txBox="1"/>
      </xdr:nvSpPr>
      <xdr:spPr>
        <a:xfrm>
          <a:off x="6427471" y="130058160"/>
          <a:ext cx="5943600" cy="102108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2. Divisive politics relies extensively on generalizing. Harmony Politics gets to specifics.</a:t>
          </a:r>
          <a:endParaRPr lang="en-US" sz="1100" b="1" baseline="0">
            <a:effectLst/>
            <a:latin typeface="Cambria" panose="02040503050406030204" pitchFamily="18" charset="0"/>
            <a:ea typeface="Cambria" panose="02040503050406030204" pitchFamily="18" charset="0"/>
          </a:endParaRPr>
        </a:p>
        <a:p>
          <a:pPr lvl="1"/>
          <a:r>
            <a:rPr lang="en-US" sz="1100" b="0" baseline="0">
              <a:solidFill>
                <a:schemeClr val="dk1"/>
              </a:solidFill>
              <a:effectLst/>
              <a:latin typeface="Cambria" panose="02040503050406030204" pitchFamily="18" charset="0"/>
              <a:ea typeface="Cambria" panose="02040503050406030204" pitchFamily="18" charset="0"/>
              <a:cs typeface="+mn-cs"/>
            </a:rPr>
            <a:t>Politics attracts those in pain from unresolved public facing needs. Politics offers your client widely agreed upon generalizations for relief. The more your client's needs feel relieved by generalizing, the less likely the specific needs behind that pain can resolve. Consequently, your client feels stuck in pain. You help your client remove their pain by resolving the specific needs glossed over by politics.</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59328</xdr:colOff>
      <xdr:row>541</xdr:row>
      <xdr:rowOff>28303</xdr:rowOff>
    </xdr:from>
    <xdr:to>
      <xdr:col>26</xdr:col>
      <xdr:colOff>446859</xdr:colOff>
      <xdr:row>545</xdr:row>
      <xdr:rowOff>99060</xdr:rowOff>
    </xdr:to>
    <xdr:sp macro="" textlink="">
      <xdr:nvSpPr>
        <xdr:cNvPr id="1140" name="TextBox 1139">
          <a:extLst>
            <a:ext uri="{FF2B5EF4-FFF2-40B4-BE49-F238E27FC236}">
              <a16:creationId xmlns:a16="http://schemas.microsoft.com/office/drawing/2014/main" id="{00000000-0008-0000-0100-000074040000}"/>
            </a:ext>
          </a:extLst>
        </xdr:cNvPr>
        <xdr:cNvSpPr txBox="1"/>
      </xdr:nvSpPr>
      <xdr:spPr>
        <a:xfrm>
          <a:off x="6437268" y="128166223"/>
          <a:ext cx="5919651" cy="1076597"/>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1. Divisive politics misplaces the conflict</a:t>
          </a:r>
          <a:r>
            <a:rPr lang="en-US" sz="1100" b="0" baseline="0">
              <a:solidFill>
                <a:schemeClr val="dk1"/>
              </a:solidFill>
              <a:effectLst/>
              <a:latin typeface="Cambria" panose="02040503050406030204" pitchFamily="18" charset="0"/>
              <a:ea typeface="Cambria" panose="02040503050406030204" pitchFamily="18" charset="0"/>
              <a:cs typeface="+mn-cs"/>
            </a:rPr>
            <a:t>. </a:t>
          </a:r>
          <a:r>
            <a:rPr lang="en-US" sz="1100" b="1" baseline="0">
              <a:solidFill>
                <a:schemeClr val="dk1"/>
              </a:solidFill>
              <a:effectLst/>
              <a:latin typeface="Cambria" panose="02040503050406030204" pitchFamily="18" charset="0"/>
              <a:ea typeface="Cambria" panose="02040503050406030204" pitchFamily="18" charset="0"/>
              <a:cs typeface="+mn-cs"/>
            </a:rPr>
            <a:t>Harmony Politics refocuses on affected needs.</a:t>
          </a:r>
          <a:endParaRPr lang="en-US" sz="1100" b="1" baseline="0">
            <a:effectLst/>
            <a:latin typeface="Cambria" panose="02040503050406030204" pitchFamily="18" charset="0"/>
            <a:ea typeface="Cambria" panose="02040503050406030204" pitchFamily="18" charset="0"/>
          </a:endParaRPr>
        </a:p>
        <a:p>
          <a:pPr lvl="1"/>
          <a:r>
            <a:rPr lang="en-US" sz="1100" b="0" baseline="0">
              <a:solidFill>
                <a:schemeClr val="dk1"/>
              </a:solidFill>
              <a:effectLst/>
              <a:latin typeface="Cambria" panose="02040503050406030204" pitchFamily="18" charset="0"/>
              <a:ea typeface="Cambria" panose="02040503050406030204" pitchFamily="18" charset="0"/>
              <a:cs typeface="+mn-cs"/>
            </a:rPr>
            <a:t>The conflict is not between those experiencing a contrasting priority of needs, but between those clinging to generalizing for relief and those shifting to specifics to resolve the politicize need. You redirect your client's focus to their affected needs. You support your client facing those needs amidst the discomfort of not knowing how they will be relieved.</a:t>
          </a: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14</xdr:col>
      <xdr:colOff>83277</xdr:colOff>
      <xdr:row>557</xdr:row>
      <xdr:rowOff>22859</xdr:rowOff>
    </xdr:from>
    <xdr:to>
      <xdr:col>26</xdr:col>
      <xdr:colOff>358685</xdr:colOff>
      <xdr:row>562</xdr:row>
      <xdr:rowOff>38100</xdr:rowOff>
    </xdr:to>
    <xdr:sp macro="" textlink="">
      <xdr:nvSpPr>
        <xdr:cNvPr id="1142" name="TextBox 1141">
          <a:extLst>
            <a:ext uri="{FF2B5EF4-FFF2-40B4-BE49-F238E27FC236}">
              <a16:creationId xmlns:a16="http://schemas.microsoft.com/office/drawing/2014/main" id="{00000000-0008-0000-0100-000076040000}"/>
            </a:ext>
          </a:extLst>
        </xdr:cNvPr>
        <xdr:cNvSpPr txBox="1"/>
      </xdr:nvSpPr>
      <xdr:spPr>
        <a:xfrm>
          <a:off x="6346917" y="131925059"/>
          <a:ext cx="5921828" cy="127254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3. Divisive politics assumes choices no one has. Harmony Politics links you to your needs.</a:t>
          </a:r>
        </a:p>
        <a:p>
          <a:pPr marL="457200" marR="0" lvl="1"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Your client's visible political outlook masks a less visible psychosocial orientation. Your client's life situation shape those needs. Political sides coalesce around this competing priority of needs. You support your client through the challenging journey to skip these popular reactions, to address their underlying psychosocial needs. You help your client replace conventional demanding with unconventional love.</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8</xdr:col>
      <xdr:colOff>487642</xdr:colOff>
      <xdr:row>557</xdr:row>
      <xdr:rowOff>53341</xdr:rowOff>
    </xdr:from>
    <xdr:to>
      <xdr:col>12</xdr:col>
      <xdr:colOff>480058</xdr:colOff>
      <xdr:row>562</xdr:row>
      <xdr:rowOff>243840</xdr:rowOff>
    </xdr:to>
    <xdr:pic>
      <xdr:nvPicPr>
        <xdr:cNvPr id="1147" name="Picture 1146">
          <a:extLst>
            <a:ext uri="{FF2B5EF4-FFF2-40B4-BE49-F238E27FC236}">
              <a16:creationId xmlns:a16="http://schemas.microsoft.com/office/drawing/2014/main" id="{00000000-0008-0000-0100-00007B04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122382" y="131955541"/>
          <a:ext cx="2004096" cy="1447799"/>
        </a:xfrm>
        <a:prstGeom prst="rect">
          <a:avLst/>
        </a:prstGeom>
      </xdr:spPr>
    </xdr:pic>
    <xdr:clientData/>
  </xdr:twoCellAnchor>
  <xdr:twoCellAnchor>
    <xdr:from>
      <xdr:col>14</xdr:col>
      <xdr:colOff>113756</xdr:colOff>
      <xdr:row>557</xdr:row>
      <xdr:rowOff>60959</xdr:rowOff>
    </xdr:from>
    <xdr:to>
      <xdr:col>21</xdr:col>
      <xdr:colOff>410936</xdr:colOff>
      <xdr:row>564</xdr:row>
      <xdr:rowOff>83820</xdr:rowOff>
    </xdr:to>
    <xdr:sp macro="" textlink="">
      <xdr:nvSpPr>
        <xdr:cNvPr id="1148" name="TextBox 1147">
          <a:extLst>
            <a:ext uri="{FF2B5EF4-FFF2-40B4-BE49-F238E27FC236}">
              <a16:creationId xmlns:a16="http://schemas.microsoft.com/office/drawing/2014/main" id="{00000000-0008-0000-0100-00007C040000}"/>
            </a:ext>
          </a:extLst>
        </xdr:cNvPr>
        <xdr:cNvSpPr txBox="1"/>
      </xdr:nvSpPr>
      <xdr:spPr>
        <a:xfrm>
          <a:off x="6377396" y="131963159"/>
          <a:ext cx="3429000" cy="178308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3. Divisive politics assumes too much choice. Harmony Politics points to unchosen needs.</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Your client's visible political outlook masks a less visible psychosocial orientation. Your client's life situation shape those needs. Political sides coalesce around this competing priority of needs. You support your client through the challenging journey to skip these popular reactions, to address their underlying psychosocial needs. You help your client replace conventional demanding with unconventional love.</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19</xdr:col>
      <xdr:colOff>259080</xdr:colOff>
      <xdr:row>549</xdr:row>
      <xdr:rowOff>38100</xdr:rowOff>
    </xdr:from>
    <xdr:to>
      <xdr:col>26</xdr:col>
      <xdr:colOff>423672</xdr:colOff>
      <xdr:row>555</xdr:row>
      <xdr:rowOff>76200</xdr:rowOff>
    </xdr:to>
    <xdr:sp macro="" textlink="">
      <xdr:nvSpPr>
        <xdr:cNvPr id="1149" name="TextBox 1148">
          <a:extLst>
            <a:ext uri="{FF2B5EF4-FFF2-40B4-BE49-F238E27FC236}">
              <a16:creationId xmlns:a16="http://schemas.microsoft.com/office/drawing/2014/main" id="{00000000-0008-0000-0100-00007D040000}"/>
            </a:ext>
          </a:extLst>
        </xdr:cNvPr>
        <xdr:cNvSpPr txBox="1"/>
      </xdr:nvSpPr>
      <xdr:spPr>
        <a:xfrm>
          <a:off x="8648700" y="130058160"/>
          <a:ext cx="3685032" cy="154686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2. Divisive politics relies extensively on generalizing. Harmony Politics gets to specifics.</a:t>
          </a:r>
          <a:endParaRPr lang="en-US" sz="1100" b="1" baseline="0">
            <a:effectLst/>
            <a:latin typeface="Cambria" panose="02040503050406030204" pitchFamily="18" charset="0"/>
            <a:ea typeface="Cambria" panose="02040503050406030204" pitchFamily="18" charset="0"/>
          </a:endParaRPr>
        </a:p>
        <a:p>
          <a:pPr lvl="0"/>
          <a:r>
            <a:rPr lang="en-US" sz="1100" b="0" baseline="0">
              <a:solidFill>
                <a:schemeClr val="dk1"/>
              </a:solidFill>
              <a:effectLst/>
              <a:latin typeface="Cambria" panose="02040503050406030204" pitchFamily="18" charset="0"/>
              <a:ea typeface="Cambria" panose="02040503050406030204" pitchFamily="18" charset="0"/>
              <a:cs typeface="+mn-cs"/>
            </a:rPr>
            <a:t>Politics attracts those in pain from unresolved public facing needs. Politics offers your client widely agreed upon generalizations for relief. The more your client's needs feel relieved by generalizing, the less likely the specific needs behind that pain can resolve. Consequently, your client feels stuck in pain. You help your client remove their pain by resolving the specific needs glossed over by politics.</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13608</xdr:colOff>
      <xdr:row>540</xdr:row>
      <xdr:rowOff>89262</xdr:rowOff>
    </xdr:from>
    <xdr:to>
      <xdr:col>21</xdr:col>
      <xdr:colOff>425088</xdr:colOff>
      <xdr:row>547</xdr:row>
      <xdr:rowOff>137160</xdr:rowOff>
    </xdr:to>
    <xdr:sp macro="" textlink="">
      <xdr:nvSpPr>
        <xdr:cNvPr id="1150" name="TextBox 1149">
          <a:extLst>
            <a:ext uri="{FF2B5EF4-FFF2-40B4-BE49-F238E27FC236}">
              <a16:creationId xmlns:a16="http://schemas.microsoft.com/office/drawing/2014/main" id="{00000000-0008-0000-0100-00007E040000}"/>
            </a:ext>
          </a:extLst>
        </xdr:cNvPr>
        <xdr:cNvSpPr txBox="1"/>
      </xdr:nvSpPr>
      <xdr:spPr>
        <a:xfrm>
          <a:off x="6391548" y="128105262"/>
          <a:ext cx="3429000" cy="1678578"/>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1. Divisive politics misplaces the conflict</a:t>
          </a:r>
          <a:r>
            <a:rPr lang="en-US" sz="1100" b="0" baseline="0">
              <a:solidFill>
                <a:schemeClr val="dk1"/>
              </a:solidFill>
              <a:effectLst/>
              <a:latin typeface="Cambria" panose="02040503050406030204" pitchFamily="18" charset="0"/>
              <a:ea typeface="Cambria" panose="02040503050406030204" pitchFamily="18" charset="0"/>
              <a:cs typeface="+mn-cs"/>
            </a:rPr>
            <a:t>. </a:t>
          </a:r>
          <a:r>
            <a:rPr lang="en-US" sz="1100" b="1" baseline="0">
              <a:solidFill>
                <a:schemeClr val="dk1"/>
              </a:solidFill>
              <a:effectLst/>
              <a:latin typeface="Cambria" panose="02040503050406030204" pitchFamily="18" charset="0"/>
              <a:ea typeface="Cambria" panose="02040503050406030204" pitchFamily="18" charset="0"/>
              <a:cs typeface="+mn-cs"/>
            </a:rPr>
            <a:t>Harmony Politics refocuses on affected needs.</a:t>
          </a:r>
          <a:endParaRPr lang="en-US" sz="1100" b="1" baseline="0">
            <a:effectLst/>
            <a:latin typeface="Cambria" panose="02040503050406030204" pitchFamily="18" charset="0"/>
            <a:ea typeface="Cambria" panose="02040503050406030204" pitchFamily="18" charset="0"/>
          </a:endParaRPr>
        </a:p>
        <a:p>
          <a:pPr lvl="0"/>
          <a:r>
            <a:rPr lang="en-US" sz="1100" b="0" baseline="0">
              <a:solidFill>
                <a:schemeClr val="dk1"/>
              </a:solidFill>
              <a:effectLst/>
              <a:latin typeface="Cambria" panose="02040503050406030204" pitchFamily="18" charset="0"/>
              <a:ea typeface="Cambria" panose="02040503050406030204" pitchFamily="18" charset="0"/>
              <a:cs typeface="+mn-cs"/>
            </a:rPr>
            <a:t>The conflict is not between those experiencing a contrasting priority of needs, but between those clinging to generalizing for relief and those shifting to specifics to resolve the politicize need. You redirect your client's focus to their affected needs. You support your client facing those needs amidst the discomfort of not knowing how they will be relieved.</a:t>
          </a: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29936</xdr:colOff>
      <xdr:row>565</xdr:row>
      <xdr:rowOff>99059</xdr:rowOff>
    </xdr:from>
    <xdr:to>
      <xdr:col>26</xdr:col>
      <xdr:colOff>441416</xdr:colOff>
      <xdr:row>568</xdr:row>
      <xdr:rowOff>160020</xdr:rowOff>
    </xdr:to>
    <xdr:sp macro="" textlink="">
      <xdr:nvSpPr>
        <xdr:cNvPr id="1151" name="TextBox 1150">
          <a:extLst>
            <a:ext uri="{FF2B5EF4-FFF2-40B4-BE49-F238E27FC236}">
              <a16:creationId xmlns:a16="http://schemas.microsoft.com/office/drawing/2014/main" id="{00000000-0008-0000-0100-00007F040000}"/>
            </a:ext>
          </a:extLst>
        </xdr:cNvPr>
        <xdr:cNvSpPr txBox="1"/>
      </xdr:nvSpPr>
      <xdr:spPr>
        <a:xfrm>
          <a:off x="6407876" y="133951979"/>
          <a:ext cx="5943600" cy="81534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Cambria" panose="02040503050406030204" pitchFamily="18" charset="0"/>
              <a:ea typeface="Cambria" panose="02040503050406030204" pitchFamily="18" charset="0"/>
              <a:cs typeface="+mn-cs"/>
            </a:rPr>
            <a:t>Ready to go beyond conventional counseling?</a:t>
          </a:r>
          <a:r>
            <a:rPr lang="en-US" sz="1100" b="0" baseline="0">
              <a:solidFill>
                <a:schemeClr val="dk1"/>
              </a:solidFill>
              <a:effectLst/>
              <a:latin typeface="Cambria" panose="02040503050406030204" pitchFamily="18" charset="0"/>
              <a:ea typeface="Cambria" panose="02040503050406030204" pitchFamily="18" charset="0"/>
              <a:cs typeface="+mn-cs"/>
            </a:rPr>
            <a:t> Use this tool to recover any lost rapport with your client due to political differences. Contact me at </a:t>
          </a:r>
          <a:r>
            <a:rPr lang="en-US" sz="1000" b="0" baseline="0">
              <a:solidFill>
                <a:srgbClr val="009646"/>
              </a:solidFill>
              <a:effectLst>
                <a:innerShdw blurRad="114300">
                  <a:prstClr val="black"/>
                </a:innerShdw>
              </a:effectLst>
              <a:latin typeface="Arial Black" panose="020B0A04020102020204" pitchFamily="34" charset="0"/>
              <a:ea typeface="Cambria" panose="02040503050406030204" pitchFamily="18" charset="0"/>
              <a:cs typeface="+mn-cs"/>
            </a:rPr>
            <a:t>Value</a:t>
          </a:r>
          <a:r>
            <a:rPr lang="en-US" sz="1000" b="0" baseline="0">
              <a:solidFill>
                <a:schemeClr val="dk1"/>
              </a:solidFill>
              <a:effectLst>
                <a:innerShdw blurRad="114300">
                  <a:prstClr val="black"/>
                </a:innerShdw>
              </a:effectLst>
              <a:latin typeface="Arial Black" panose="020B0A04020102020204" pitchFamily="34" charset="0"/>
              <a:ea typeface="Cambria" panose="02040503050406030204" pitchFamily="18" charset="0"/>
              <a:cs typeface="+mn-cs"/>
            </a:rPr>
            <a:t> </a:t>
          </a:r>
          <a:r>
            <a:rPr lang="en-US" sz="1000" b="0" baseline="0">
              <a:solidFill>
                <a:srgbClr val="7030A0"/>
              </a:solidFill>
              <a:effectLst>
                <a:innerShdw blurRad="114300">
                  <a:prstClr val="black"/>
                </a:innerShdw>
              </a:effectLst>
              <a:latin typeface="Arial Black" panose="020B0A04020102020204" pitchFamily="34" charset="0"/>
              <a:ea typeface="Cambria" panose="02040503050406030204" pitchFamily="18" charset="0"/>
              <a:cs typeface="+mn-cs"/>
            </a:rPr>
            <a:t>Relating</a:t>
          </a:r>
          <a:r>
            <a:rPr lang="en-US" sz="1100" b="0" baseline="0">
              <a:solidFill>
                <a:schemeClr val="dk1"/>
              </a:solidFill>
              <a:effectLst/>
              <a:latin typeface="Cambria" panose="02040503050406030204" pitchFamily="18" charset="0"/>
              <a:ea typeface="Cambria" panose="02040503050406030204" pitchFamily="18" charset="0"/>
              <a:cs typeface="+mn-cs"/>
            </a:rPr>
            <a:t> to fit this tool to your particular counseling situation. I look forward to introducing you to </a:t>
          </a:r>
          <a:r>
            <a:rPr lang="en-US" sz="1100" b="1" baseline="0">
              <a:solidFill>
                <a:srgbClr val="0070C0"/>
              </a:solidFill>
              <a:effectLst/>
              <a:latin typeface="Cambria" panose="02040503050406030204" pitchFamily="18" charset="0"/>
              <a:ea typeface="Cambria" panose="02040503050406030204" pitchFamily="18" charset="0"/>
              <a:cs typeface="+mn-cs"/>
            </a:rPr>
            <a:t>psychosociotherapy</a:t>
          </a:r>
          <a:r>
            <a:rPr lang="en-US" sz="1100" b="0" baseline="0">
              <a:solidFill>
                <a:schemeClr val="dk1"/>
              </a:solidFill>
              <a:effectLst/>
              <a:latin typeface="Cambria" panose="02040503050406030204" pitchFamily="18" charset="0"/>
              <a:ea typeface="Cambria" panose="02040503050406030204" pitchFamily="18" charset="0"/>
              <a:cs typeface="+mn-cs"/>
            </a:rPr>
            <a:t>, to empower your client to </a:t>
          </a:r>
          <a:r>
            <a:rPr lang="en-US" sz="1100" b="0" i="1" baseline="0">
              <a:solidFill>
                <a:schemeClr val="dk1"/>
              </a:solidFill>
              <a:effectLst/>
              <a:latin typeface="Cambria" panose="02040503050406030204" pitchFamily="18" charset="0"/>
              <a:ea typeface="Cambria" panose="02040503050406030204" pitchFamily="18" charset="0"/>
              <a:cs typeface="+mn-cs"/>
            </a:rPr>
            <a:t>speak truth to political power</a:t>
          </a:r>
          <a:r>
            <a:rPr lang="en-US" sz="1100" b="0" baseline="0">
              <a:solidFill>
                <a:schemeClr val="dk1"/>
              </a:solidFill>
              <a:effectLst/>
              <a:latin typeface="Cambria" panose="02040503050406030204" pitchFamily="18" charset="0"/>
              <a:ea typeface="Cambria" panose="02040503050406030204" pitchFamily="18" charset="0"/>
              <a:cs typeface="+mn-cs"/>
            </a:rPr>
            <a:t>, wherever they must confront it.</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173077</xdr:colOff>
      <xdr:row>625</xdr:row>
      <xdr:rowOff>58854</xdr:rowOff>
    </xdr:from>
    <xdr:to>
      <xdr:col>22</xdr:col>
      <xdr:colOff>54091</xdr:colOff>
      <xdr:row>632</xdr:row>
      <xdr:rowOff>89646</xdr:rowOff>
    </xdr:to>
    <xdr:sp macro="" textlink="">
      <xdr:nvSpPr>
        <xdr:cNvPr id="1217" name="TextBox 1216">
          <a:extLst>
            <a:ext uri="{FF2B5EF4-FFF2-40B4-BE49-F238E27FC236}">
              <a16:creationId xmlns:a16="http://schemas.microsoft.com/office/drawing/2014/main" id="{00000000-0008-0000-0100-0000C1040000}"/>
            </a:ext>
          </a:extLst>
        </xdr:cNvPr>
        <xdr:cNvSpPr txBox="1"/>
      </xdr:nvSpPr>
      <xdr:spPr>
        <a:xfrm>
          <a:off x="6515606" y="149709678"/>
          <a:ext cx="3384720" cy="1808792"/>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The </a:t>
          </a:r>
          <a:r>
            <a:rPr lang="en-US" sz="1100" b="1" baseline="0">
              <a:solidFill>
                <a:schemeClr val="dk1"/>
              </a:solidFill>
              <a:effectLst/>
              <a:latin typeface="Cambria" panose="02040503050406030204" pitchFamily="18" charset="0"/>
              <a:ea typeface="Cambria" panose="02040503050406030204" pitchFamily="18" charset="0"/>
              <a:cs typeface="+mn-cs"/>
            </a:rPr>
            <a:t>impact parity model</a:t>
          </a:r>
          <a:r>
            <a:rPr lang="en-US" sz="1100" b="0" baseline="0">
              <a:solidFill>
                <a:schemeClr val="dk1"/>
              </a:solidFill>
              <a:effectLst/>
              <a:latin typeface="Cambria" panose="02040503050406030204" pitchFamily="18" charset="0"/>
              <a:ea typeface="Cambria" panose="02040503050406030204" pitchFamily="18" charset="0"/>
              <a:cs typeface="+mn-cs"/>
            </a:rPr>
            <a:t>, or IPM, empowers your client to address power relations. The IPM identifies the powerholder in that relation as the </a:t>
          </a:r>
          <a:r>
            <a:rPr lang="en-US" sz="1100" b="1" i="1" baseline="0">
              <a:solidFill>
                <a:schemeClr val="dk1"/>
              </a:solidFill>
              <a:effectLst/>
              <a:latin typeface="Cambria" panose="02040503050406030204" pitchFamily="18" charset="0"/>
              <a:ea typeface="Cambria" panose="02040503050406030204" pitchFamily="18" charset="0"/>
              <a:cs typeface="+mn-cs"/>
            </a:rPr>
            <a:t>ascribed impactor</a:t>
          </a:r>
          <a:r>
            <a:rPr lang="en-US" sz="1100" b="0" baseline="0">
              <a:solidFill>
                <a:schemeClr val="dk1"/>
              </a:solidFill>
              <a:effectLst/>
              <a:latin typeface="Cambria" panose="02040503050406030204" pitchFamily="18" charset="0"/>
              <a:ea typeface="Cambria" panose="02040503050406030204" pitchFamily="18" charset="0"/>
              <a:cs typeface="+mn-cs"/>
            </a:rPr>
            <a:t>, or AI. It identifies your relateively less powerful client as the </a:t>
          </a:r>
          <a:r>
            <a:rPr lang="en-US" sz="1100" b="1" i="1" baseline="0">
              <a:solidFill>
                <a:schemeClr val="dk1"/>
              </a:solidFill>
              <a:effectLst/>
              <a:latin typeface="Cambria" panose="02040503050406030204" pitchFamily="18" charset="0"/>
              <a:ea typeface="Cambria" panose="02040503050406030204" pitchFamily="18" charset="0"/>
              <a:cs typeface="+mn-cs"/>
            </a:rPr>
            <a:t>reporting impactee</a:t>
          </a:r>
          <a:r>
            <a:rPr lang="en-US" sz="1100" b="0" baseline="0">
              <a:solidFill>
                <a:schemeClr val="dk1"/>
              </a:solidFill>
              <a:effectLst/>
              <a:latin typeface="Cambria" panose="02040503050406030204" pitchFamily="18" charset="0"/>
              <a:ea typeface="Cambria" panose="02040503050406030204" pitchFamily="18" charset="0"/>
              <a:cs typeface="+mn-cs"/>
            </a:rPr>
            <a:t>, or RI. </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i="0" baseline="0">
            <a:solidFill>
              <a:schemeClr val="dk1"/>
            </a:solidFill>
            <a:effectLst/>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Your client receives support to </a:t>
          </a:r>
          <a:r>
            <a:rPr lang="en-US" sz="1100" b="1" i="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i="0" baseline="0">
              <a:solidFill>
                <a:schemeClr val="dk1"/>
              </a:solidFill>
              <a:effectLst/>
              <a:latin typeface="Cambria" panose="02040503050406030204" pitchFamily="18" charset="0"/>
              <a:ea typeface="Cambria" panose="02040503050406030204" pitchFamily="18" charset="0"/>
              <a:cs typeface="+mn-cs"/>
            </a:rPr>
            <a:t>. The IPM incentives the AI to </a:t>
          </a:r>
          <a:r>
            <a:rPr lang="en-US" sz="1100" b="1" i="1" baseline="0">
              <a:solidFill>
                <a:schemeClr val="dk1"/>
              </a:solidFill>
              <a:effectLst/>
              <a:latin typeface="Cambria" panose="02040503050406030204" pitchFamily="18" charset="0"/>
              <a:ea typeface="Cambria" panose="02040503050406030204" pitchFamily="18" charset="0"/>
              <a:cs typeface="+mn-cs"/>
            </a:rPr>
            <a:t>listen to those impacted</a:t>
          </a:r>
          <a:r>
            <a:rPr lang="en-US" sz="1100" b="0" i="0" baseline="0">
              <a:solidFill>
                <a:schemeClr val="dk1"/>
              </a:solidFill>
              <a:effectLst/>
              <a:latin typeface="Cambria" panose="02040503050406030204" pitchFamily="18" charset="0"/>
              <a:ea typeface="Cambria" panose="02040503050406030204" pitchFamily="18" charset="0"/>
              <a:cs typeface="+mn-cs"/>
            </a:rPr>
            <a:t>. </a:t>
          </a:r>
          <a:endParaRPr lang="en-US" sz="1100" b="0" baseline="0">
            <a:solidFill>
              <a:schemeClr val="dk1"/>
            </a:solidFill>
            <a:effectLst/>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The IPM incentivizes those in power to invest in those they impact with their power. </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editAs="oneCell">
    <xdr:from>
      <xdr:col>8</xdr:col>
      <xdr:colOff>127763</xdr:colOff>
      <xdr:row>611</xdr:row>
      <xdr:rowOff>308443</xdr:rowOff>
    </xdr:from>
    <xdr:to>
      <xdr:col>12</xdr:col>
      <xdr:colOff>388625</xdr:colOff>
      <xdr:row>616</xdr:row>
      <xdr:rowOff>227093</xdr:rowOff>
    </xdr:to>
    <xdr:pic>
      <xdr:nvPicPr>
        <xdr:cNvPr id="1219" name="Picture 1218">
          <a:extLst>
            <a:ext uri="{FF2B5EF4-FFF2-40B4-BE49-F238E27FC236}">
              <a16:creationId xmlns:a16="http://schemas.microsoft.com/office/drawing/2014/main" id="{00000000-0008-0000-0100-0000C3040000}"/>
            </a:ext>
          </a:extLst>
        </xdr:cNvPr>
        <xdr:cNvPicPr>
          <a:picLocks noChangeAspect="1"/>
        </xdr:cNvPicPr>
      </xdr:nvPicPr>
      <xdr:blipFill>
        <a:blip xmlns:r="http://schemas.openxmlformats.org/officeDocument/2006/relationships" r:embed="rId24" cstate="print">
          <a:extLst>
            <a:ext uri="{BEBA8EAE-BF5A-486C-A8C5-ECC9F3942E4B}">
              <a14:imgProps xmlns:a14="http://schemas.microsoft.com/office/drawing/2010/main">
                <a14:imgLayer r:embed="rId25">
                  <a14:imgEffect>
                    <a14:brightnessContrast contrast="-20000"/>
                  </a14:imgEffect>
                </a14:imgLayer>
              </a14:imgProps>
            </a:ext>
            <a:ext uri="{28A0092B-C50C-407E-A947-70E740481C1C}">
              <a14:useLocalDpi xmlns:a14="http://schemas.microsoft.com/office/drawing/2010/main" val="0"/>
            </a:ext>
          </a:extLst>
        </a:blip>
        <a:stretch>
          <a:fillRect/>
        </a:stretch>
      </xdr:blipFill>
      <xdr:spPr>
        <a:xfrm>
          <a:off x="3743528" y="146642325"/>
          <a:ext cx="2262979" cy="1292790"/>
        </a:xfrm>
        <a:prstGeom prst="rect">
          <a:avLst/>
        </a:prstGeom>
        <a:effectLst>
          <a:glow rad="63500">
            <a:srgbClr val="A5FFC8">
              <a:alpha val="25000"/>
            </a:srgbClr>
          </a:glow>
          <a:softEdge rad="88900"/>
        </a:effectLst>
      </xdr:spPr>
    </xdr:pic>
    <xdr:clientData/>
  </xdr:twoCellAnchor>
  <xdr:twoCellAnchor>
    <xdr:from>
      <xdr:col>15</xdr:col>
      <xdr:colOff>38100</xdr:colOff>
      <xdr:row>580</xdr:row>
      <xdr:rowOff>76498</xdr:rowOff>
    </xdr:from>
    <xdr:to>
      <xdr:col>26</xdr:col>
      <xdr:colOff>449580</xdr:colOff>
      <xdr:row>588</xdr:row>
      <xdr:rowOff>149412</xdr:rowOff>
    </xdr:to>
    <xdr:sp macro="" textlink="">
      <xdr:nvSpPr>
        <xdr:cNvPr id="1224" name="TextBox 1223">
          <a:extLst>
            <a:ext uri="{FF2B5EF4-FFF2-40B4-BE49-F238E27FC236}">
              <a16:creationId xmlns:a16="http://schemas.microsoft.com/office/drawing/2014/main" id="{00000000-0008-0000-0100-0000C8040000}"/>
            </a:ext>
          </a:extLst>
        </xdr:cNvPr>
        <xdr:cNvSpPr txBox="1"/>
      </xdr:nvSpPr>
      <xdr:spPr>
        <a:xfrm>
          <a:off x="6380629" y="139007027"/>
          <a:ext cx="5917304" cy="2358914"/>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solidFill>
                <a:schemeClr val="dk1"/>
              </a:solidFill>
              <a:latin typeface="Tahoma" panose="020B0604030504040204" pitchFamily="34" charset="0"/>
              <a:ea typeface="Tahoma" panose="020B0604030504040204" pitchFamily="34" charset="0"/>
              <a:cs typeface="Tahoma" panose="020B0604030504040204" pitchFamily="34" charset="0"/>
            </a:rPr>
            <a:t>Recover rapport</a:t>
          </a:r>
        </a:p>
        <a:p>
          <a:r>
            <a:rPr lang="en-US" sz="1050" b="1" baseline="0">
              <a:solidFill>
                <a:schemeClr val="dk1"/>
              </a:solidFill>
              <a:latin typeface="Arial Narrow" panose="020B0606020202030204" pitchFamily="34" charset="0"/>
              <a:ea typeface="+mn-ea"/>
              <a:cs typeface="+mn-cs"/>
            </a:rPr>
            <a:t>First, Harmony Politics stops you from losing clients over political differences</a:t>
          </a:r>
          <a:r>
            <a:rPr lang="en-US" sz="1050" baseline="0">
              <a:solidFill>
                <a:schemeClr val="dk1"/>
              </a:solidFill>
              <a:latin typeface="Arial Narrow" panose="020B0606020202030204" pitchFamily="34" charset="0"/>
              <a:ea typeface="+mn-ea"/>
              <a:cs typeface="+mn-cs"/>
            </a:rPr>
            <a:t>. You set yourself apart from less inclined counselors when demonstrating you can connect more deeply with your client over divisive issue. Because you go deeper to the underlying needs.</a:t>
          </a:r>
        </a:p>
        <a:p>
          <a:endParaRPr lang="en-US" sz="1050" baseline="0">
            <a:solidFill>
              <a:schemeClr val="dk1"/>
            </a:solidFill>
            <a:latin typeface="Arial Narrow" panose="020B0606020202030204" pitchFamily="34" charset="0"/>
            <a:ea typeface="+mn-ea"/>
            <a:cs typeface="+mn-cs"/>
          </a:endParaRPr>
        </a:p>
        <a:p>
          <a:r>
            <a:rPr lang="en-US" sz="1200" b="1">
              <a:solidFill>
                <a:schemeClr val="dk1"/>
              </a:solidFill>
              <a:latin typeface="Tahoma" panose="020B0604030504040204" pitchFamily="34" charset="0"/>
              <a:ea typeface="Tahoma" panose="020B0604030504040204" pitchFamily="34" charset="0"/>
              <a:cs typeface="Tahoma" panose="020B0604030504040204" pitchFamily="34" charset="0"/>
            </a:rPr>
            <a:t>Sustain development</a:t>
          </a:r>
        </a:p>
        <a:p>
          <a:pPr marL="0" marR="0" lvl="0" indent="0" defTabSz="914400" eaLnBrk="1" fontAlgn="auto" latinLnBrk="0" hangingPunct="1">
            <a:lnSpc>
              <a:spcPct val="100000"/>
            </a:lnSpc>
            <a:spcBef>
              <a:spcPts val="0"/>
            </a:spcBef>
            <a:spcAft>
              <a:spcPts val="0"/>
            </a:spcAft>
            <a:buClrTx/>
            <a:buSzTx/>
            <a:buFontTx/>
            <a:buNone/>
            <a:tabLst/>
            <a:defRPr/>
          </a:pPr>
          <a:r>
            <a:rPr lang="en-US" sz="1050" b="1" baseline="0">
              <a:solidFill>
                <a:schemeClr val="dk1"/>
              </a:solidFill>
              <a:latin typeface="Arial Narrow" panose="020B0606020202030204" pitchFamily="34" charset="0"/>
              <a:ea typeface="+mn-ea"/>
              <a:cs typeface="+mn-cs"/>
            </a:rPr>
            <a:t>Second, Harmony Politics slows damage to your client's development</a:t>
          </a:r>
          <a:r>
            <a:rPr lang="en-US" sz="1050" baseline="0">
              <a:solidFill>
                <a:schemeClr val="dk1"/>
              </a:solidFill>
              <a:latin typeface="Arial Narrow" panose="020B0606020202030204" pitchFamily="34" charset="0"/>
              <a:ea typeface="+mn-ea"/>
              <a:cs typeface="+mn-cs"/>
            </a:rPr>
            <a:t>. You help your client appreciate politics as a way to express those needs whose resolution, in part, remains beyond their personal control. You spur your client to resolve these needs with others.</a:t>
          </a:r>
        </a:p>
        <a:p>
          <a:pPr marL="0" indent="0"/>
          <a:endParaRPr lang="en-US" sz="1050" baseline="0">
            <a:solidFill>
              <a:schemeClr val="dk1"/>
            </a:solidFill>
            <a:latin typeface="Arial Narrow" panose="020B0606020202030204" pitchFamily="34" charset="0"/>
            <a:ea typeface="+mn-ea"/>
            <a:cs typeface="+mn-cs"/>
          </a:endParaRPr>
        </a:p>
        <a:p>
          <a:r>
            <a:rPr lang="en-US" sz="1200" b="1">
              <a:solidFill>
                <a:schemeClr val="dk1"/>
              </a:solidFill>
              <a:latin typeface="Tahoma" panose="020B0604030504040204" pitchFamily="34" charset="0"/>
              <a:ea typeface="Tahoma" panose="020B0604030504040204" pitchFamily="34" charset="0"/>
              <a:cs typeface="Tahoma" panose="020B0604030504040204" pitchFamily="34" charset="0"/>
            </a:rPr>
            <a:t>Thrive with psychosocial flow</a:t>
          </a:r>
        </a:p>
        <a:p>
          <a:pPr marL="0" marR="0" lvl="0" indent="0" defTabSz="914400" eaLnBrk="1" fontAlgn="auto" latinLnBrk="0" hangingPunct="1">
            <a:lnSpc>
              <a:spcPct val="100000"/>
            </a:lnSpc>
            <a:spcBef>
              <a:spcPts val="0"/>
            </a:spcBef>
            <a:spcAft>
              <a:spcPts val="0"/>
            </a:spcAft>
            <a:buClrTx/>
            <a:buSzTx/>
            <a:buFontTx/>
            <a:buNone/>
            <a:tabLst/>
            <a:defRPr/>
          </a:pPr>
          <a:r>
            <a:rPr lang="en-US" sz="1050" b="1" baseline="0">
              <a:solidFill>
                <a:schemeClr val="dk1"/>
              </a:solidFill>
              <a:latin typeface="Arial Narrow" panose="020B0606020202030204" pitchFamily="34" charset="0"/>
              <a:ea typeface="+mn-ea"/>
              <a:cs typeface="+mn-cs"/>
            </a:rPr>
            <a:t>Lastly, Harmony Politics can speed up your client's full life potential</a:t>
          </a:r>
          <a:r>
            <a:rPr lang="en-US" sz="1050" baseline="0">
              <a:solidFill>
                <a:schemeClr val="dk1"/>
              </a:solidFill>
              <a:latin typeface="Arial Narrow" panose="020B0606020202030204" pitchFamily="34" charset="0"/>
              <a:ea typeface="+mn-ea"/>
              <a:cs typeface="+mn-cs"/>
            </a:rPr>
            <a:t>. You can learn to use psychosociotherapy to empower your client to speak their truth to power. You advocate the resolution of their affected needs in accord with others resolving their needs.</a:t>
          </a:r>
        </a:p>
        <a:p>
          <a:pPr marL="0" indent="0"/>
          <a:endParaRPr lang="en-US" sz="1050" baseline="0">
            <a:solidFill>
              <a:schemeClr val="dk1"/>
            </a:solidFill>
            <a:latin typeface="Arial Narrow" panose="020B0606020202030204" pitchFamily="34" charset="0"/>
            <a:ea typeface="+mn-ea"/>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60867</xdr:colOff>
      <xdr:row>633</xdr:row>
      <xdr:rowOff>127748</xdr:rowOff>
    </xdr:from>
    <xdr:to>
      <xdr:col>26</xdr:col>
      <xdr:colOff>472346</xdr:colOff>
      <xdr:row>639</xdr:row>
      <xdr:rowOff>59765</xdr:rowOff>
    </xdr:to>
    <xdr:sp macro="" textlink="">
      <xdr:nvSpPr>
        <xdr:cNvPr id="1226" name="TextBox 1225">
          <a:extLst>
            <a:ext uri="{FF2B5EF4-FFF2-40B4-BE49-F238E27FC236}">
              <a16:creationId xmlns:a16="http://schemas.microsoft.com/office/drawing/2014/main" id="{00000000-0008-0000-0100-0000CA040000}"/>
            </a:ext>
          </a:extLst>
        </xdr:cNvPr>
        <xdr:cNvSpPr txBox="1"/>
      </xdr:nvSpPr>
      <xdr:spPr>
        <a:xfrm>
          <a:off x="6403396" y="151810572"/>
          <a:ext cx="5917303" cy="126178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Cambria" panose="02040503050406030204" pitchFamily="18" charset="0"/>
              <a:ea typeface="Cambria" panose="02040503050406030204" pitchFamily="18" charset="0"/>
              <a:cs typeface="+mn-cs"/>
            </a:rPr>
            <a:t>Revolutionary revenue model</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Psychosociotherapy does not rely on insurance. Nor is it an out of pocket personal health expense. It creates value for both sides in this power relation. The AI, who typically has greater resources and the most to gain from this model, is incentivized to invest in your RI client. They receive valuable data for better serving others like the RI. Just as you are learning to attract and sustain RI clients. AI's must compete with each other to be most responsive to clients' underserved needs. </a:t>
          </a:r>
          <a:endParaRPr lang="en-US" sz="1050">
            <a:latin typeface="Arial Narrow" panose="020B0606020202030204" pitchFamily="34" charset="0"/>
          </a:endParaRPr>
        </a:p>
      </xdr:txBody>
    </xdr:sp>
    <xdr:clientData/>
  </xdr:twoCellAnchor>
  <xdr:twoCellAnchor>
    <xdr:from>
      <xdr:col>15</xdr:col>
      <xdr:colOff>91199</xdr:colOff>
      <xdr:row>612</xdr:row>
      <xdr:rowOff>2690</xdr:rowOff>
    </xdr:from>
    <xdr:to>
      <xdr:col>22</xdr:col>
      <xdr:colOff>89646</xdr:colOff>
      <xdr:row>617</xdr:row>
      <xdr:rowOff>134471</xdr:rowOff>
    </xdr:to>
    <xdr:sp macro="" textlink="">
      <xdr:nvSpPr>
        <xdr:cNvPr id="1227" name="TextBox 1226">
          <a:extLst>
            <a:ext uri="{FF2B5EF4-FFF2-40B4-BE49-F238E27FC236}">
              <a16:creationId xmlns:a16="http://schemas.microsoft.com/office/drawing/2014/main" id="{00000000-0008-0000-0100-0000CB040000}"/>
            </a:ext>
          </a:extLst>
        </xdr:cNvPr>
        <xdr:cNvSpPr txBox="1"/>
      </xdr:nvSpPr>
      <xdr:spPr>
        <a:xfrm>
          <a:off x="6433728" y="146792278"/>
          <a:ext cx="3502153" cy="1327075"/>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Cambria" panose="02040503050406030204" pitchFamily="18" charset="0"/>
              <a:ea typeface="Cambria" panose="02040503050406030204" pitchFamily="18" charset="0"/>
              <a:cs typeface="+mn-cs"/>
            </a:rPr>
            <a:t>Power relations </a:t>
          </a:r>
          <a:r>
            <a:rPr lang="en-US" sz="1100" b="0" baseline="0">
              <a:solidFill>
                <a:schemeClr val="dk1"/>
              </a:solidFill>
              <a:effectLst/>
              <a:latin typeface="Cambria" panose="02040503050406030204" pitchFamily="18" charset="0"/>
              <a:ea typeface="Cambria" panose="02040503050406030204" pitchFamily="18" charset="0"/>
              <a:cs typeface="+mn-cs"/>
            </a:rPr>
            <a:t>easily</a:t>
          </a:r>
          <a:r>
            <a:rPr lang="en-US" sz="1100" b="1" baseline="0">
              <a:solidFill>
                <a:schemeClr val="dk1"/>
              </a:solidFill>
              <a:effectLst/>
              <a:latin typeface="Cambria" panose="02040503050406030204" pitchFamily="18" charset="0"/>
              <a:ea typeface="Cambria" panose="02040503050406030204" pitchFamily="18" charset="0"/>
              <a:cs typeface="+mn-cs"/>
            </a:rPr>
            <a:t> </a:t>
          </a:r>
          <a:r>
            <a:rPr lang="en-US" sz="1100" b="0" baseline="0">
              <a:solidFill>
                <a:schemeClr val="dk1"/>
              </a:solidFill>
              <a:effectLst/>
              <a:latin typeface="Cambria" panose="02040503050406030204" pitchFamily="18" charset="0"/>
              <a:ea typeface="Cambria" panose="02040503050406030204" pitchFamily="18" charset="0"/>
              <a:cs typeface="+mn-cs"/>
            </a:rPr>
            <a:t>distort how well each side can resolve their needs. Your client hits a wall when doing all they can to change themselves to fit into a problematic environment. Now you can inspire them to shift focus from adjusting themselves to fit powerful others to incentivizing powerful others to fit the needs of your distressed client.</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23</xdr:col>
      <xdr:colOff>303810</xdr:colOff>
      <xdr:row>53</xdr:row>
      <xdr:rowOff>229558</xdr:rowOff>
    </xdr:from>
    <xdr:to>
      <xdr:col>26</xdr:col>
      <xdr:colOff>323862</xdr:colOff>
      <xdr:row>53</xdr:row>
      <xdr:rowOff>534145</xdr:rowOff>
    </xdr:to>
    <xdr:sp macro="" textlink="">
      <xdr:nvSpPr>
        <xdr:cNvPr id="1234" name="Arrow: Left 1233">
          <a:hlinkClick xmlns:r="http://schemas.openxmlformats.org/officeDocument/2006/relationships" r:id="rId2" tooltip="back to Harmony Politics tab"/>
          <a:extLst>
            <a:ext uri="{FF2B5EF4-FFF2-40B4-BE49-F238E27FC236}">
              <a16:creationId xmlns:a16="http://schemas.microsoft.com/office/drawing/2014/main" id="{00000000-0008-0000-0100-0000D2040000}"/>
            </a:ext>
          </a:extLst>
        </xdr:cNvPr>
        <xdr:cNvSpPr/>
      </xdr:nvSpPr>
      <xdr:spPr>
        <a:xfrm>
          <a:off x="10806710" y="17120558"/>
          <a:ext cx="1544052" cy="30458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125</xdr:row>
      <xdr:rowOff>62369</xdr:rowOff>
    </xdr:from>
    <xdr:to>
      <xdr:col>26</xdr:col>
      <xdr:colOff>488215</xdr:colOff>
      <xdr:row>125</xdr:row>
      <xdr:rowOff>302426</xdr:rowOff>
    </xdr:to>
    <xdr:sp macro="" textlink="">
      <xdr:nvSpPr>
        <xdr:cNvPr id="1235" name="Arrow: Left 1234">
          <a:hlinkClick xmlns:r="http://schemas.openxmlformats.org/officeDocument/2006/relationships" r:id="rId2" tooltip="back to Harmony Politics tab"/>
          <a:extLst>
            <a:ext uri="{FF2B5EF4-FFF2-40B4-BE49-F238E27FC236}">
              <a16:creationId xmlns:a16="http://schemas.microsoft.com/office/drawing/2014/main" id="{00000000-0008-0000-0100-0000D3040000}"/>
            </a:ext>
          </a:extLst>
        </xdr:cNvPr>
        <xdr:cNvSpPr/>
      </xdr:nvSpPr>
      <xdr:spPr>
        <a:xfrm>
          <a:off x="10971063" y="34060269"/>
          <a:ext cx="154405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455463</xdr:colOff>
      <xdr:row>162</xdr:row>
      <xdr:rowOff>60875</xdr:rowOff>
    </xdr:from>
    <xdr:to>
      <xdr:col>26</xdr:col>
      <xdr:colOff>475515</xdr:colOff>
      <xdr:row>162</xdr:row>
      <xdr:rowOff>300932</xdr:rowOff>
    </xdr:to>
    <xdr:sp macro="" textlink="">
      <xdr:nvSpPr>
        <xdr:cNvPr id="1236" name="Arrow: Left 1235">
          <a:hlinkClick xmlns:r="http://schemas.openxmlformats.org/officeDocument/2006/relationships" r:id="rId2" tooltip="back to Harmony Politics tab"/>
          <a:extLst>
            <a:ext uri="{FF2B5EF4-FFF2-40B4-BE49-F238E27FC236}">
              <a16:creationId xmlns:a16="http://schemas.microsoft.com/office/drawing/2014/main" id="{00000000-0008-0000-0100-0000D4040000}"/>
            </a:ext>
          </a:extLst>
        </xdr:cNvPr>
        <xdr:cNvSpPr/>
      </xdr:nvSpPr>
      <xdr:spPr>
        <a:xfrm>
          <a:off x="10958363" y="42643975"/>
          <a:ext cx="154405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480863</xdr:colOff>
      <xdr:row>202</xdr:row>
      <xdr:rowOff>60128</xdr:rowOff>
    </xdr:from>
    <xdr:to>
      <xdr:col>26</xdr:col>
      <xdr:colOff>500915</xdr:colOff>
      <xdr:row>202</xdr:row>
      <xdr:rowOff>300185</xdr:rowOff>
    </xdr:to>
    <xdr:sp macro="" textlink="">
      <xdr:nvSpPr>
        <xdr:cNvPr id="1237" name="Arrow: Left 1236">
          <a:hlinkClick xmlns:r="http://schemas.openxmlformats.org/officeDocument/2006/relationships" r:id="rId2" tooltip="back to Harmony Politics tab"/>
          <a:extLst>
            <a:ext uri="{FF2B5EF4-FFF2-40B4-BE49-F238E27FC236}">
              <a16:creationId xmlns:a16="http://schemas.microsoft.com/office/drawing/2014/main" id="{00000000-0008-0000-0100-0000D5040000}"/>
            </a:ext>
          </a:extLst>
        </xdr:cNvPr>
        <xdr:cNvSpPr/>
      </xdr:nvSpPr>
      <xdr:spPr>
        <a:xfrm>
          <a:off x="10983763" y="51241128"/>
          <a:ext cx="154405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239</xdr:row>
      <xdr:rowOff>66104</xdr:rowOff>
    </xdr:from>
    <xdr:to>
      <xdr:col>26</xdr:col>
      <xdr:colOff>488215</xdr:colOff>
      <xdr:row>239</xdr:row>
      <xdr:rowOff>300185</xdr:rowOff>
    </xdr:to>
    <xdr:sp macro="" textlink="">
      <xdr:nvSpPr>
        <xdr:cNvPr id="1238" name="Arrow: Left 1237">
          <a:hlinkClick xmlns:r="http://schemas.openxmlformats.org/officeDocument/2006/relationships" r:id="rId2" tooltip="back to Harmony Politics tab"/>
          <a:extLst>
            <a:ext uri="{FF2B5EF4-FFF2-40B4-BE49-F238E27FC236}">
              <a16:creationId xmlns:a16="http://schemas.microsoft.com/office/drawing/2014/main" id="{00000000-0008-0000-0100-0000D6040000}"/>
            </a:ext>
          </a:extLst>
        </xdr:cNvPr>
        <xdr:cNvSpPr/>
      </xdr:nvSpPr>
      <xdr:spPr>
        <a:xfrm>
          <a:off x="10971063" y="598577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276</xdr:row>
      <xdr:rowOff>66104</xdr:rowOff>
    </xdr:from>
    <xdr:to>
      <xdr:col>26</xdr:col>
      <xdr:colOff>488215</xdr:colOff>
      <xdr:row>276</xdr:row>
      <xdr:rowOff>300185</xdr:rowOff>
    </xdr:to>
    <xdr:sp macro="" textlink="">
      <xdr:nvSpPr>
        <xdr:cNvPr id="1239" name="Arrow: Left 1238">
          <a:hlinkClick xmlns:r="http://schemas.openxmlformats.org/officeDocument/2006/relationships" r:id="rId2" tooltip="back to Harmony Politics tab"/>
          <a:extLst>
            <a:ext uri="{FF2B5EF4-FFF2-40B4-BE49-F238E27FC236}">
              <a16:creationId xmlns:a16="http://schemas.microsoft.com/office/drawing/2014/main" id="{00000000-0008-0000-0100-0000D7040000}"/>
            </a:ext>
          </a:extLst>
        </xdr:cNvPr>
        <xdr:cNvSpPr/>
      </xdr:nvSpPr>
      <xdr:spPr>
        <a:xfrm>
          <a:off x="10971063" y="682905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1</xdr:col>
      <xdr:colOff>60960</xdr:colOff>
      <xdr:row>2</xdr:row>
      <xdr:rowOff>182880</xdr:rowOff>
    </xdr:from>
    <xdr:ext cx="5943600" cy="2080260"/>
    <xdr:sp macro="" textlink="">
      <xdr:nvSpPr>
        <xdr:cNvPr id="1240" name="Rectangle 1239">
          <a:hlinkClick xmlns:r="http://schemas.openxmlformats.org/officeDocument/2006/relationships" r:id="rId26" tooltip="to next page"/>
          <a:extLst>
            <a:ext uri="{FF2B5EF4-FFF2-40B4-BE49-F238E27FC236}">
              <a16:creationId xmlns:a16="http://schemas.microsoft.com/office/drawing/2014/main" id="{00000000-0008-0000-0100-0000D8040000}"/>
            </a:ext>
          </a:extLst>
        </xdr:cNvPr>
        <xdr:cNvSpPr/>
      </xdr:nvSpPr>
      <xdr:spPr>
        <a:xfrm>
          <a:off x="175260" y="876300"/>
          <a:ext cx="5943600" cy="2080260"/>
        </a:xfrm>
        <a:prstGeom prst="rect">
          <a:avLst/>
        </a:prstGeom>
        <a:noFill/>
      </xdr:spPr>
      <xdr:txBody>
        <a:bodyPr wrap="square" lIns="91440" tIns="45720" rIns="91440" bIns="45720" anchor="ctr">
          <a:noAutofit/>
        </a:bodyPr>
        <a:lstStyle/>
        <a:p>
          <a:pPr algn="ctr"/>
          <a:r>
            <a:rPr lang="en-US" sz="4800" b="0" cap="none" spc="0" baseline="0">
              <a:ln w="0"/>
              <a:solidFill>
                <a:srgbClr val="A5FFC8"/>
              </a:solidFill>
              <a:effectLst>
                <a:outerShdw blurRad="38100" dist="19050" dir="2700000" algn="tl" rotWithShape="0">
                  <a:schemeClr val="dk1">
                    <a:alpha val="40000"/>
                  </a:schemeClr>
                </a:outerShdw>
              </a:effectLst>
              <a:latin typeface="Arial Black" panose="020B0A04020102020204" pitchFamily="34" charset="0"/>
            </a:rPr>
            <a:t>Harmony</a:t>
          </a:r>
          <a:r>
            <a:rPr lang="en-US" sz="4800" b="0" cap="none" spc="0" baseline="0">
              <a:ln w="0"/>
              <a:solidFill>
                <a:srgbClr val="1E5A28"/>
              </a:solidFill>
              <a:effectLst>
                <a:outerShdw blurRad="38100" dist="19050" dir="2700000" algn="tl" rotWithShape="0">
                  <a:schemeClr val="dk1">
                    <a:alpha val="40000"/>
                  </a:schemeClr>
                </a:outerShdw>
              </a:effectLst>
              <a:latin typeface="Arial Black" panose="020B0A04020102020204" pitchFamily="34" charset="0"/>
            </a:rPr>
            <a:t> </a:t>
          </a:r>
          <a:r>
            <a:rPr lang="en-US" sz="4800" b="0" cap="none" spc="0" baseline="0">
              <a:ln w="0"/>
              <a:solidFill>
                <a:srgbClr val="FFCCFF"/>
              </a:solidFill>
              <a:effectLst>
                <a:outerShdw blurRad="38100" dist="19050" dir="2700000" algn="tl" rotWithShape="0">
                  <a:schemeClr val="dk1">
                    <a:alpha val="40000"/>
                  </a:schemeClr>
                </a:outerShdw>
              </a:effectLst>
              <a:latin typeface="Arial Black" panose="020B0A04020102020204" pitchFamily="34" charset="0"/>
            </a:rPr>
            <a:t>Politics</a:t>
          </a:r>
        </a:p>
        <a:p>
          <a:pPr algn="ctr"/>
          <a:r>
            <a:rPr lang="en-US" sz="5600" b="0" cap="none" spc="0" baseline="0">
              <a:ln w="0"/>
              <a:solidFill>
                <a:schemeClr val="bg1"/>
              </a:solidFill>
              <a:effectLst>
                <a:outerShdw blurRad="38100" dist="19050" dir="2700000" algn="tl" rotWithShape="0">
                  <a:schemeClr val="dk1">
                    <a:alpha val="40000"/>
                  </a:schemeClr>
                </a:outerShdw>
              </a:effectLst>
              <a:latin typeface="Arial Black" panose="020B0A04020102020204" pitchFamily="34" charset="0"/>
            </a:rPr>
            <a:t>for counselors</a:t>
          </a:r>
          <a:endParaRPr lang="en-US" sz="5600" b="0" cap="none" spc="0">
            <a:ln w="0"/>
            <a:solidFill>
              <a:schemeClr val="bg1"/>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oneCellAnchor>
    <xdr:from>
      <xdr:col>1</xdr:col>
      <xdr:colOff>236220</xdr:colOff>
      <xdr:row>9</xdr:row>
      <xdr:rowOff>350520</xdr:rowOff>
    </xdr:from>
    <xdr:ext cx="5650372" cy="587661"/>
    <xdr:sp macro="" textlink="">
      <xdr:nvSpPr>
        <xdr:cNvPr id="1241" name="Rectangle 1240">
          <a:hlinkClick xmlns:r="http://schemas.openxmlformats.org/officeDocument/2006/relationships" r:id="rId27" tooltip="to HP tab (generic presentation of Harmony Politics)"/>
          <a:extLst>
            <a:ext uri="{FF2B5EF4-FFF2-40B4-BE49-F238E27FC236}">
              <a16:creationId xmlns:a16="http://schemas.microsoft.com/office/drawing/2014/main" id="{00000000-0008-0000-0100-0000D9040000}"/>
            </a:ext>
          </a:extLst>
        </xdr:cNvPr>
        <xdr:cNvSpPr/>
      </xdr:nvSpPr>
      <xdr:spPr>
        <a:xfrm>
          <a:off x="350520" y="3710940"/>
          <a:ext cx="5650372" cy="587661"/>
        </a:xfrm>
        <a:prstGeom prst="rect">
          <a:avLst/>
        </a:prstGeom>
        <a:noFill/>
      </xdr:spPr>
      <xdr:txBody>
        <a:bodyPr wrap="square" lIns="91440" tIns="45720" rIns="91440" bIns="45720">
          <a:spAutoFit/>
        </a:bodyPr>
        <a:lstStyle/>
        <a:p>
          <a:pPr algn="l"/>
          <a:r>
            <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With</a:t>
          </a:r>
          <a:r>
            <a:rPr lang="en-US" sz="32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Harmony Politics,</a:t>
          </a:r>
          <a:endPar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2</xdr:col>
      <xdr:colOff>224932</xdr:colOff>
      <xdr:row>11</xdr:row>
      <xdr:rowOff>358140</xdr:rowOff>
    </xdr:from>
    <xdr:ext cx="5029200" cy="835229"/>
    <xdr:sp macro="" textlink="">
      <xdr:nvSpPr>
        <xdr:cNvPr id="1242" name="Rectangle 1241">
          <a:extLst>
            <a:ext uri="{FF2B5EF4-FFF2-40B4-BE49-F238E27FC236}">
              <a16:creationId xmlns:a16="http://schemas.microsoft.com/office/drawing/2014/main" id="{00000000-0008-0000-0100-0000DA040000}"/>
            </a:ext>
          </a:extLst>
        </xdr:cNvPr>
        <xdr:cNvSpPr/>
      </xdr:nvSpPr>
      <xdr:spPr>
        <a:xfrm>
          <a:off x="842152" y="4480560"/>
          <a:ext cx="5029200" cy="835229"/>
        </a:xfrm>
        <a:prstGeom prst="rect">
          <a:avLst/>
        </a:prstGeom>
        <a:noFill/>
      </xdr:spPr>
      <xdr:txBody>
        <a:bodyPr wrap="square" lIns="91440" tIns="45720" rIns="91440" bIns="45720">
          <a:spAutoFit/>
        </a:bodyPr>
        <a:lstStyle/>
        <a:p>
          <a:pPr algn="l"/>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you</a:t>
          </a:r>
          <a:r>
            <a:rPr lang="en-US" sz="24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can a</a:t>
          </a:r>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ttract and retain ideologically diverse clients.</a:t>
          </a:r>
        </a:p>
      </xdr:txBody>
    </xdr:sp>
    <xdr:clientData/>
  </xdr:oneCellAnchor>
  <xdr:twoCellAnchor>
    <xdr:from>
      <xdr:col>1</xdr:col>
      <xdr:colOff>22860</xdr:colOff>
      <xdr:row>225</xdr:row>
      <xdr:rowOff>76200</xdr:rowOff>
    </xdr:from>
    <xdr:to>
      <xdr:col>12</xdr:col>
      <xdr:colOff>441959</xdr:colOff>
      <xdr:row>228</xdr:row>
      <xdr:rowOff>124320</xdr:rowOff>
    </xdr:to>
    <xdr:grpSp>
      <xdr:nvGrpSpPr>
        <xdr:cNvPr id="1244" name="Group 1243">
          <a:extLst>
            <a:ext uri="{FF2B5EF4-FFF2-40B4-BE49-F238E27FC236}">
              <a16:creationId xmlns:a16="http://schemas.microsoft.com/office/drawing/2014/main" id="{00000000-0008-0000-0100-0000DC040000}"/>
            </a:ext>
          </a:extLst>
        </xdr:cNvPr>
        <xdr:cNvGrpSpPr/>
      </xdr:nvGrpSpPr>
      <xdr:grpSpPr>
        <a:xfrm>
          <a:off x="137160" y="56327040"/>
          <a:ext cx="5951219" cy="924420"/>
          <a:chOff x="83821" y="39050100"/>
          <a:chExt cx="5951219" cy="924420"/>
        </a:xfrm>
      </xdr:grpSpPr>
      <xdr:pic>
        <xdr:nvPicPr>
          <xdr:cNvPr id="1245" name="Picture 1244">
            <a:extLst>
              <a:ext uri="{FF2B5EF4-FFF2-40B4-BE49-F238E27FC236}">
                <a16:creationId xmlns:a16="http://schemas.microsoft.com/office/drawing/2014/main" id="{00000000-0008-0000-0100-0000DD04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rot="600000">
            <a:off x="2263140" y="39060120"/>
            <a:ext cx="930876" cy="914400"/>
          </a:xfrm>
          <a:prstGeom prst="rect">
            <a:avLst/>
          </a:prstGeom>
        </xdr:spPr>
      </xdr:pic>
      <xdr:pic>
        <xdr:nvPicPr>
          <xdr:cNvPr id="1246" name="Picture 1245">
            <a:extLst>
              <a:ext uri="{FF2B5EF4-FFF2-40B4-BE49-F238E27FC236}">
                <a16:creationId xmlns:a16="http://schemas.microsoft.com/office/drawing/2014/main" id="{00000000-0008-0000-0100-0000DE04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rot="21000000">
            <a:off x="1628280" y="39050100"/>
            <a:ext cx="930876" cy="914400"/>
          </a:xfrm>
          <a:prstGeom prst="rect">
            <a:avLst/>
          </a:prstGeom>
        </xdr:spPr>
      </xdr:pic>
      <xdr:sp macro="" textlink="">
        <xdr:nvSpPr>
          <xdr:cNvPr id="1247" name="Speech Bubble: Rectangle with Corners Rounded 1246">
            <a:extLst>
              <a:ext uri="{FF2B5EF4-FFF2-40B4-BE49-F238E27FC236}">
                <a16:creationId xmlns:a16="http://schemas.microsoft.com/office/drawing/2014/main" id="{00000000-0008-0000-0100-0000DF040000}"/>
              </a:ext>
            </a:extLst>
          </xdr:cNvPr>
          <xdr:cNvSpPr/>
        </xdr:nvSpPr>
        <xdr:spPr>
          <a:xfrm>
            <a:off x="83821" y="39128700"/>
            <a:ext cx="1485899" cy="731520"/>
          </a:xfrm>
          <a:prstGeom prst="wedgeRoundRectCallout">
            <a:avLst>
              <a:gd name="adj1" fmla="val 75356"/>
              <a:gd name="adj2" fmla="val -6495"/>
              <a:gd name="adj3" fmla="val 16667"/>
            </a:avLst>
          </a:prstGeom>
          <a:solidFill>
            <a:srgbClr val="4B2364"/>
          </a:solidFill>
          <a:ln>
            <a:noFill/>
          </a:ln>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ctr"/>
          <a:lstStyle/>
          <a:p>
            <a:pPr algn="ctr"/>
            <a:r>
              <a:rPr lang="en-US" sz="1600" b="1">
                <a:solidFill>
                  <a:srgbClr val="EBDCFF"/>
                </a:solidFill>
                <a:latin typeface="Tahoma" panose="020B0604030504040204" pitchFamily="34" charset="0"/>
                <a:ea typeface="Tahoma" panose="020B0604030504040204" pitchFamily="34" charset="0"/>
                <a:cs typeface="Tahoma" panose="020B0604030504040204" pitchFamily="34" charset="0"/>
              </a:rPr>
              <a:t>Before we get to that...</a:t>
            </a:r>
            <a:endParaRPr lang="en-US" sz="1400" b="1">
              <a:solidFill>
                <a:srgbClr val="EBDCFF"/>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248" name="Speech Bubble: Rectangle with Corners Rounded 1247">
            <a:extLst>
              <a:ext uri="{FF2B5EF4-FFF2-40B4-BE49-F238E27FC236}">
                <a16:creationId xmlns:a16="http://schemas.microsoft.com/office/drawing/2014/main" id="{00000000-0008-0000-0100-0000E0040000}"/>
              </a:ext>
            </a:extLst>
          </xdr:cNvPr>
          <xdr:cNvSpPr/>
        </xdr:nvSpPr>
        <xdr:spPr>
          <a:xfrm>
            <a:off x="3253741" y="39128700"/>
            <a:ext cx="2781299" cy="731520"/>
          </a:xfrm>
          <a:prstGeom prst="wedgeRoundRectCallout">
            <a:avLst>
              <a:gd name="adj1" fmla="val -65184"/>
              <a:gd name="adj2" fmla="val 6234"/>
              <a:gd name="adj3" fmla="val 16667"/>
            </a:avLst>
          </a:prstGeom>
          <a:solidFill>
            <a:srgbClr val="4B2364"/>
          </a:solidFill>
          <a:ln>
            <a:noFill/>
          </a:ln>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ctr"/>
          <a:lstStyle/>
          <a:p>
            <a:pPr algn="ctr"/>
            <a:r>
              <a:rPr lang="en-US" sz="1600" b="1">
                <a:solidFill>
                  <a:srgbClr val="EBDCFF"/>
                </a:solidFill>
                <a:latin typeface="Tahoma" panose="020B0604030504040204" pitchFamily="34" charset="0"/>
                <a:ea typeface="Tahoma" panose="020B0604030504040204" pitchFamily="34" charset="0"/>
                <a:cs typeface="Tahoma" panose="020B0604030504040204" pitchFamily="34" charset="0"/>
              </a:rPr>
              <a:t>...let's address</a:t>
            </a:r>
            <a:r>
              <a:rPr lang="en-US" sz="1600" b="1" baseline="0">
                <a:solidFill>
                  <a:srgbClr val="EBDCFF"/>
                </a:solidFill>
                <a:latin typeface="Tahoma" panose="020B0604030504040204" pitchFamily="34" charset="0"/>
                <a:ea typeface="Tahoma" panose="020B0604030504040204" pitchFamily="34" charset="0"/>
                <a:cs typeface="Tahoma" panose="020B0604030504040204" pitchFamily="34" charset="0"/>
              </a:rPr>
              <a:t> your needs behind those beliefs.</a:t>
            </a:r>
            <a:endParaRPr lang="en-US" sz="1400" b="1">
              <a:solidFill>
                <a:srgbClr val="EBDCFF"/>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editAs="oneCell">
    <xdr:from>
      <xdr:col>8</xdr:col>
      <xdr:colOff>22411</xdr:colOff>
      <xdr:row>541</xdr:row>
      <xdr:rowOff>82475</xdr:rowOff>
    </xdr:from>
    <xdr:to>
      <xdr:col>13</xdr:col>
      <xdr:colOff>44823</xdr:colOff>
      <xdr:row>546</xdr:row>
      <xdr:rowOff>194236</xdr:rowOff>
    </xdr:to>
    <xdr:pic>
      <xdr:nvPicPr>
        <xdr:cNvPr id="1249" name="Picture 1248">
          <a:extLst>
            <a:ext uri="{FF2B5EF4-FFF2-40B4-BE49-F238E27FC236}">
              <a16:creationId xmlns:a16="http://schemas.microsoft.com/office/drawing/2014/main" id="{00000000-0008-0000-0100-0000E1040000}"/>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a:stretch/>
      </xdr:blipFill>
      <xdr:spPr>
        <a:xfrm>
          <a:off x="3638176" y="129054710"/>
          <a:ext cx="2525059" cy="1381761"/>
        </a:xfrm>
        <a:prstGeom prst="rect">
          <a:avLst/>
        </a:prstGeom>
      </xdr:spPr>
    </xdr:pic>
    <xdr:clientData/>
  </xdr:twoCellAnchor>
  <xdr:twoCellAnchor>
    <xdr:from>
      <xdr:col>1</xdr:col>
      <xdr:colOff>0</xdr:colOff>
      <xdr:row>648</xdr:row>
      <xdr:rowOff>258917</xdr:rowOff>
    </xdr:from>
    <xdr:to>
      <xdr:col>12</xdr:col>
      <xdr:colOff>407204</xdr:colOff>
      <xdr:row>656</xdr:row>
      <xdr:rowOff>38082</xdr:rowOff>
    </xdr:to>
    <xdr:grpSp>
      <xdr:nvGrpSpPr>
        <xdr:cNvPr id="1261" name="Group 1260">
          <a:extLst>
            <a:ext uri="{FF2B5EF4-FFF2-40B4-BE49-F238E27FC236}">
              <a16:creationId xmlns:a16="http://schemas.microsoft.com/office/drawing/2014/main" id="{00000000-0008-0000-0100-0000ED040000}"/>
            </a:ext>
          </a:extLst>
        </xdr:cNvPr>
        <xdr:cNvGrpSpPr/>
      </xdr:nvGrpSpPr>
      <xdr:grpSpPr>
        <a:xfrm>
          <a:off x="114300" y="155059217"/>
          <a:ext cx="5939324" cy="1638445"/>
          <a:chOff x="6232607" y="13243257"/>
          <a:chExt cx="5855804" cy="1141162"/>
        </a:xfrm>
      </xdr:grpSpPr>
      <xdr:sp macro="" textlink="">
        <xdr:nvSpPr>
          <xdr:cNvPr id="1262" name="TextBox 1261">
            <a:extLst>
              <a:ext uri="{FF2B5EF4-FFF2-40B4-BE49-F238E27FC236}">
                <a16:creationId xmlns:a16="http://schemas.microsoft.com/office/drawing/2014/main" id="{00000000-0008-0000-0100-0000EE040000}"/>
              </a:ext>
            </a:extLst>
          </xdr:cNvPr>
          <xdr:cNvSpPr txBox="1"/>
        </xdr:nvSpPr>
        <xdr:spPr>
          <a:xfrm>
            <a:off x="6274441" y="13243257"/>
            <a:ext cx="5744193" cy="20367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500" b="1" spc="90" baseline="0">
                <a:ln>
                  <a:solidFill>
                    <a:srgbClr val="FF0066"/>
                  </a:solidFill>
                </a:ln>
                <a:solidFill>
                  <a:srgbClr val="C00000"/>
                </a:solidFill>
                <a:latin typeface="Tahoma" panose="020B0604030504040204" pitchFamily="34" charset="0"/>
                <a:ea typeface="Tahoma" panose="020B0604030504040204" pitchFamily="34" charset="0"/>
                <a:cs typeface="Tahoma" panose="020B0604030504040204" pitchFamily="34" charset="0"/>
              </a:rPr>
              <a:t>The competition that matters most is who loves more.</a:t>
            </a:r>
          </a:p>
        </xdr:txBody>
      </xdr:sp>
      <xdr:grpSp>
        <xdr:nvGrpSpPr>
          <xdr:cNvPr id="1263" name="Group 1262">
            <a:extLst>
              <a:ext uri="{FF2B5EF4-FFF2-40B4-BE49-F238E27FC236}">
                <a16:creationId xmlns:a16="http://schemas.microsoft.com/office/drawing/2014/main" id="{00000000-0008-0000-0100-0000EF040000}"/>
              </a:ext>
            </a:extLst>
          </xdr:cNvPr>
          <xdr:cNvGrpSpPr/>
        </xdr:nvGrpSpPr>
        <xdr:grpSpPr>
          <a:xfrm>
            <a:off x="6269787" y="13280189"/>
            <a:ext cx="5692708" cy="1104230"/>
            <a:chOff x="6269787" y="13280189"/>
            <a:chExt cx="5692708" cy="1104230"/>
          </a:xfrm>
        </xdr:grpSpPr>
        <xdr:sp macro="" textlink="">
          <xdr:nvSpPr>
            <xdr:cNvPr id="1270" name="TextBox 1269">
              <a:extLst>
                <a:ext uri="{FF2B5EF4-FFF2-40B4-BE49-F238E27FC236}">
                  <a16:creationId xmlns:a16="http://schemas.microsoft.com/office/drawing/2014/main" id="{00000000-0008-0000-0100-0000F6040000}"/>
                </a:ext>
              </a:extLst>
            </xdr:cNvPr>
            <xdr:cNvSpPr txBox="1"/>
          </xdr:nvSpPr>
          <xdr:spPr>
            <a:xfrm>
              <a:off x="6269787" y="13280189"/>
              <a:ext cx="2743200" cy="10431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0800" b="0" baseline="0">
                  <a:ln>
                    <a:solidFill>
                      <a:schemeClr val="accent4">
                        <a:lumMod val="20000"/>
                        <a:lumOff val="80000"/>
                      </a:schemeClr>
                    </a:solidFill>
                  </a:ln>
                  <a:gradFill flip="none" rotWithShape="1">
                    <a:gsLst>
                      <a:gs pos="50000">
                        <a:schemeClr val="accent2">
                          <a:lumMod val="60000"/>
                          <a:lumOff val="40000"/>
                          <a:alpha val="50000"/>
                        </a:schemeClr>
                      </a:gs>
                      <a:gs pos="0">
                        <a:schemeClr val="accent2">
                          <a:lumMod val="60000"/>
                          <a:lumOff val="40000"/>
                          <a:alpha val="60000"/>
                        </a:schemeClr>
                      </a:gs>
                      <a:gs pos="100000">
                        <a:schemeClr val="accent2">
                          <a:lumMod val="20000"/>
                          <a:lumOff val="80000"/>
                          <a:alpha val="80000"/>
                        </a:schemeClr>
                      </a:gs>
                    </a:gsLst>
                    <a:lin ang="5400000" scaled="1"/>
                    <a:tileRect/>
                  </a:gradFill>
                  <a:effectLst>
                    <a:glow rad="50800">
                      <a:schemeClr val="accent2">
                        <a:lumMod val="40000"/>
                        <a:lumOff val="60000"/>
                        <a:alpha val="30000"/>
                      </a:schemeClr>
                    </a:glow>
                  </a:effectLst>
                  <a:latin typeface="Impact" panose="020B0806030902050204" pitchFamily="34" charset="0"/>
                  <a:ea typeface="Tahoma" panose="020B0604030504040204" pitchFamily="34" charset="0"/>
                  <a:cs typeface="Tahoma" panose="020B0604030504040204" pitchFamily="34" charset="0"/>
                </a:rPr>
                <a:t>HATE</a:t>
              </a:r>
            </a:p>
          </xdr:txBody>
        </xdr:sp>
        <xdr:sp macro="" textlink="">
          <xdr:nvSpPr>
            <xdr:cNvPr id="1271" name="TextBox 1270">
              <a:extLst>
                <a:ext uri="{FF2B5EF4-FFF2-40B4-BE49-F238E27FC236}">
                  <a16:creationId xmlns:a16="http://schemas.microsoft.com/office/drawing/2014/main" id="{00000000-0008-0000-0100-0000F7040000}"/>
                </a:ext>
              </a:extLst>
            </xdr:cNvPr>
            <xdr:cNvSpPr txBox="1"/>
          </xdr:nvSpPr>
          <xdr:spPr>
            <a:xfrm>
              <a:off x="9219295" y="13280189"/>
              <a:ext cx="2743200" cy="10484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r"/>
              <a:r>
                <a:rPr lang="en-US" sz="10800" b="0" baseline="0">
                  <a:ln>
                    <a:solidFill>
                      <a:srgbClr val="FFCCCC"/>
                    </a:solidFill>
                  </a:ln>
                  <a:gradFill flip="none" rotWithShape="1">
                    <a:gsLst>
                      <a:gs pos="0">
                        <a:srgbClr val="FF6699">
                          <a:alpha val="41000"/>
                        </a:srgbClr>
                      </a:gs>
                      <a:gs pos="50000">
                        <a:srgbClr val="FF0066">
                          <a:alpha val="25000"/>
                        </a:srgbClr>
                      </a:gs>
                      <a:gs pos="100000">
                        <a:srgbClr val="FFCCCC">
                          <a:alpha val="80000"/>
                        </a:srgbClr>
                      </a:gs>
                    </a:gsLst>
                    <a:lin ang="16200000" scaled="1"/>
                    <a:tileRect/>
                  </a:gradFill>
                  <a:effectLst>
                    <a:glow rad="50800">
                      <a:srgbClr val="FF0066">
                        <a:alpha val="30000"/>
                      </a:srgbClr>
                    </a:glow>
                  </a:effectLst>
                  <a:latin typeface="Impact" panose="020B0806030902050204" pitchFamily="34" charset="0"/>
                  <a:ea typeface="Tahoma" panose="020B0604030504040204" pitchFamily="34" charset="0"/>
                  <a:cs typeface="Tahoma" panose="020B0604030504040204" pitchFamily="34" charset="0"/>
                </a:rPr>
                <a:t>LOVE</a:t>
              </a:r>
            </a:p>
          </xdr:txBody>
        </xdr:sp>
        <xdr:sp macro="" textlink="">
          <xdr:nvSpPr>
            <xdr:cNvPr id="1272" name="TextBox 1271">
              <a:extLst>
                <a:ext uri="{FF2B5EF4-FFF2-40B4-BE49-F238E27FC236}">
                  <a16:creationId xmlns:a16="http://schemas.microsoft.com/office/drawing/2014/main" id="{00000000-0008-0000-0100-0000F8040000}"/>
                </a:ext>
              </a:extLst>
            </xdr:cNvPr>
            <xdr:cNvSpPr txBox="1"/>
          </xdr:nvSpPr>
          <xdr:spPr>
            <a:xfrm>
              <a:off x="8896973" y="13766797"/>
              <a:ext cx="516019" cy="61762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4000" b="0" baseline="0">
                  <a:ln>
                    <a:solidFill>
                      <a:schemeClr val="tx1">
                        <a:lumMod val="50000"/>
                        <a:lumOff val="50000"/>
                        <a:alpha val="50000"/>
                      </a:schemeClr>
                    </a:solidFill>
                  </a:ln>
                  <a:solidFill>
                    <a:schemeClr val="bg1">
                      <a:lumMod val="65000"/>
                      <a:alpha val="34000"/>
                    </a:schemeClr>
                  </a:solidFill>
                  <a:effectLst>
                    <a:glow rad="76200">
                      <a:schemeClr val="bg1">
                        <a:lumMod val="75000"/>
                        <a:alpha val="60000"/>
                      </a:schemeClr>
                    </a:glow>
                  </a:effectLst>
                  <a:latin typeface="Impact" panose="020B0806030902050204" pitchFamily="34" charset="0"/>
                  <a:ea typeface="Tahoma" panose="020B0604030504040204" pitchFamily="34" charset="0"/>
                  <a:cs typeface="Tahoma" panose="020B0604030504040204" pitchFamily="34" charset="0"/>
                </a:rPr>
                <a:t>or</a:t>
              </a:r>
            </a:p>
          </xdr:txBody>
        </xdr:sp>
      </xdr:grpSp>
      <xdr:sp macro="" textlink="">
        <xdr:nvSpPr>
          <xdr:cNvPr id="1264" name="TextBox 1263">
            <a:extLst>
              <a:ext uri="{FF2B5EF4-FFF2-40B4-BE49-F238E27FC236}">
                <a16:creationId xmlns:a16="http://schemas.microsoft.com/office/drawing/2014/main" id="{00000000-0008-0000-0100-0000F0040000}"/>
              </a:ext>
            </a:extLst>
          </xdr:cNvPr>
          <xdr:cNvSpPr txBox="1"/>
        </xdr:nvSpPr>
        <xdr:spPr>
          <a:xfrm rot="172511">
            <a:off x="6522684" y="13484683"/>
            <a:ext cx="2359527"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chemeClr val="accent4">
                      <a:lumMod val="50000"/>
                      <a:alpha val="50000"/>
                    </a:schemeClr>
                  </a:solidFill>
                </a:ln>
                <a:solidFill>
                  <a:schemeClr val="accent4">
                    <a:lumMod val="75000"/>
                  </a:schemeClr>
                </a:solidFill>
                <a:effectLst>
                  <a:glow rad="38100">
                    <a:srgbClr val="FFC000">
                      <a:alpha val="50000"/>
                    </a:srgbClr>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PROVE THEM WRONG</a:t>
            </a:r>
          </a:p>
        </xdr:txBody>
      </xdr:sp>
      <xdr:sp macro="" textlink="">
        <xdr:nvSpPr>
          <xdr:cNvPr id="1265" name="TextBox 1264">
            <a:extLst>
              <a:ext uri="{FF2B5EF4-FFF2-40B4-BE49-F238E27FC236}">
                <a16:creationId xmlns:a16="http://schemas.microsoft.com/office/drawing/2014/main" id="{00000000-0008-0000-0100-0000F1040000}"/>
              </a:ext>
            </a:extLst>
          </xdr:cNvPr>
          <xdr:cNvSpPr txBox="1"/>
        </xdr:nvSpPr>
        <xdr:spPr>
          <a:xfrm rot="21358142">
            <a:off x="6232607" y="14082891"/>
            <a:ext cx="2695266"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chemeClr val="accent4">
                      <a:lumMod val="50000"/>
                      <a:alpha val="50000"/>
                    </a:schemeClr>
                  </a:solidFill>
                </a:ln>
                <a:solidFill>
                  <a:schemeClr val="accent4">
                    <a:lumMod val="75000"/>
                  </a:schemeClr>
                </a:solidFill>
                <a:effectLst>
                  <a:glow rad="38100">
                    <a:srgbClr val="FFC000">
                      <a:alpha val="50000"/>
                    </a:srgbClr>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DENOUNCE THEM AS BAD</a:t>
            </a:r>
          </a:p>
        </xdr:txBody>
      </xdr:sp>
      <xdr:sp macro="" textlink="">
        <xdr:nvSpPr>
          <xdr:cNvPr id="1266" name="TextBox 1265">
            <a:extLst>
              <a:ext uri="{FF2B5EF4-FFF2-40B4-BE49-F238E27FC236}">
                <a16:creationId xmlns:a16="http://schemas.microsoft.com/office/drawing/2014/main" id="{00000000-0008-0000-0100-0000F2040000}"/>
              </a:ext>
            </a:extLst>
          </xdr:cNvPr>
          <xdr:cNvSpPr txBox="1"/>
        </xdr:nvSpPr>
        <xdr:spPr>
          <a:xfrm rot="21126775">
            <a:off x="6432155" y="13756132"/>
            <a:ext cx="2080482" cy="317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lnSpc>
                <a:spcPts val="1400"/>
              </a:lnSpc>
            </a:pPr>
            <a:r>
              <a:rPr lang="en-US" sz="1600" b="1" baseline="0">
                <a:ln>
                  <a:solidFill>
                    <a:schemeClr val="accent4">
                      <a:lumMod val="50000"/>
                      <a:alpha val="50000"/>
                    </a:schemeClr>
                  </a:solidFill>
                </a:ln>
                <a:solidFill>
                  <a:schemeClr val="accent4">
                    <a:lumMod val="75000"/>
                  </a:schemeClr>
                </a:solidFill>
                <a:effectLst>
                  <a:glow rad="38100">
                    <a:srgbClr val="FFC000">
                      <a:alpha val="50000"/>
                    </a:srgbClr>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CLAIM ONLY YOUR SIDE IS RIGHT</a:t>
            </a:r>
          </a:p>
        </xdr:txBody>
      </xdr:sp>
      <xdr:sp macro="" textlink="">
        <xdr:nvSpPr>
          <xdr:cNvPr id="1267" name="TextBox 1266">
            <a:extLst>
              <a:ext uri="{FF2B5EF4-FFF2-40B4-BE49-F238E27FC236}">
                <a16:creationId xmlns:a16="http://schemas.microsoft.com/office/drawing/2014/main" id="{00000000-0008-0000-0100-0000F3040000}"/>
              </a:ext>
            </a:extLst>
          </xdr:cNvPr>
          <xdr:cNvSpPr txBox="1"/>
        </xdr:nvSpPr>
        <xdr:spPr>
          <a:xfrm rot="21420000">
            <a:off x="9376259" y="13484262"/>
            <a:ext cx="2686064"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rgbClr val="FF0066">
                      <a:alpha val="50000"/>
                    </a:srgbClr>
                  </a:solidFill>
                </a:ln>
                <a:solidFill>
                  <a:srgbClr val="C00000"/>
                </a:solidFill>
                <a:effectLst>
                  <a:glow rad="38100">
                    <a:srgbClr val="FFCCCC"/>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PROVE YOU LISTEN MORE</a:t>
            </a:r>
          </a:p>
        </xdr:txBody>
      </xdr:sp>
      <xdr:sp macro="" textlink="">
        <xdr:nvSpPr>
          <xdr:cNvPr id="1268" name="TextBox 1267">
            <a:extLst>
              <a:ext uri="{FF2B5EF4-FFF2-40B4-BE49-F238E27FC236}">
                <a16:creationId xmlns:a16="http://schemas.microsoft.com/office/drawing/2014/main" id="{00000000-0008-0000-0100-0000F4040000}"/>
              </a:ext>
            </a:extLst>
          </xdr:cNvPr>
          <xdr:cNvSpPr txBox="1"/>
        </xdr:nvSpPr>
        <xdr:spPr>
          <a:xfrm rot="240000">
            <a:off x="9459776" y="14090393"/>
            <a:ext cx="2448312"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rgbClr val="FF0066">
                      <a:alpha val="50000"/>
                    </a:srgbClr>
                  </a:solidFill>
                </a:ln>
                <a:solidFill>
                  <a:srgbClr val="C00000"/>
                </a:solidFill>
                <a:effectLst>
                  <a:glow rad="38100">
                    <a:srgbClr val="FFCCCC"/>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AFFIRM MORE NEEDS</a:t>
            </a:r>
          </a:p>
        </xdr:txBody>
      </xdr:sp>
      <xdr:sp macro="" textlink="">
        <xdr:nvSpPr>
          <xdr:cNvPr id="1269" name="TextBox 1268">
            <a:extLst>
              <a:ext uri="{FF2B5EF4-FFF2-40B4-BE49-F238E27FC236}">
                <a16:creationId xmlns:a16="http://schemas.microsoft.com/office/drawing/2014/main" id="{00000000-0008-0000-0100-0000F5040000}"/>
              </a:ext>
            </a:extLst>
          </xdr:cNvPr>
          <xdr:cNvSpPr txBox="1"/>
        </xdr:nvSpPr>
        <xdr:spPr>
          <a:xfrm rot="480000">
            <a:off x="10031955" y="13765881"/>
            <a:ext cx="2056456" cy="317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lnSpc>
                <a:spcPts val="1400"/>
              </a:lnSpc>
            </a:pPr>
            <a:r>
              <a:rPr lang="en-US" sz="1600" b="1" baseline="0">
                <a:ln>
                  <a:solidFill>
                    <a:srgbClr val="FF0066">
                      <a:alpha val="50000"/>
                    </a:srgbClr>
                  </a:solidFill>
                </a:ln>
                <a:solidFill>
                  <a:srgbClr val="C00000"/>
                </a:solidFill>
                <a:effectLst>
                  <a:glow rad="38100">
                    <a:srgbClr val="FFCCCC"/>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OFFER MORE THAN THEY WILL OFFER</a:t>
            </a:r>
          </a:p>
        </xdr:txBody>
      </xdr:sp>
    </xdr:grpSp>
    <xdr:clientData/>
  </xdr:twoCellAnchor>
  <xdr:twoCellAnchor>
    <xdr:from>
      <xdr:col>15</xdr:col>
      <xdr:colOff>38249</xdr:colOff>
      <xdr:row>644</xdr:row>
      <xdr:rowOff>392505</xdr:rowOff>
    </xdr:from>
    <xdr:to>
      <xdr:col>26</xdr:col>
      <xdr:colOff>449728</xdr:colOff>
      <xdr:row>648</xdr:row>
      <xdr:rowOff>82176</xdr:rowOff>
    </xdr:to>
    <xdr:sp macro="" textlink="">
      <xdr:nvSpPr>
        <xdr:cNvPr id="1204" name="TextBox 1203">
          <a:extLst>
            <a:ext uri="{FF2B5EF4-FFF2-40B4-BE49-F238E27FC236}">
              <a16:creationId xmlns:a16="http://schemas.microsoft.com/office/drawing/2014/main" id="{00000000-0008-0000-0100-0000B4040000}"/>
            </a:ext>
          </a:extLst>
        </xdr:cNvPr>
        <xdr:cNvSpPr txBox="1"/>
      </xdr:nvSpPr>
      <xdr:spPr>
        <a:xfrm>
          <a:off x="6380778" y="154488329"/>
          <a:ext cx="5917303" cy="892435"/>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Political leaders lead poorly when pitting needs against each other. Harmony Politics can empower you and your client to lead these leaders. Their legitimacy is diminished when failing to integrate the needs of both sides. You and your client can replace petty divisive politics with the more compelling competitio of who can love others the most.</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91588</xdr:colOff>
      <xdr:row>619</xdr:row>
      <xdr:rowOff>10010</xdr:rowOff>
    </xdr:from>
    <xdr:to>
      <xdr:col>27</xdr:col>
      <xdr:colOff>28835</xdr:colOff>
      <xdr:row>622</xdr:row>
      <xdr:rowOff>209177</xdr:rowOff>
    </xdr:to>
    <xdr:sp macro="" textlink="">
      <xdr:nvSpPr>
        <xdr:cNvPr id="1312" name="TextBox 1311">
          <a:extLst>
            <a:ext uri="{FF2B5EF4-FFF2-40B4-BE49-F238E27FC236}">
              <a16:creationId xmlns:a16="http://schemas.microsoft.com/office/drawing/2014/main" id="{00000000-0008-0000-0100-000020050000}"/>
            </a:ext>
          </a:extLst>
        </xdr:cNvPr>
        <xdr:cNvSpPr txBox="1"/>
      </xdr:nvSpPr>
      <xdr:spPr>
        <a:xfrm>
          <a:off x="6434117" y="148293716"/>
          <a:ext cx="5943600" cy="849108"/>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I invite you to help me develop a fresh online model for therapy. Instead of focusing on changes within your client, psychosociotherapy supports your client to change their relations with powerful others. They have their direct relation with you to work from. I invite you to empower your client to speak their truth to political power, using what I call the </a:t>
          </a:r>
          <a:r>
            <a:rPr lang="en-US" sz="1100" b="1" baseline="0">
              <a:solidFill>
                <a:schemeClr val="dk1"/>
              </a:solidFill>
              <a:effectLst/>
              <a:latin typeface="Cambria" panose="02040503050406030204" pitchFamily="18" charset="0"/>
              <a:ea typeface="Cambria" panose="02040503050406030204" pitchFamily="18" charset="0"/>
              <a:cs typeface="+mn-cs"/>
            </a:rPr>
            <a:t>impact parity model</a:t>
          </a:r>
          <a:r>
            <a:rPr lang="en-US" sz="1100" b="0" baseline="0">
              <a:solidFill>
                <a:schemeClr val="dk1"/>
              </a:solidFill>
              <a:effectLst/>
              <a:latin typeface="Cambria" panose="02040503050406030204" pitchFamily="18" charset="0"/>
              <a:ea typeface="Cambria" panose="02040503050406030204" pitchFamily="18" charset="0"/>
              <a:cs typeface="+mn-cs"/>
            </a:rPr>
            <a:t>.</a:t>
          </a:r>
          <a:endParaRPr lang="en-US" sz="1050">
            <a:latin typeface="Arial Narrow" panose="020B0606020202030204" pitchFamily="34" charset="0"/>
          </a:endParaRPr>
        </a:p>
      </xdr:txBody>
    </xdr:sp>
    <xdr:clientData/>
  </xdr:twoCellAnchor>
  <xdr:twoCellAnchor>
    <xdr:from>
      <xdr:col>15</xdr:col>
      <xdr:colOff>29883</xdr:colOff>
      <xdr:row>609</xdr:row>
      <xdr:rowOff>24355</xdr:rowOff>
    </xdr:from>
    <xdr:to>
      <xdr:col>26</xdr:col>
      <xdr:colOff>441362</xdr:colOff>
      <xdr:row>609</xdr:row>
      <xdr:rowOff>657412</xdr:rowOff>
    </xdr:to>
    <xdr:sp macro="" textlink="">
      <xdr:nvSpPr>
        <xdr:cNvPr id="1321" name="TextBox 1320">
          <a:extLst>
            <a:ext uri="{FF2B5EF4-FFF2-40B4-BE49-F238E27FC236}">
              <a16:creationId xmlns:a16="http://schemas.microsoft.com/office/drawing/2014/main" id="{00000000-0008-0000-0100-000029050000}"/>
            </a:ext>
          </a:extLst>
        </xdr:cNvPr>
        <xdr:cNvSpPr txBox="1"/>
      </xdr:nvSpPr>
      <xdr:spPr>
        <a:xfrm>
          <a:off x="6372412" y="144894002"/>
          <a:ext cx="5917303" cy="633057"/>
        </a:xfrm>
        <a:prstGeom prst="rect">
          <a:avLst/>
        </a:prstGeom>
        <a:solidFill>
          <a:srgbClr val="00823C"/>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100" b="0">
              <a:solidFill>
                <a:srgbClr val="E1FFEB"/>
              </a:solidFill>
              <a:latin typeface="+mn-lt"/>
              <a:ea typeface="+mn-ea"/>
              <a:cs typeface="+mn-cs"/>
            </a:rPr>
            <a:t>These address psychosocial needs at the individual level with traditional psychotherapy. Discover how </a:t>
          </a:r>
          <a:r>
            <a:rPr lang="en-US" sz="1100" b="1" i="1">
              <a:solidFill>
                <a:srgbClr val="E1FFEB"/>
              </a:solidFill>
              <a:latin typeface="+mn-lt"/>
              <a:ea typeface="+mn-ea"/>
              <a:cs typeface="+mn-cs"/>
            </a:rPr>
            <a:t>psychosociotherapy</a:t>
          </a:r>
          <a:r>
            <a:rPr lang="en-US" sz="1100" b="0">
              <a:solidFill>
                <a:srgbClr val="E1FFEB"/>
              </a:solidFill>
              <a:latin typeface="+mn-lt"/>
              <a:ea typeface="+mn-ea"/>
              <a:cs typeface="+mn-cs"/>
            </a:rPr>
            <a:t> can address such psychosocial needs on both a personal and interpersonal or social level. </a:t>
          </a:r>
        </a:p>
      </xdr:txBody>
    </xdr:sp>
    <xdr:clientData/>
  </xdr:twoCellAnchor>
  <xdr:twoCellAnchor>
    <xdr:from>
      <xdr:col>6</xdr:col>
      <xdr:colOff>421772</xdr:colOff>
      <xdr:row>665</xdr:row>
      <xdr:rowOff>233777</xdr:rowOff>
    </xdr:from>
    <xdr:to>
      <xdr:col>12</xdr:col>
      <xdr:colOff>374094</xdr:colOff>
      <xdr:row>669</xdr:row>
      <xdr:rowOff>149701</xdr:rowOff>
    </xdr:to>
    <xdr:grpSp>
      <xdr:nvGrpSpPr>
        <xdr:cNvPr id="1350" name="ALERT scale left">
          <a:extLst>
            <a:ext uri="{FF2B5EF4-FFF2-40B4-BE49-F238E27FC236}">
              <a16:creationId xmlns:a16="http://schemas.microsoft.com/office/drawing/2014/main" id="{00000000-0008-0000-0100-000046050000}"/>
            </a:ext>
          </a:extLst>
        </xdr:cNvPr>
        <xdr:cNvGrpSpPr>
          <a:grpSpLocks/>
        </xdr:cNvGrpSpPr>
      </xdr:nvGrpSpPr>
      <xdr:grpSpPr>
        <a:xfrm rot="893733">
          <a:off x="3050672" y="158965997"/>
          <a:ext cx="2969842" cy="921764"/>
          <a:chOff x="1949301" y="3596783"/>
          <a:chExt cx="5248139" cy="1889617"/>
        </a:xfrm>
        <a:effectLst>
          <a:glow rad="25400">
            <a:schemeClr val="accent4">
              <a:lumMod val="50000"/>
              <a:alpha val="90000"/>
            </a:schemeClr>
          </a:glow>
          <a:outerShdw blurRad="25400" dist="25400" dir="5400000" algn="t" rotWithShape="0">
            <a:prstClr val="black">
              <a:alpha val="40000"/>
            </a:prstClr>
          </a:outerShdw>
        </a:effectLst>
      </xdr:grpSpPr>
      <xdr:sp macro="" textlink="">
        <xdr:nvSpPr>
          <xdr:cNvPr id="1351" name="Cross Brace">
            <a:extLst>
              <a:ext uri="{FF2B5EF4-FFF2-40B4-BE49-F238E27FC236}">
                <a16:creationId xmlns:a16="http://schemas.microsoft.com/office/drawing/2014/main" id="{00000000-0008-0000-0100-000047050000}"/>
              </a:ext>
            </a:extLst>
          </xdr:cNvPr>
          <xdr:cNvSpPr/>
        </xdr:nvSpPr>
        <xdr:spPr>
          <a:xfrm rot="5400000">
            <a:off x="4229100" y="2400300"/>
            <a:ext cx="685800" cy="3657600"/>
          </a:xfrm>
          <a:prstGeom prst="rightBrace">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2" name="Right Bracket">
            <a:extLst>
              <a:ext uri="{FF2B5EF4-FFF2-40B4-BE49-F238E27FC236}">
                <a16:creationId xmlns:a16="http://schemas.microsoft.com/office/drawing/2014/main" id="{00000000-0008-0000-0100-000048050000}"/>
              </a:ext>
            </a:extLst>
          </xdr:cNvPr>
          <xdr:cNvSpPr/>
        </xdr:nvSpPr>
        <xdr:spPr>
          <a:xfrm rot="4506267">
            <a:off x="6260179" y="2933844"/>
            <a:ext cx="274321"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3" name="Left Bracket">
            <a:extLst>
              <a:ext uri="{FF2B5EF4-FFF2-40B4-BE49-F238E27FC236}">
                <a16:creationId xmlns:a16="http://schemas.microsoft.com/office/drawing/2014/main" id="{00000000-0008-0000-0100-000049050000}"/>
              </a:ext>
            </a:extLst>
          </xdr:cNvPr>
          <xdr:cNvSpPr/>
        </xdr:nvSpPr>
        <xdr:spPr>
          <a:xfrm rot="4506267">
            <a:off x="2612241" y="2948940"/>
            <a:ext cx="274320"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4" name="scale base">
            <a:extLst>
              <a:ext uri="{FF2B5EF4-FFF2-40B4-BE49-F238E27FC236}">
                <a16:creationId xmlns:a16="http://schemas.microsoft.com/office/drawing/2014/main" id="{00000000-0008-0000-0100-00004A050000}"/>
              </a:ext>
            </a:extLst>
          </xdr:cNvPr>
          <xdr:cNvSpPr/>
        </xdr:nvSpPr>
        <xdr:spPr>
          <a:xfrm rot="20771790">
            <a:off x="3886200" y="4572000"/>
            <a:ext cx="1371600" cy="914400"/>
          </a:xfrm>
          <a:prstGeom prst="pie">
            <a:avLst>
              <a:gd name="adj1" fmla="val 10753755"/>
              <a:gd name="adj2" fmla="val 21569657"/>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grpSp>
    <xdr:clientData/>
  </xdr:twoCellAnchor>
  <xdr:twoCellAnchor>
    <xdr:from>
      <xdr:col>7</xdr:col>
      <xdr:colOff>126987</xdr:colOff>
      <xdr:row>659</xdr:row>
      <xdr:rowOff>249053</xdr:rowOff>
    </xdr:from>
    <xdr:to>
      <xdr:col>13</xdr:col>
      <xdr:colOff>81267</xdr:colOff>
      <xdr:row>663</xdr:row>
      <xdr:rowOff>157613</xdr:rowOff>
    </xdr:to>
    <xdr:grpSp>
      <xdr:nvGrpSpPr>
        <xdr:cNvPr id="1355" name="ALERT scale right">
          <a:extLst>
            <a:ext uri="{FF2B5EF4-FFF2-40B4-BE49-F238E27FC236}">
              <a16:creationId xmlns:a16="http://schemas.microsoft.com/office/drawing/2014/main" id="{00000000-0008-0000-0100-00004B050000}"/>
            </a:ext>
          </a:extLst>
        </xdr:cNvPr>
        <xdr:cNvGrpSpPr>
          <a:grpSpLocks/>
        </xdr:cNvGrpSpPr>
      </xdr:nvGrpSpPr>
      <xdr:grpSpPr>
        <a:xfrm rot="20746650">
          <a:off x="3258807" y="157472513"/>
          <a:ext cx="2971800" cy="914400"/>
          <a:chOff x="1949302" y="3611880"/>
          <a:chExt cx="5251598" cy="1874520"/>
        </a:xfrm>
        <a:effectLst>
          <a:glow rad="25400">
            <a:schemeClr val="accent4">
              <a:lumMod val="50000"/>
              <a:alpha val="90000"/>
            </a:schemeClr>
          </a:glow>
          <a:outerShdw blurRad="25400" dist="25400" dir="5400000" algn="t" rotWithShape="0">
            <a:prstClr val="black">
              <a:alpha val="40000"/>
            </a:prstClr>
          </a:outerShdw>
        </a:effectLst>
      </xdr:grpSpPr>
      <xdr:sp macro="" textlink="">
        <xdr:nvSpPr>
          <xdr:cNvPr id="1356" name="Cross Brace">
            <a:extLst>
              <a:ext uri="{FF2B5EF4-FFF2-40B4-BE49-F238E27FC236}">
                <a16:creationId xmlns:a16="http://schemas.microsoft.com/office/drawing/2014/main" id="{00000000-0008-0000-0100-00004C050000}"/>
              </a:ext>
            </a:extLst>
          </xdr:cNvPr>
          <xdr:cNvSpPr/>
        </xdr:nvSpPr>
        <xdr:spPr>
          <a:xfrm rot="5400000">
            <a:off x="4229100" y="2400300"/>
            <a:ext cx="685800" cy="3657600"/>
          </a:xfrm>
          <a:prstGeom prst="rightBrace">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7" name="Right Bracket">
            <a:extLst>
              <a:ext uri="{FF2B5EF4-FFF2-40B4-BE49-F238E27FC236}">
                <a16:creationId xmlns:a16="http://schemas.microsoft.com/office/drawing/2014/main" id="{00000000-0008-0000-0100-00004D050000}"/>
              </a:ext>
            </a:extLst>
          </xdr:cNvPr>
          <xdr:cNvSpPr/>
        </xdr:nvSpPr>
        <xdr:spPr>
          <a:xfrm rot="6253350">
            <a:off x="6263640" y="2948940"/>
            <a:ext cx="274320"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8" name="Left Bracket">
            <a:extLst>
              <a:ext uri="{FF2B5EF4-FFF2-40B4-BE49-F238E27FC236}">
                <a16:creationId xmlns:a16="http://schemas.microsoft.com/office/drawing/2014/main" id="{00000000-0008-0000-0100-00004E050000}"/>
              </a:ext>
            </a:extLst>
          </xdr:cNvPr>
          <xdr:cNvSpPr/>
        </xdr:nvSpPr>
        <xdr:spPr>
          <a:xfrm rot="6253350">
            <a:off x="2612242" y="2948940"/>
            <a:ext cx="274320"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9" name="scale base">
            <a:extLst>
              <a:ext uri="{FF2B5EF4-FFF2-40B4-BE49-F238E27FC236}">
                <a16:creationId xmlns:a16="http://schemas.microsoft.com/office/drawing/2014/main" id="{00000000-0008-0000-0100-00004F050000}"/>
              </a:ext>
            </a:extLst>
          </xdr:cNvPr>
          <xdr:cNvSpPr/>
        </xdr:nvSpPr>
        <xdr:spPr>
          <a:xfrm rot="875995">
            <a:off x="3886200" y="4572000"/>
            <a:ext cx="1371600" cy="914400"/>
          </a:xfrm>
          <a:prstGeom prst="pie">
            <a:avLst>
              <a:gd name="adj1" fmla="val 10753755"/>
              <a:gd name="adj2" fmla="val 21569657"/>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grpSp>
    <xdr:clientData/>
  </xdr:twoCellAnchor>
  <xdr:twoCellAnchor>
    <xdr:from>
      <xdr:col>15</xdr:col>
      <xdr:colOff>49857</xdr:colOff>
      <xdr:row>678</xdr:row>
      <xdr:rowOff>119427</xdr:rowOff>
    </xdr:from>
    <xdr:to>
      <xdr:col>27</xdr:col>
      <xdr:colOff>22753</xdr:colOff>
      <xdr:row>693</xdr:row>
      <xdr:rowOff>2725</xdr:rowOff>
    </xdr:to>
    <xdr:grpSp>
      <xdr:nvGrpSpPr>
        <xdr:cNvPr id="18" name="Group 17">
          <a:extLst>
            <a:ext uri="{FF2B5EF4-FFF2-40B4-BE49-F238E27FC236}">
              <a16:creationId xmlns:a16="http://schemas.microsoft.com/office/drawing/2014/main" id="{00000000-0008-0000-0100-000012000000}"/>
            </a:ext>
          </a:extLst>
        </xdr:cNvPr>
        <xdr:cNvGrpSpPr/>
      </xdr:nvGrpSpPr>
      <xdr:grpSpPr>
        <a:xfrm>
          <a:off x="6263640" y="162013947"/>
          <a:ext cx="0" cy="3266578"/>
          <a:chOff x="6392386" y="162716830"/>
          <a:chExt cx="5979249" cy="3289887"/>
        </a:xfrm>
      </xdr:grpSpPr>
      <xdr:pic>
        <xdr:nvPicPr>
          <xdr:cNvPr id="425" name="Picture 424">
            <a:extLst>
              <a:ext uri="{FF2B5EF4-FFF2-40B4-BE49-F238E27FC236}">
                <a16:creationId xmlns:a16="http://schemas.microsoft.com/office/drawing/2014/main" id="{00000000-0008-0000-0100-0000A901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6397052" y="163855054"/>
            <a:ext cx="1000502" cy="1013017"/>
          </a:xfrm>
          <a:prstGeom prst="rect">
            <a:avLst/>
          </a:prstGeom>
        </xdr:spPr>
      </xdr:pic>
      <xdr:pic>
        <xdr:nvPicPr>
          <xdr:cNvPr id="426" name="Picture 425">
            <a:extLst>
              <a:ext uri="{FF2B5EF4-FFF2-40B4-BE49-F238E27FC236}">
                <a16:creationId xmlns:a16="http://schemas.microsoft.com/office/drawing/2014/main" id="{00000000-0008-0000-0100-0000AA01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6394666" y="162716830"/>
            <a:ext cx="1000502" cy="1013017"/>
          </a:xfrm>
          <a:prstGeom prst="rect">
            <a:avLst/>
          </a:prstGeom>
        </xdr:spPr>
      </xdr:pic>
      <xdr:pic>
        <xdr:nvPicPr>
          <xdr:cNvPr id="427" name="Picture 426">
            <a:extLst>
              <a:ext uri="{FF2B5EF4-FFF2-40B4-BE49-F238E27FC236}">
                <a16:creationId xmlns:a16="http://schemas.microsoft.com/office/drawing/2014/main" id="{00000000-0008-0000-0100-0000AB01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6392386" y="164993700"/>
            <a:ext cx="1000502" cy="1013017"/>
          </a:xfrm>
          <a:prstGeom prst="rect">
            <a:avLst/>
          </a:prstGeom>
        </xdr:spPr>
      </xdr:pic>
      <xdr:pic>
        <xdr:nvPicPr>
          <xdr:cNvPr id="428" name="Picture 427">
            <a:extLst>
              <a:ext uri="{FF2B5EF4-FFF2-40B4-BE49-F238E27FC236}">
                <a16:creationId xmlns:a16="http://schemas.microsoft.com/office/drawing/2014/main" id="{00000000-0008-0000-0100-0000AC01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398978" y="163855477"/>
            <a:ext cx="1000502" cy="1013017"/>
          </a:xfrm>
          <a:prstGeom prst="rect">
            <a:avLst/>
          </a:prstGeom>
        </xdr:spPr>
      </xdr:pic>
      <xdr:pic>
        <xdr:nvPicPr>
          <xdr:cNvPr id="429" name="Picture 428">
            <a:extLst>
              <a:ext uri="{FF2B5EF4-FFF2-40B4-BE49-F238E27FC236}">
                <a16:creationId xmlns:a16="http://schemas.microsoft.com/office/drawing/2014/main" id="{00000000-0008-0000-0100-0000AD01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9396591" y="164988866"/>
            <a:ext cx="1000502" cy="1013017"/>
          </a:xfrm>
          <a:prstGeom prst="rect">
            <a:avLst/>
          </a:prstGeom>
        </xdr:spPr>
      </xdr:pic>
      <xdr:pic>
        <xdr:nvPicPr>
          <xdr:cNvPr id="430" name="Picture 429">
            <a:extLst>
              <a:ext uri="{FF2B5EF4-FFF2-40B4-BE49-F238E27FC236}">
                <a16:creationId xmlns:a16="http://schemas.microsoft.com/office/drawing/2014/main" id="{00000000-0008-0000-0100-0000AE01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9398559" y="162719247"/>
            <a:ext cx="1000502" cy="1013017"/>
          </a:xfrm>
          <a:prstGeom prst="rect">
            <a:avLst/>
          </a:prstGeom>
        </xdr:spPr>
      </xdr:pic>
      <xdr:sp macro="" textlink="">
        <xdr:nvSpPr>
          <xdr:cNvPr id="431" name="TextBox 430">
            <a:extLst>
              <a:ext uri="{FF2B5EF4-FFF2-40B4-BE49-F238E27FC236}">
                <a16:creationId xmlns:a16="http://schemas.microsoft.com/office/drawing/2014/main" id="{00000000-0008-0000-0100-0000AF010000}"/>
              </a:ext>
            </a:extLst>
          </xdr:cNvPr>
          <xdr:cNvSpPr txBox="1"/>
        </xdr:nvSpPr>
        <xdr:spPr>
          <a:xfrm>
            <a:off x="7405352" y="165013883"/>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Exaction Invoice</a:t>
            </a:r>
          </a:p>
          <a:p>
            <a:r>
              <a:rPr lang="en-US" sz="1000" baseline="0">
                <a:solidFill>
                  <a:schemeClr val="dk1"/>
                </a:solidFill>
                <a:latin typeface="Cambria" panose="02040503050406030204" pitchFamily="18" charset="0"/>
                <a:ea typeface="Cambria" panose="02040503050406030204" pitchFamily="18" charset="0"/>
                <a:cs typeface="+mn-cs"/>
              </a:rPr>
              <a:t>Identify and report hidden costs of  coerced compliance. Put a price on power's negative influence on you. Hold power accountable.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2" name="TextBox 431">
            <a:extLst>
              <a:ext uri="{FF2B5EF4-FFF2-40B4-BE49-F238E27FC236}">
                <a16:creationId xmlns:a16="http://schemas.microsoft.com/office/drawing/2014/main" id="{00000000-0008-0000-0100-0000B0010000}"/>
              </a:ext>
            </a:extLst>
          </xdr:cNvPr>
          <xdr:cNvSpPr txBox="1"/>
        </xdr:nvSpPr>
        <xdr:spPr>
          <a:xfrm>
            <a:off x="7405352" y="162765237"/>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Harmony Politics</a:t>
            </a:r>
          </a:p>
          <a:p>
            <a:r>
              <a:rPr lang="en-US" sz="1000" baseline="0">
                <a:solidFill>
                  <a:schemeClr val="dk1"/>
                </a:solidFill>
                <a:latin typeface="Cambria" panose="02040503050406030204" pitchFamily="18" charset="0"/>
                <a:ea typeface="Cambria" panose="02040503050406030204" pitchFamily="18" charset="0"/>
                <a:cs typeface="+mn-cs"/>
              </a:rPr>
              <a:t>Link your political outlook to your psychosocial and other publicly affected needs. Empathize fully with both politcal sides.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3" name="TextBox 432">
            <a:extLst>
              <a:ext uri="{FF2B5EF4-FFF2-40B4-BE49-F238E27FC236}">
                <a16:creationId xmlns:a16="http://schemas.microsoft.com/office/drawing/2014/main" id="{00000000-0008-0000-0100-0000B1010000}"/>
              </a:ext>
            </a:extLst>
          </xdr:cNvPr>
          <xdr:cNvSpPr txBox="1"/>
        </xdr:nvSpPr>
        <xdr:spPr>
          <a:xfrm>
            <a:off x="10408528" y="162720414"/>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Grow Resilience</a:t>
            </a:r>
          </a:p>
          <a:p>
            <a:r>
              <a:rPr lang="en-US" sz="1000" baseline="0">
                <a:solidFill>
                  <a:schemeClr val="dk1"/>
                </a:solidFill>
                <a:latin typeface="Cambria" panose="02040503050406030204" pitchFamily="18" charset="0"/>
                <a:ea typeface="Cambria" panose="02040503050406030204" pitchFamily="18" charset="0"/>
                <a:cs typeface="+mn-cs"/>
              </a:rPr>
              <a:t>Expand your comfort zone. Help your client grow out of their stifling comfort zone. Resolve more needs. Reach more potential.</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4" name="TextBox 433">
            <a:extLst>
              <a:ext uri="{FF2B5EF4-FFF2-40B4-BE49-F238E27FC236}">
                <a16:creationId xmlns:a16="http://schemas.microsoft.com/office/drawing/2014/main" id="{00000000-0008-0000-0100-0000B2010000}"/>
              </a:ext>
            </a:extLst>
          </xdr:cNvPr>
          <xdr:cNvSpPr txBox="1"/>
        </xdr:nvSpPr>
        <xdr:spPr>
          <a:xfrm>
            <a:off x="10408528"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Legitimacy Audit</a:t>
            </a:r>
          </a:p>
          <a:p>
            <a:r>
              <a:rPr lang="en-US" sz="1000" baseline="0">
                <a:solidFill>
                  <a:schemeClr val="dk1"/>
                </a:solidFill>
                <a:latin typeface="Cambria" panose="02040503050406030204" pitchFamily="18" charset="0"/>
                <a:ea typeface="Cambria" panose="02040503050406030204" pitchFamily="18" charset="0"/>
                <a:cs typeface="+mn-cs"/>
              </a:rPr>
              <a:t>Check various authority's level of responsiveness to entrusted needs. Link that gaged responsiveness to how willingly involved in your life.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5" name="TextBox 434">
            <a:extLst>
              <a:ext uri="{FF2B5EF4-FFF2-40B4-BE49-F238E27FC236}">
                <a16:creationId xmlns:a16="http://schemas.microsoft.com/office/drawing/2014/main" id="{00000000-0008-0000-0100-0000B3010000}"/>
              </a:ext>
            </a:extLst>
          </xdr:cNvPr>
          <xdr:cNvSpPr txBox="1"/>
        </xdr:nvSpPr>
        <xdr:spPr>
          <a:xfrm>
            <a:off x="7405351"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Four Seasons</a:t>
            </a:r>
          </a:p>
          <a:p>
            <a:r>
              <a:rPr lang="en-US" sz="1000" baseline="0">
                <a:solidFill>
                  <a:schemeClr val="dk1"/>
                </a:solidFill>
                <a:latin typeface="Cambria" panose="02040503050406030204" pitchFamily="18" charset="0"/>
                <a:ea typeface="Cambria" panose="02040503050406030204" pitchFamily="18" charset="0"/>
                <a:cs typeface="+mn-cs"/>
              </a:rPr>
              <a:t>Enter your birthdate and see your life's seasonal patterns. See how your affected psychosocial needs shapes your political outtlook.</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6" name="TextBox 435">
            <a:extLst>
              <a:ext uri="{FF2B5EF4-FFF2-40B4-BE49-F238E27FC236}">
                <a16:creationId xmlns:a16="http://schemas.microsoft.com/office/drawing/2014/main" id="{00000000-0008-0000-0100-0000B4010000}"/>
              </a:ext>
            </a:extLst>
          </xdr:cNvPr>
          <xdr:cNvSpPr txBox="1"/>
        </xdr:nvSpPr>
        <xdr:spPr>
          <a:xfrm>
            <a:off x="10408528" y="16500641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Liberty Avowal</a:t>
            </a:r>
          </a:p>
          <a:p>
            <a:r>
              <a:rPr lang="en-US" sz="1000" baseline="0">
                <a:solidFill>
                  <a:schemeClr val="dk1"/>
                </a:solidFill>
                <a:latin typeface="Cambria" panose="02040503050406030204" pitchFamily="18" charset="0"/>
                <a:ea typeface="Cambria" panose="02040503050406030204" pitchFamily="18" charset="0"/>
                <a:cs typeface="+mn-cs"/>
              </a:rPr>
              <a:t>Declare your liberty resolve needs. Replace alienation of impersonal norms with a loving passion to resolve each other's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515" name="TextBox 514">
            <a:extLst>
              <a:ext uri="{FF2B5EF4-FFF2-40B4-BE49-F238E27FC236}">
                <a16:creationId xmlns:a16="http://schemas.microsoft.com/office/drawing/2014/main" id="{00000000-0008-0000-0100-000003020000}"/>
              </a:ext>
            </a:extLst>
          </xdr:cNvPr>
          <xdr:cNvSpPr txBox="1"/>
        </xdr:nvSpPr>
        <xdr:spPr>
          <a:xfrm>
            <a:off x="10400944" y="16273576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Innocence Validity</a:t>
            </a:r>
          </a:p>
          <a:p>
            <a:r>
              <a:rPr lang="en-US" sz="1000" baseline="0">
                <a:solidFill>
                  <a:schemeClr val="dk1"/>
                </a:solidFill>
                <a:latin typeface="Cambria" panose="02040503050406030204" pitchFamily="18" charset="0"/>
                <a:ea typeface="Cambria" panose="02040503050406030204" pitchFamily="18" charset="0"/>
                <a:cs typeface="+mn-cs"/>
              </a:rPr>
              <a:t>For the countless wrongly convicted who are not yet exonerated. Enter case details, and share its calculated estimate of innocence with others.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grpSp>
    <xdr:clientData/>
  </xdr:twoCellAnchor>
  <xdr:twoCellAnchor>
    <xdr:from>
      <xdr:col>15</xdr:col>
      <xdr:colOff>30729</xdr:colOff>
      <xdr:row>703</xdr:row>
      <xdr:rowOff>259130</xdr:rowOff>
    </xdr:from>
    <xdr:to>
      <xdr:col>26</xdr:col>
      <xdr:colOff>177203</xdr:colOff>
      <xdr:row>705</xdr:row>
      <xdr:rowOff>83373</xdr:rowOff>
    </xdr:to>
    <xdr:sp macro="" textlink="">
      <xdr:nvSpPr>
        <xdr:cNvPr id="1379" name="TextBox 1378">
          <a:extLst>
            <a:ext uri="{FF2B5EF4-FFF2-40B4-BE49-F238E27FC236}">
              <a16:creationId xmlns:a16="http://schemas.microsoft.com/office/drawing/2014/main" id="{00000000-0008-0000-0100-000063050000}"/>
            </a:ext>
          </a:extLst>
        </xdr:cNvPr>
        <xdr:cNvSpPr txBox="1"/>
      </xdr:nvSpPr>
      <xdr:spPr>
        <a:xfrm>
          <a:off x="6373258" y="168115777"/>
          <a:ext cx="5652298" cy="586243"/>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t>Duncan,</a:t>
          </a:r>
          <a:r>
            <a:rPr lang="en-US" sz="800" b="1" baseline="0"/>
            <a:t> B</a:t>
          </a:r>
          <a:r>
            <a:rPr lang="en-US" sz="800" b="1"/>
            <a:t>., et</a:t>
          </a:r>
          <a:r>
            <a:rPr lang="en-US" sz="800" b="1" baseline="0"/>
            <a:t> al.</a:t>
          </a:r>
          <a:r>
            <a:rPr lang="en-US" sz="800" b="1"/>
            <a:t> (</a:t>
          </a:r>
          <a:r>
            <a:rPr lang="en-US" sz="800" b="1">
              <a:solidFill>
                <a:schemeClr val="dk1"/>
              </a:solidFill>
              <a:latin typeface="+mn-lt"/>
              <a:ea typeface="+mn-ea"/>
              <a:cs typeface="+mn-cs"/>
            </a:rPr>
            <a:t>2003). Culture Wars, COVID-19 and The Session Rating Scale: Preliminary Psychometric Properties of a “Working” Alliance Measure. </a:t>
          </a:r>
          <a:r>
            <a:rPr lang="en-US" sz="800" b="1" i="1">
              <a:solidFill>
                <a:schemeClr val="dk1"/>
              </a:solidFill>
              <a:latin typeface="+mn-lt"/>
              <a:ea typeface="+mn-ea"/>
              <a:cs typeface="+mn-cs"/>
            </a:rPr>
            <a:t>The Journal of Brief </a:t>
          </a:r>
          <a:r>
            <a:rPr lang="en-US" sz="800" b="1" i="1" baseline="0">
              <a:solidFill>
                <a:schemeClr val="dk1"/>
              </a:solidFill>
              <a:latin typeface="+mn-lt"/>
              <a:ea typeface="+mn-ea"/>
              <a:cs typeface="+mn-cs"/>
            </a:rPr>
            <a:t>Therapy, 3</a:t>
          </a:r>
          <a:r>
            <a:rPr lang="en-US" sz="800" b="1" baseline="0">
              <a:solidFill>
                <a:schemeClr val="dk1"/>
              </a:solidFill>
              <a:latin typeface="+mn-lt"/>
              <a:ea typeface="+mn-ea"/>
              <a:cs typeface="+mn-cs"/>
            </a:rPr>
            <a:t>: 1.</a:t>
          </a:r>
          <a:r>
            <a:rPr lang="en-US" sz="800" b="1">
              <a:solidFill>
                <a:schemeClr val="dk1"/>
              </a:solidFill>
              <a:latin typeface="+mn-lt"/>
              <a:ea typeface="+mn-ea"/>
              <a:cs typeface="+mn-cs"/>
            </a:rPr>
            <a:t> </a:t>
          </a:r>
          <a:r>
            <a:rPr lang="en-US" sz="800" b="1"/>
            <a:t>https://scottdmiller.com/wp-content/uploads/documents/SessionRatingScale-JBTv3n1.pdf. Accessed November 8, 2020.</a:t>
          </a:r>
        </a:p>
      </xdr:txBody>
    </xdr:sp>
    <xdr:clientData/>
  </xdr:twoCellAnchor>
  <xdr:twoCellAnchor>
    <xdr:from>
      <xdr:col>1</xdr:col>
      <xdr:colOff>11071</xdr:colOff>
      <xdr:row>706</xdr:row>
      <xdr:rowOff>13593</xdr:rowOff>
    </xdr:from>
    <xdr:to>
      <xdr:col>13</xdr:col>
      <xdr:colOff>12326</xdr:colOff>
      <xdr:row>709</xdr:row>
      <xdr:rowOff>113101</xdr:rowOff>
    </xdr:to>
    <xdr:sp macro="" textlink="">
      <xdr:nvSpPr>
        <xdr:cNvPr id="100" name="TextBox 99">
          <a:hlinkClick xmlns:r="http://schemas.openxmlformats.org/officeDocument/2006/relationships" r:id="rId37" tooltip="go to Value Relating website"/>
          <a:extLst>
            <a:ext uri="{FF2B5EF4-FFF2-40B4-BE49-F238E27FC236}">
              <a16:creationId xmlns:a16="http://schemas.microsoft.com/office/drawing/2014/main" id="{00000000-0008-0000-0100-000064000000}"/>
            </a:ext>
          </a:extLst>
        </xdr:cNvPr>
        <xdr:cNvSpPr txBox="1"/>
      </xdr:nvSpPr>
      <xdr:spPr>
        <a:xfrm>
          <a:off x="125371" y="168758493"/>
          <a:ext cx="6036295" cy="510988"/>
        </a:xfrm>
        <a:prstGeom prst="rect">
          <a:avLst/>
        </a:prstGeom>
        <a:gradFill flip="none" rotWithShape="1">
          <a:gsLst>
            <a:gs pos="35000">
              <a:srgbClr val="E1FFEB"/>
            </a:gs>
            <a:gs pos="0">
              <a:srgbClr val="E1FFEB"/>
            </a:gs>
            <a:gs pos="75000">
              <a:srgbClr val="64FFA5">
                <a:shade val="67500"/>
                <a:satMod val="115000"/>
              </a:srgbClr>
            </a:gs>
            <a:gs pos="100000">
              <a:srgbClr val="64FFA5">
                <a:shade val="100000"/>
                <a:satMod val="115000"/>
              </a:srgbClr>
            </a:gs>
          </a:gsLst>
          <a:path path="circle">
            <a:fillToRect l="50000" t="50000" r="50000" b="50000"/>
          </a:path>
          <a:tileRect/>
        </a:gradFill>
        <a:ln w="12700" cmpd="sng">
          <a:solidFill>
            <a:srgbClr val="A0FFCD"/>
          </a:solidFill>
        </a:ln>
        <a:effectLst>
          <a:glow rad="25400">
            <a:srgbClr val="E1FFEB"/>
          </a:glow>
        </a:effectLst>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ctr"/>
        <a:lstStyle/>
        <a:p>
          <a:pPr algn="ctr"/>
          <a:r>
            <a:rPr lang="en-US" sz="2000" b="1">
              <a:ln>
                <a:solidFill>
                  <a:srgbClr val="004623"/>
                </a:solidFill>
              </a:ln>
              <a:solidFill>
                <a:srgbClr val="00C864"/>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Value</a:t>
          </a:r>
          <a:r>
            <a:rPr lang="en-US" sz="2000" b="1">
              <a:solidFill>
                <a:srgbClr val="2D143C"/>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 </a:t>
          </a:r>
          <a:r>
            <a:rPr lang="en-US" sz="2000" b="1">
              <a:ln>
                <a:solidFill>
                  <a:srgbClr val="2D143C"/>
                </a:solidFill>
              </a:ln>
              <a:solidFill>
                <a:srgbClr val="7030A0"/>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Relating</a:t>
          </a:r>
        </a:p>
        <a:p>
          <a:pPr algn="ctr"/>
          <a:r>
            <a:rPr lang="en-US" sz="100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solving problems by resolving</a:t>
          </a:r>
          <a:r>
            <a:rPr lang="en-US" sz="1000" b="1" spc="-20" baseline="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 needs</a:t>
          </a:r>
          <a:endParaRPr lang="en-US" sz="105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endParaRPr>
        </a:p>
      </xdr:txBody>
    </xdr:sp>
    <xdr:clientData/>
  </xdr:twoCellAnchor>
  <xdr:twoCellAnchor>
    <xdr:from>
      <xdr:col>15</xdr:col>
      <xdr:colOff>59763</xdr:colOff>
      <xdr:row>573</xdr:row>
      <xdr:rowOff>59316</xdr:rowOff>
    </xdr:from>
    <xdr:to>
      <xdr:col>26</xdr:col>
      <xdr:colOff>497539</xdr:colOff>
      <xdr:row>592</xdr:row>
      <xdr:rowOff>104587</xdr:rowOff>
    </xdr:to>
    <xdr:sp macro="" textlink="">
      <xdr:nvSpPr>
        <xdr:cNvPr id="373" name="TextBox 372">
          <a:extLst>
            <a:ext uri="{FF2B5EF4-FFF2-40B4-BE49-F238E27FC236}">
              <a16:creationId xmlns:a16="http://schemas.microsoft.com/office/drawing/2014/main" id="{00000000-0008-0000-0100-000075010000}"/>
            </a:ext>
          </a:extLst>
        </xdr:cNvPr>
        <xdr:cNvSpPr txBox="1"/>
      </xdr:nvSpPr>
      <xdr:spPr>
        <a:xfrm>
          <a:off x="6402292" y="136957845"/>
          <a:ext cx="5943600" cy="4154095"/>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200">
              <a:solidFill>
                <a:schemeClr val="dk1"/>
              </a:solidFill>
              <a:effectLst/>
              <a:latin typeface="Cambria" panose="02040503050406030204" pitchFamily="18" charset="0"/>
              <a:ea typeface="Cambria" panose="02040503050406030204" pitchFamily="18" charset="0"/>
              <a:cs typeface="+mn-cs"/>
            </a:rPr>
            <a:t>If you have lost clients in the past over political</a:t>
          </a:r>
          <a:r>
            <a:rPr lang="en-US" sz="1200" baseline="0">
              <a:solidFill>
                <a:schemeClr val="dk1"/>
              </a:solidFill>
              <a:effectLst/>
              <a:latin typeface="Cambria" panose="02040503050406030204" pitchFamily="18" charset="0"/>
              <a:ea typeface="Cambria" panose="02040503050406030204" pitchFamily="18" charset="0"/>
              <a:cs typeface="+mn-cs"/>
            </a:rPr>
            <a:t> differences, you can now reach out to them and tell them you have learned from your mistakes. Or you can start branding yourself to new clients as a counselor who embraces all regardless of ideology. Well, as long as the client's political expression does not immediately threaten you.</a:t>
          </a:r>
        </a:p>
        <a:p>
          <a:endParaRPr lang="en-US" sz="1200" baseline="0">
            <a:solidFill>
              <a:schemeClr val="dk1"/>
            </a:solidFill>
            <a:effectLst/>
            <a:latin typeface="Cambria" panose="02040503050406030204" pitchFamily="18" charset="0"/>
            <a:ea typeface="Cambria" panose="02040503050406030204" pitchFamily="18" charset="0"/>
            <a:cs typeface="+mn-cs"/>
          </a:endParaRPr>
        </a:p>
        <a:p>
          <a:r>
            <a:rPr lang="en-US" sz="1200" baseline="0">
              <a:solidFill>
                <a:schemeClr val="dk1"/>
              </a:solidFill>
              <a:effectLst/>
              <a:latin typeface="Cambria" panose="02040503050406030204" pitchFamily="18" charset="0"/>
              <a:ea typeface="Cambria" panose="02040503050406030204" pitchFamily="18" charset="0"/>
              <a:cs typeface="+mn-cs"/>
            </a:rPr>
            <a:t>You need not step onto this path alone. </a:t>
          </a:r>
          <a:r>
            <a:rPr lang="en-US" sz="1200">
              <a:solidFill>
                <a:schemeClr val="dk1"/>
              </a:solidFill>
              <a:latin typeface="Cambria" panose="02040503050406030204" pitchFamily="18" charset="0"/>
              <a:ea typeface="Cambria" panose="02040503050406030204" pitchFamily="18" charset="0"/>
              <a:cs typeface="+mn-cs"/>
            </a:rPr>
            <a:t>I</a:t>
          </a:r>
          <a:r>
            <a:rPr lang="en-US" sz="1200" baseline="0">
              <a:solidFill>
                <a:schemeClr val="dk1"/>
              </a:solidFill>
              <a:latin typeface="Cambria" panose="02040503050406030204" pitchFamily="18" charset="0"/>
              <a:ea typeface="Cambria" panose="02040503050406030204" pitchFamily="18" charset="0"/>
              <a:cs typeface="+mn-cs"/>
            </a:rPr>
            <a:t> can coach you to build up your brand as one who builds bridges between opposing political sides. Or simply consult with me on how to apply this to your practice. If you can afford FREE, then you can afford me. I am not charging anything upfront, as I too am building up my brand.</a:t>
          </a:r>
        </a:p>
        <a:p>
          <a:endParaRPr lang="en-US" sz="120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You can</a:t>
          </a:r>
          <a:r>
            <a:rPr lang="en-US" sz="1200" baseline="0">
              <a:solidFill>
                <a:schemeClr val="dk1"/>
              </a:solidFill>
              <a:latin typeface="Cambria" panose="02040503050406030204" pitchFamily="18" charset="0"/>
              <a:ea typeface="Cambria" panose="02040503050406030204" pitchFamily="18" charset="0"/>
              <a:cs typeface="+mn-cs"/>
            </a:rPr>
            <a:t> invite me to join a special session with your client, if necessary. W</a:t>
          </a:r>
          <a:r>
            <a:rPr lang="en-US" sz="1200">
              <a:solidFill>
                <a:schemeClr val="dk1"/>
              </a:solidFill>
              <a:latin typeface="Cambria" panose="02040503050406030204" pitchFamily="18" charset="0"/>
              <a:ea typeface="Cambria" panose="02040503050406030204" pitchFamily="18" charset="0"/>
              <a:cs typeface="+mn-cs"/>
            </a:rPr>
            <a:t>ith your client's informed decision,</a:t>
          </a:r>
          <a:r>
            <a:rPr lang="en-US" sz="1200" baseline="0">
              <a:solidFill>
                <a:schemeClr val="dk1"/>
              </a:solidFill>
              <a:latin typeface="Cambria" panose="02040503050406030204" pitchFamily="18" charset="0"/>
              <a:ea typeface="Cambria" panose="02040503050406030204" pitchFamily="18" charset="0"/>
              <a:cs typeface="+mn-cs"/>
            </a:rPr>
            <a:t> and their every HIPAA right and other concern covered in an agreeable </a:t>
          </a:r>
          <a:r>
            <a:rPr lang="en-US" sz="1200" i="1" baseline="0">
              <a:solidFill>
                <a:schemeClr val="dk1"/>
              </a:solidFill>
              <a:latin typeface="Cambria" panose="02040503050406030204" pitchFamily="18" charset="0"/>
              <a:ea typeface="Cambria" panose="02040503050406030204" pitchFamily="18" charset="0"/>
              <a:cs typeface="+mn-cs"/>
            </a:rPr>
            <a:t>business associate contract</a:t>
          </a:r>
          <a:r>
            <a:rPr lang="en-US" sz="1200" i="0" baseline="0">
              <a:solidFill>
                <a:schemeClr val="dk1"/>
              </a:solidFill>
              <a:latin typeface="Cambria" panose="02040503050406030204" pitchFamily="18" charset="0"/>
              <a:ea typeface="Cambria" panose="02040503050406030204" pitchFamily="18" charset="0"/>
              <a:cs typeface="+mn-cs"/>
            </a:rPr>
            <a:t>, I can introduce you and your client to psychosociotherapy. It shifts any stigma from the client courageously seeking improvement to those negatively impacting the client, who have yet to show such courageous improvement.</a:t>
          </a:r>
        </a:p>
        <a:p>
          <a:endParaRPr lang="en-US" sz="1200" i="0" baseline="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Counselors</a:t>
          </a:r>
          <a:r>
            <a:rPr lang="en-US" sz="1200" baseline="0">
              <a:solidFill>
                <a:schemeClr val="dk1"/>
              </a:solidFill>
              <a:latin typeface="Cambria" panose="02040503050406030204" pitchFamily="18" charset="0"/>
              <a:ea typeface="Cambria" panose="02040503050406030204" pitchFamily="18" charset="0"/>
              <a:cs typeface="+mn-cs"/>
            </a:rPr>
            <a:t> are known to be wounded warriors, who professionally help others in ways they once needed such help. You have opportunity to help your clients heal up their political battle scars. With these </a:t>
          </a:r>
          <a:r>
            <a:rPr lang="en-US" sz="1200" i="1" baseline="0">
              <a:solidFill>
                <a:schemeClr val="dk1"/>
              </a:solidFill>
              <a:latin typeface="Cambria" panose="02040503050406030204" pitchFamily="18" charset="0"/>
              <a:ea typeface="Cambria" panose="02040503050406030204" pitchFamily="18" charset="0"/>
              <a:cs typeface="+mn-cs"/>
            </a:rPr>
            <a:t>anankelogical</a:t>
          </a:r>
          <a:r>
            <a:rPr lang="en-US" sz="1200" baseline="0">
              <a:solidFill>
                <a:schemeClr val="dk1"/>
              </a:solidFill>
              <a:latin typeface="Cambria" panose="02040503050406030204" pitchFamily="18" charset="0"/>
              <a:ea typeface="Cambria" panose="02040503050406030204" pitchFamily="18" charset="0"/>
              <a:cs typeface="+mn-cs"/>
            </a:rPr>
            <a:t> tools for resolving needs, you help your client make the leap from seeking help to being in a qualified position to passionately help others. Along the way, you brand yourself to a helper who more than help others recover but to also thrive. Ask me what else psychosociotherapy can do for your practice.</a:t>
          </a:r>
          <a:endParaRPr lang="en-US" sz="120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xdr:col>
      <xdr:colOff>15241</xdr:colOff>
      <xdr:row>260</xdr:row>
      <xdr:rowOff>22412</xdr:rowOff>
    </xdr:from>
    <xdr:to>
      <xdr:col>13</xdr:col>
      <xdr:colOff>3912</xdr:colOff>
      <xdr:row>267</xdr:row>
      <xdr:rowOff>73212</xdr:rowOff>
    </xdr:to>
    <xdr:grpSp>
      <xdr:nvGrpSpPr>
        <xdr:cNvPr id="14" name="Group 13">
          <a:extLst>
            <a:ext uri="{FF2B5EF4-FFF2-40B4-BE49-F238E27FC236}">
              <a16:creationId xmlns:a16="http://schemas.microsoft.com/office/drawing/2014/main" id="{00000000-0008-0000-0100-00000E000000}"/>
            </a:ext>
          </a:extLst>
        </xdr:cNvPr>
        <xdr:cNvGrpSpPr/>
      </xdr:nvGrpSpPr>
      <xdr:grpSpPr>
        <a:xfrm>
          <a:off x="129541" y="64297112"/>
          <a:ext cx="6023711" cy="1811020"/>
          <a:chOff x="127300" y="64411412"/>
          <a:chExt cx="5995024" cy="1828800"/>
        </a:xfrm>
      </xdr:grpSpPr>
      <xdr:pic>
        <xdr:nvPicPr>
          <xdr:cNvPr id="409" name="Picture 408">
            <a:extLst>
              <a:ext uri="{FF2B5EF4-FFF2-40B4-BE49-F238E27FC236}">
                <a16:creationId xmlns:a16="http://schemas.microsoft.com/office/drawing/2014/main" id="{00000000-0008-0000-0100-000099010000}"/>
              </a:ext>
            </a:extLst>
          </xdr:cNvPr>
          <xdr:cNvPicPr>
            <a:picLocks noChangeAspect="1"/>
          </xdr:cNvPicPr>
        </xdr:nvPicPr>
        <xdr:blipFill>
          <a:blip xmlns:r="http://schemas.openxmlformats.org/officeDocument/2006/relationships" r:embed="rId38"/>
          <a:stretch>
            <a:fillRect/>
          </a:stretch>
        </xdr:blipFill>
        <xdr:spPr>
          <a:xfrm>
            <a:off x="2226235" y="64411412"/>
            <a:ext cx="1822032" cy="1828800"/>
          </a:xfrm>
          <a:prstGeom prst="rect">
            <a:avLst/>
          </a:prstGeom>
        </xdr:spPr>
      </xdr:pic>
      <xdr:pic>
        <xdr:nvPicPr>
          <xdr:cNvPr id="533" name="Picture 532">
            <a:extLst>
              <a:ext uri="{FF2B5EF4-FFF2-40B4-BE49-F238E27FC236}">
                <a16:creationId xmlns:a16="http://schemas.microsoft.com/office/drawing/2014/main" id="{00000000-0008-0000-0100-00001502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27300" y="64496279"/>
            <a:ext cx="2133104" cy="1600200"/>
          </a:xfrm>
          <a:prstGeom prst="rect">
            <a:avLst/>
          </a:prstGeom>
        </xdr:spPr>
      </xdr:pic>
      <xdr:pic>
        <xdr:nvPicPr>
          <xdr:cNvPr id="534" name="Picture 533">
            <a:extLst>
              <a:ext uri="{FF2B5EF4-FFF2-40B4-BE49-F238E27FC236}">
                <a16:creationId xmlns:a16="http://schemas.microsoft.com/office/drawing/2014/main" id="{00000000-0008-0000-0100-00001602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989220" y="64496279"/>
            <a:ext cx="2133104" cy="1600200"/>
          </a:xfrm>
          <a:prstGeom prst="rect">
            <a:avLst/>
          </a:prstGeom>
        </xdr:spPr>
      </xdr:pic>
    </xdr:grpSp>
    <xdr:clientData/>
  </xdr:twoCellAnchor>
  <xdr:twoCellAnchor>
    <xdr:from>
      <xdr:col>6</xdr:col>
      <xdr:colOff>449613</xdr:colOff>
      <xdr:row>624</xdr:row>
      <xdr:rowOff>171824</xdr:rowOff>
    </xdr:from>
    <xdr:to>
      <xdr:col>13</xdr:col>
      <xdr:colOff>53671</xdr:colOff>
      <xdr:row>633</xdr:row>
      <xdr:rowOff>161071</xdr:rowOff>
    </xdr:to>
    <xdr:grpSp>
      <xdr:nvGrpSpPr>
        <xdr:cNvPr id="16" name="Group 15">
          <a:extLst>
            <a:ext uri="{FF2B5EF4-FFF2-40B4-BE49-F238E27FC236}">
              <a16:creationId xmlns:a16="http://schemas.microsoft.com/office/drawing/2014/main" id="{00000000-0008-0000-0100-000010000000}"/>
            </a:ext>
          </a:extLst>
        </xdr:cNvPr>
        <xdr:cNvGrpSpPr/>
      </xdr:nvGrpSpPr>
      <xdr:grpSpPr>
        <a:xfrm>
          <a:off x="3078513" y="148685624"/>
          <a:ext cx="3124498" cy="2420027"/>
          <a:chOff x="3064319" y="149381883"/>
          <a:chExt cx="3107764" cy="2462012"/>
        </a:xfrm>
      </xdr:grpSpPr>
      <xdr:sp macro="" textlink="">
        <xdr:nvSpPr>
          <xdr:cNvPr id="1315" name="Rectangle 1314">
            <a:extLst>
              <a:ext uri="{FF2B5EF4-FFF2-40B4-BE49-F238E27FC236}">
                <a16:creationId xmlns:a16="http://schemas.microsoft.com/office/drawing/2014/main" id="{00000000-0008-0000-0100-000023050000}"/>
              </a:ext>
            </a:extLst>
          </xdr:cNvPr>
          <xdr:cNvSpPr/>
        </xdr:nvSpPr>
        <xdr:spPr>
          <a:xfrm>
            <a:off x="3400617" y="151318109"/>
            <a:ext cx="1003480" cy="525785"/>
          </a:xfrm>
          <a:prstGeom prst="rect">
            <a:avLst/>
          </a:prstGeom>
          <a:noFill/>
        </xdr:spPr>
        <xdr:txBody>
          <a:bodyPr wrap="none" lIns="91440" tIns="45720" rIns="91440" bIns="45720">
            <a:spAutoFit/>
          </a:bodyPr>
          <a:lstStyle/>
          <a:p>
            <a:pPr algn="l"/>
            <a:r>
              <a:rPr lang="en-US" sz="28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LTTI</a:t>
            </a:r>
            <a:endParaRPr lang="en-US" sz="20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pic>
        <xdr:nvPicPr>
          <xdr:cNvPr id="12" name="Picture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41"/>
          <a:stretch>
            <a:fillRect/>
          </a:stretch>
        </xdr:blipFill>
        <xdr:spPr>
          <a:xfrm>
            <a:off x="3064319" y="149381883"/>
            <a:ext cx="3107764" cy="1942352"/>
          </a:xfrm>
          <a:prstGeom prst="rect">
            <a:avLst/>
          </a:prstGeom>
        </xdr:spPr>
      </xdr:pic>
      <xdr:sp macro="" textlink="">
        <xdr:nvSpPr>
          <xdr:cNvPr id="415" name="Rectangle 414">
            <a:extLst>
              <a:ext uri="{FF2B5EF4-FFF2-40B4-BE49-F238E27FC236}">
                <a16:creationId xmlns:a16="http://schemas.microsoft.com/office/drawing/2014/main" id="{00000000-0008-0000-0100-00009F010000}"/>
              </a:ext>
            </a:extLst>
          </xdr:cNvPr>
          <xdr:cNvSpPr/>
        </xdr:nvSpPr>
        <xdr:spPr>
          <a:xfrm>
            <a:off x="5006789" y="151318110"/>
            <a:ext cx="1087734" cy="525785"/>
          </a:xfrm>
          <a:prstGeom prst="rect">
            <a:avLst/>
          </a:prstGeom>
          <a:noFill/>
        </xdr:spPr>
        <xdr:txBody>
          <a:bodyPr wrap="none" lIns="91440" tIns="45720" rIns="91440" bIns="45720">
            <a:spAutoFit/>
          </a:bodyPr>
          <a:lstStyle/>
          <a:p>
            <a:pPr algn="l"/>
            <a:r>
              <a:rPr lang="en-US" sz="2800" b="1" cap="none" spc="0">
                <a:ln w="10160">
                  <a:solidFill>
                    <a:srgbClr val="009646"/>
                  </a:solidFill>
                  <a:prstDash val="solid"/>
                </a:ln>
                <a:solidFill>
                  <a:srgbClr val="0AFA96"/>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STTP</a:t>
            </a:r>
            <a:endParaRPr lang="en-US" sz="2000" b="1" cap="none" spc="0">
              <a:ln w="10160">
                <a:solidFill>
                  <a:srgbClr val="009646"/>
                </a:solidFill>
                <a:prstDash val="solid"/>
              </a:ln>
              <a:solidFill>
                <a:srgbClr val="0AFA96"/>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15</xdr:col>
      <xdr:colOff>98014</xdr:colOff>
      <xdr:row>657</xdr:row>
      <xdr:rowOff>138506</xdr:rowOff>
    </xdr:from>
    <xdr:to>
      <xdr:col>21</xdr:col>
      <xdr:colOff>104588</xdr:colOff>
      <xdr:row>669</xdr:row>
      <xdr:rowOff>67235</xdr:rowOff>
    </xdr:to>
    <xdr:sp macro="" textlink="">
      <xdr:nvSpPr>
        <xdr:cNvPr id="416" name="TextBox 415">
          <a:extLst>
            <a:ext uri="{FF2B5EF4-FFF2-40B4-BE49-F238E27FC236}">
              <a16:creationId xmlns:a16="http://schemas.microsoft.com/office/drawing/2014/main" id="{00000000-0008-0000-0100-0000A0010000}"/>
            </a:ext>
          </a:extLst>
        </xdr:cNvPr>
        <xdr:cNvSpPr txBox="1"/>
      </xdr:nvSpPr>
      <xdr:spPr>
        <a:xfrm>
          <a:off x="6440543" y="157528859"/>
          <a:ext cx="3009751" cy="2976729"/>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Your client's psychosocial orientation presents a strong side and weak side. Guarding their more resolved need is their strong side. Generalizing to relieve their other need is their weak side. The opposing side flips these. Each side can demonstrate more love by 1) respectfully conveying to the other side the impact of a political loss, and 2) asking how a win could impact the needs of the other side. Meaningful competion is not between political winners and losers, but between who can create the most value by resolving needs and those stuck in pain-relieving generalizing. It is not what your client gets from political battles, but what they give.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152251</xdr:colOff>
      <xdr:row>669</xdr:row>
      <xdr:rowOff>227855</xdr:rowOff>
    </xdr:from>
    <xdr:to>
      <xdr:col>27</xdr:col>
      <xdr:colOff>65442</xdr:colOff>
      <xdr:row>674</xdr:row>
      <xdr:rowOff>73958</xdr:rowOff>
    </xdr:to>
    <xdr:sp macro="" textlink="">
      <xdr:nvSpPr>
        <xdr:cNvPr id="417" name="TextBox 416">
          <a:extLst>
            <a:ext uri="{FF2B5EF4-FFF2-40B4-BE49-F238E27FC236}">
              <a16:creationId xmlns:a16="http://schemas.microsoft.com/office/drawing/2014/main" id="{00000000-0008-0000-0100-0000A1010000}"/>
            </a:ext>
          </a:extLst>
        </xdr:cNvPr>
        <xdr:cNvSpPr txBox="1"/>
      </xdr:nvSpPr>
      <xdr:spPr>
        <a:xfrm>
          <a:off x="6530191" y="159737315"/>
          <a:ext cx="5948231" cy="1072923"/>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Your client's internal therapeutic changes are more sustainable when their external threats are addressed. </a:t>
          </a:r>
          <a:r>
            <a:rPr lang="en-US" sz="1200" b="1" baseline="0">
              <a:solidFill>
                <a:schemeClr val="dk1"/>
              </a:solidFill>
              <a:latin typeface="Cambria" panose="02040503050406030204" pitchFamily="18" charset="0"/>
              <a:ea typeface="Cambria" panose="02040503050406030204" pitchFamily="18" charset="0"/>
              <a:cs typeface="+mn-cs"/>
            </a:rPr>
            <a:t>Psychosociotherapy</a:t>
          </a:r>
          <a:r>
            <a:rPr lang="en-US" sz="1200" baseline="0">
              <a:solidFill>
                <a:schemeClr val="dk1"/>
              </a:solidFill>
              <a:latin typeface="Cambria" panose="02040503050406030204" pitchFamily="18" charset="0"/>
              <a:ea typeface="Cambria" panose="02040503050406030204" pitchFamily="18" charset="0"/>
              <a:cs typeface="+mn-cs"/>
            </a:rPr>
            <a:t> using </a:t>
          </a:r>
          <a:r>
            <a:rPr lang="en-US" sz="1200" b="1" baseline="0">
              <a:solidFill>
                <a:schemeClr val="dk1"/>
              </a:solidFill>
              <a:latin typeface="Cambria" panose="02040503050406030204" pitchFamily="18" charset="0"/>
              <a:ea typeface="Cambria" panose="02040503050406030204" pitchFamily="18" charset="0"/>
              <a:cs typeface="+mn-cs"/>
            </a:rPr>
            <a:t>need-response</a:t>
          </a:r>
          <a:r>
            <a:rPr lang="en-US" sz="1200" baseline="0">
              <a:solidFill>
                <a:schemeClr val="dk1"/>
              </a:solidFill>
              <a:latin typeface="Cambria" panose="02040503050406030204" pitchFamily="18" charset="0"/>
              <a:ea typeface="Cambria" panose="02040503050406030204" pitchFamily="18" charset="0"/>
              <a:cs typeface="+mn-cs"/>
            </a:rPr>
            <a:t> adds this needed depth to counseling. I look forward to working with you to resolve specific power-impacted needs between your client and powerful others. To grow love we all need.</a:t>
          </a:r>
        </a:p>
      </xdr:txBody>
    </xdr:sp>
    <xdr:clientData/>
  </xdr:twoCellAnchor>
  <xdr:twoCellAnchor>
    <xdr:from>
      <xdr:col>0</xdr:col>
      <xdr:colOff>107452</xdr:colOff>
      <xdr:row>698</xdr:row>
      <xdr:rowOff>11210</xdr:rowOff>
    </xdr:from>
    <xdr:to>
      <xdr:col>12</xdr:col>
      <xdr:colOff>497178</xdr:colOff>
      <xdr:row>701</xdr:row>
      <xdr:rowOff>163610</xdr:rowOff>
    </xdr:to>
    <xdr:grpSp>
      <xdr:nvGrpSpPr>
        <xdr:cNvPr id="21" name="Group 20">
          <a:extLst>
            <a:ext uri="{FF2B5EF4-FFF2-40B4-BE49-F238E27FC236}">
              <a16:creationId xmlns:a16="http://schemas.microsoft.com/office/drawing/2014/main" id="{00000000-0008-0000-0100-000015000000}"/>
            </a:ext>
          </a:extLst>
        </xdr:cNvPr>
        <xdr:cNvGrpSpPr/>
      </xdr:nvGrpSpPr>
      <xdr:grpSpPr>
        <a:xfrm>
          <a:off x="107452" y="166416770"/>
          <a:ext cx="6036146" cy="906780"/>
          <a:chOff x="99981" y="169615972"/>
          <a:chExt cx="6007608" cy="914400"/>
        </a:xfrm>
      </xdr:grpSpPr>
      <xdr:sp macro="" textlink="">
        <xdr:nvSpPr>
          <xdr:cNvPr id="439" name="TextBox 438">
            <a:extLst>
              <a:ext uri="{FF2B5EF4-FFF2-40B4-BE49-F238E27FC236}">
                <a16:creationId xmlns:a16="http://schemas.microsoft.com/office/drawing/2014/main" id="{00000000-0008-0000-0100-0000B7010000}"/>
              </a:ext>
            </a:extLst>
          </xdr:cNvPr>
          <xdr:cNvSpPr txBox="1"/>
        </xdr:nvSpPr>
        <xdr:spPr>
          <a:xfrm>
            <a:off x="99981" y="169615972"/>
            <a:ext cx="6007608" cy="914400"/>
          </a:xfrm>
          <a:prstGeom prst="rect">
            <a:avLst/>
          </a:prstGeom>
          <a:solidFill>
            <a:srgbClr val="00823C"/>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Ins="914400" rtlCol="0" anchor="t"/>
          <a:lstStyle/>
          <a:p>
            <a:r>
              <a:rPr lang="en-US" sz="1000" b="1">
                <a:solidFill>
                  <a:srgbClr val="E1FFEB"/>
                </a:solidFill>
                <a:latin typeface="Tahoma" panose="020B0604030504040204" pitchFamily="34" charset="0"/>
                <a:ea typeface="Tahoma" panose="020B0604030504040204" pitchFamily="34" charset="0"/>
                <a:cs typeface="Tahoma" panose="020B0604030504040204" pitchFamily="34" charset="0"/>
              </a:rPr>
              <a:t>Steph Turner </a:t>
            </a:r>
            <a:r>
              <a:rPr lang="en-US" sz="1000">
                <a:solidFill>
                  <a:srgbClr val="E1FFEB"/>
                </a:solidFill>
                <a:latin typeface="Tahoma" panose="020B0604030504040204" pitchFamily="34" charset="0"/>
                <a:ea typeface="Tahoma" panose="020B0604030504040204" pitchFamily="34" charset="0"/>
                <a:cs typeface="Tahoma" panose="020B0604030504040204" pitchFamily="34" charset="0"/>
              </a:rPr>
              <a:t>is neither liberal nor conservative,</a:t>
            </a:r>
            <a:r>
              <a:rPr lang="en-US" sz="1000" baseline="0">
                <a:solidFill>
                  <a:srgbClr val="E1FFEB"/>
                </a:solidFill>
                <a:latin typeface="Tahoma" panose="020B0604030504040204" pitchFamily="34" charset="0"/>
                <a:ea typeface="Tahoma" panose="020B0604030504040204" pitchFamily="34" charset="0"/>
                <a:cs typeface="Tahoma" panose="020B0604030504040204" pitchFamily="34" charset="0"/>
              </a:rPr>
              <a:t> but "transpolitical." Steph identifies as a "transspirit" who is spiritually compelled to transcend divisive categories, to integrate complementary sides into a resolving whole. That includes transcending the generalized political left-rigth binary and transcending the generalized politial populace-elite binary. </a:t>
            </a:r>
            <a:endParaRPr lang="en-US" sz="1000">
              <a:solidFill>
                <a:srgbClr val="E1FFEB"/>
              </a:solidFill>
              <a:latin typeface="Tahoma" panose="020B0604030504040204" pitchFamily="34" charset="0"/>
              <a:ea typeface="Tahoma" panose="020B0604030504040204" pitchFamily="34" charset="0"/>
              <a:cs typeface="Tahoma" panose="020B0604030504040204" pitchFamily="34" charset="0"/>
            </a:endParaRPr>
          </a:p>
        </xdr:txBody>
      </xdr:sp>
      <xdr:pic>
        <xdr:nvPicPr>
          <xdr:cNvPr id="7" name="Picture 6">
            <a:hlinkClick xmlns:r="http://schemas.openxmlformats.org/officeDocument/2006/relationships" r:id="rId42" tooltip="to About page at Value Relating"/>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277251" y="169664528"/>
            <a:ext cx="774756" cy="772467"/>
          </a:xfrm>
          <a:prstGeom prst="rect">
            <a:avLst/>
          </a:prstGeom>
          <a:effectLst>
            <a:outerShdw blurRad="63500" sx="102000" sy="102000" algn="ctr" rotWithShape="0">
              <a:prstClr val="black">
                <a:alpha val="40000"/>
              </a:prstClr>
            </a:outerShdw>
            <a:softEdge rad="31750"/>
          </a:effectLst>
        </xdr:spPr>
      </xdr:pic>
    </xdr:grpSp>
    <xdr:clientData/>
  </xdr:twoCellAnchor>
  <xdr:twoCellAnchor>
    <xdr:from>
      <xdr:col>0</xdr:col>
      <xdr:colOff>112058</xdr:colOff>
      <xdr:row>693</xdr:row>
      <xdr:rowOff>18155</xdr:rowOff>
    </xdr:from>
    <xdr:to>
      <xdr:col>13</xdr:col>
      <xdr:colOff>1254</xdr:colOff>
      <xdr:row>697</xdr:row>
      <xdr:rowOff>209564</xdr:rowOff>
    </xdr:to>
    <xdr:grpSp>
      <xdr:nvGrpSpPr>
        <xdr:cNvPr id="23" name="Group 22">
          <a:extLst>
            <a:ext uri="{FF2B5EF4-FFF2-40B4-BE49-F238E27FC236}">
              <a16:creationId xmlns:a16="http://schemas.microsoft.com/office/drawing/2014/main" id="{00000000-0008-0000-0100-000017000000}"/>
            </a:ext>
          </a:extLst>
        </xdr:cNvPr>
        <xdr:cNvGrpSpPr/>
      </xdr:nvGrpSpPr>
      <xdr:grpSpPr>
        <a:xfrm>
          <a:off x="112058" y="165295955"/>
          <a:ext cx="6038536" cy="1067709"/>
          <a:chOff x="112058" y="166022096"/>
          <a:chExt cx="6007608" cy="1072939"/>
        </a:xfrm>
      </xdr:grpSpPr>
      <xdr:sp macro="" textlink="">
        <xdr:nvSpPr>
          <xdr:cNvPr id="628" name="Text Box 1">
            <a:hlinkClick xmlns:r="http://schemas.openxmlformats.org/officeDocument/2006/relationships" r:id="rId44"/>
            <a:extLst>
              <a:ext uri="{FF2B5EF4-FFF2-40B4-BE49-F238E27FC236}">
                <a16:creationId xmlns:a16="http://schemas.microsoft.com/office/drawing/2014/main" id="{00000000-0008-0000-0100-000074020000}"/>
              </a:ext>
            </a:extLst>
          </xdr:cNvPr>
          <xdr:cNvSpPr txBox="1"/>
        </xdr:nvSpPr>
        <xdr:spPr>
          <a:xfrm>
            <a:off x="112058" y="166133979"/>
            <a:ext cx="6007608" cy="833697"/>
          </a:xfrm>
          <a:prstGeom prst="rect">
            <a:avLst/>
          </a:prstGeom>
          <a:solidFill>
            <a:srgbClr val="E29BFF"/>
          </a:solidFill>
          <a:ln w="6350">
            <a:noFill/>
          </a:ln>
          <a:effectLst/>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2400" b="1" spc="100" baseline="0">
                <a:solidFill>
                  <a:srgbClr val="281437"/>
                </a:solidFill>
                <a:effectLst/>
                <a:latin typeface="Tahoma" panose="020B0604030504040204" pitchFamily="34" charset="0"/>
                <a:ea typeface="Tahoma" panose="020B0604030504040204" pitchFamily="34" charset="0"/>
                <a:cs typeface="Tahoma" panose="020B0604030504040204" pitchFamily="34" charset="0"/>
              </a:rPr>
              <a:t>You NEED This</a:t>
            </a:r>
          </a:p>
          <a:p>
            <a:pPr marL="0" marR="0" algn="r">
              <a:spcBef>
                <a:spcPts val="0"/>
              </a:spcBef>
              <a:spcAft>
                <a:spcPts val="0"/>
              </a:spcAft>
            </a:pPr>
            <a:r>
              <a:rPr lang="en-US" sz="1200" b="1">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Introducing</a:t>
            </a:r>
            <a:r>
              <a:rPr lang="en-US" sz="1200" b="1" baseline="0">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 Anankelogy, the study of need</a:t>
            </a:r>
            <a:endParaRPr lang="en-US" sz="1200">
              <a:solidFill>
                <a:srgbClr val="281437"/>
              </a:solidFill>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r">
              <a:spcBef>
                <a:spcPts val="0"/>
              </a:spcBef>
              <a:spcAft>
                <a:spcPts val="0"/>
              </a:spcAft>
            </a:pPr>
            <a:r>
              <a:rPr lang="en-US" sz="900">
                <a:effectLst/>
                <a:latin typeface="Tahoma" panose="020B0604030504040204" pitchFamily="34" charset="0"/>
                <a:ea typeface="Tahoma" panose="020B0604030504040204" pitchFamily="34" charset="0"/>
                <a:cs typeface="Tahoma" panose="020B0604030504040204" pitchFamily="34" charset="0"/>
              </a:rPr>
              <a:t>Set for</a:t>
            </a:r>
            <a:r>
              <a:rPr lang="en-US" sz="900" baseline="0">
                <a:effectLst/>
                <a:latin typeface="Tahoma" panose="020B0604030504040204" pitchFamily="34" charset="0"/>
                <a:ea typeface="Tahoma" panose="020B0604030504040204" pitchFamily="34" charset="0"/>
                <a:cs typeface="Tahoma" panose="020B0604030504040204" pitchFamily="34" charset="0"/>
              </a:rPr>
              <a:t> publication on June 20, 2021.</a:t>
            </a:r>
            <a:endParaRPr lang="en-US" sz="900">
              <a:effectLst/>
              <a:latin typeface="Tahoma" panose="020B0604030504040204" pitchFamily="34" charset="0"/>
              <a:ea typeface="Tahoma" panose="020B0604030504040204" pitchFamily="34" charset="0"/>
              <a:cs typeface="Tahoma" panose="020B0604030504040204" pitchFamily="34" charset="0"/>
            </a:endParaRPr>
          </a:p>
        </xdr:txBody>
      </xdr:sp>
      <xdr:pic>
        <xdr:nvPicPr>
          <xdr:cNvPr id="1225" name="Picture 1224">
            <a:hlinkClick xmlns:r="http://schemas.openxmlformats.org/officeDocument/2006/relationships" r:id="rId44"/>
            <a:extLst>
              <a:ext uri="{FF2B5EF4-FFF2-40B4-BE49-F238E27FC236}">
                <a16:creationId xmlns:a16="http://schemas.microsoft.com/office/drawing/2014/main" id="{00000000-0008-0000-0100-0000C9040000}"/>
              </a:ext>
            </a:extLst>
          </xdr:cNvPr>
          <xdr:cNvPicPr>
            <a:picLocks noChangeAspect="1"/>
          </xdr:cNvPicPr>
        </xdr:nvPicPr>
        <xdr:blipFill>
          <a:blip xmlns:r="http://schemas.openxmlformats.org/officeDocument/2006/relationships" r:embed="rId45"/>
          <a:stretch>
            <a:fillRect/>
          </a:stretch>
        </xdr:blipFill>
        <xdr:spPr>
          <a:xfrm rot="295834">
            <a:off x="247342" y="166022096"/>
            <a:ext cx="713748" cy="1072939"/>
          </a:xfrm>
          <a:prstGeom prst="rect">
            <a:avLst/>
          </a:prstGeom>
          <a:effectLst>
            <a:outerShdw blurRad="50800" dist="38100" dir="2700000" algn="tl" rotWithShape="0">
              <a:prstClr val="black">
                <a:alpha val="40000"/>
              </a:prstClr>
            </a:outerShdw>
          </a:effectLst>
        </xdr:spPr>
      </xdr:pic>
      <xdr:sp macro="" textlink="">
        <xdr:nvSpPr>
          <xdr:cNvPr id="22" name="Rectangle: Rounded Corners 21">
            <a:hlinkClick xmlns:r="http://schemas.openxmlformats.org/officeDocument/2006/relationships" r:id="rId44"/>
            <a:extLst>
              <a:ext uri="{FF2B5EF4-FFF2-40B4-BE49-F238E27FC236}">
                <a16:creationId xmlns:a16="http://schemas.microsoft.com/office/drawing/2014/main" id="{00000000-0008-0000-0100-000016000000}"/>
              </a:ext>
            </a:extLst>
          </xdr:cNvPr>
          <xdr:cNvSpPr/>
        </xdr:nvSpPr>
        <xdr:spPr>
          <a:xfrm>
            <a:off x="1172883" y="166190707"/>
            <a:ext cx="1576295" cy="724647"/>
          </a:xfrm>
          <a:prstGeom prst="roundRect">
            <a:avLst>
              <a:gd name="adj" fmla="val 50000"/>
            </a:avLst>
          </a:prstGeom>
          <a:solidFill>
            <a:srgbClr val="78FFB4"/>
          </a:solidFill>
          <a:ln w="57150">
            <a:solidFill>
              <a:schemeClr val="bg1"/>
            </a:solidFill>
          </a:ln>
          <a:effectLst>
            <a:innerShdw blurRad="114300">
              <a:prstClr val="black"/>
            </a:innerShdw>
          </a:effectLst>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000">
                <a:effectLst/>
                <a:latin typeface="Tahoma" panose="020B0604030504040204" pitchFamily="34" charset="0"/>
                <a:ea typeface="Tahoma" panose="020B0604030504040204" pitchFamily="34" charset="0"/>
                <a:cs typeface="Tahoma" panose="020B0604030504040204" pitchFamily="34" charset="0"/>
              </a:rPr>
              <a:t>Steph is also the author of the forthcoming</a:t>
            </a:r>
            <a:r>
              <a:rPr lang="en-US" sz="1000" baseline="0">
                <a:effectLst/>
                <a:latin typeface="Tahoma" panose="020B0604030504040204" pitchFamily="34" charset="0"/>
                <a:ea typeface="Tahoma" panose="020B0604030504040204" pitchFamily="34" charset="0"/>
                <a:cs typeface="Tahoma" panose="020B0604030504040204" pitchFamily="34" charset="0"/>
              </a:rPr>
              <a:t> book </a:t>
            </a:r>
            <a:r>
              <a:rPr lang="en-US" sz="1000" b="1" i="1" baseline="0">
                <a:effectLst/>
                <a:latin typeface="Tahoma" panose="020B0604030504040204" pitchFamily="34" charset="0"/>
                <a:ea typeface="Tahoma" panose="020B0604030504040204" pitchFamily="34" charset="0"/>
                <a:cs typeface="Tahoma" panose="020B0604030504040204" pitchFamily="34" charset="0"/>
              </a:rPr>
              <a:t>You NEED This</a:t>
            </a:r>
            <a:r>
              <a:rPr lang="en-US" sz="1000" baseline="0">
                <a:effectLst/>
                <a:latin typeface="Tahoma" panose="020B0604030504040204" pitchFamily="34" charset="0"/>
                <a:ea typeface="Tahoma" panose="020B0604030504040204" pitchFamily="34" charset="0"/>
                <a:cs typeface="Tahoma" panose="020B0604030504040204" pitchFamily="34" charset="0"/>
              </a:rPr>
              <a:t>. </a:t>
            </a:r>
            <a:endParaRPr lang="en-US" sz="6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15</xdr:col>
      <xdr:colOff>30729</xdr:colOff>
      <xdr:row>705</xdr:row>
      <xdr:rowOff>147072</xdr:rowOff>
    </xdr:from>
    <xdr:to>
      <xdr:col>26</xdr:col>
      <xdr:colOff>177203</xdr:colOff>
      <xdr:row>705</xdr:row>
      <xdr:rowOff>545354</xdr:rowOff>
    </xdr:to>
    <xdr:sp macro="" textlink="">
      <xdr:nvSpPr>
        <xdr:cNvPr id="445" name="TextBox 444">
          <a:extLst>
            <a:ext uri="{FF2B5EF4-FFF2-40B4-BE49-F238E27FC236}">
              <a16:creationId xmlns:a16="http://schemas.microsoft.com/office/drawing/2014/main" id="{00000000-0008-0000-0100-0000BD010000}"/>
            </a:ext>
          </a:extLst>
        </xdr:cNvPr>
        <xdr:cNvSpPr txBox="1"/>
      </xdr:nvSpPr>
      <xdr:spPr>
        <a:xfrm>
          <a:off x="6373258" y="169318543"/>
          <a:ext cx="5652298" cy="398282"/>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t>HHS.</a:t>
          </a:r>
          <a:r>
            <a:rPr lang="en-US" sz="800" b="1" baseline="0"/>
            <a:t> </a:t>
          </a:r>
          <a:r>
            <a:rPr lang="en-US" sz="800" b="1"/>
            <a:t>(</a:t>
          </a:r>
          <a:r>
            <a:rPr lang="en-US" sz="800" b="1">
              <a:solidFill>
                <a:schemeClr val="dk1"/>
              </a:solidFill>
              <a:latin typeface="+mn-lt"/>
              <a:ea typeface="+mn-ea"/>
              <a:cs typeface="+mn-cs"/>
            </a:rPr>
            <a:t>2013). Business Associate Contracts</a:t>
          </a:r>
          <a:r>
            <a:rPr lang="en-US" sz="800" b="1" baseline="0">
              <a:solidFill>
                <a:schemeClr val="dk1"/>
              </a:solidFill>
              <a:latin typeface="+mn-lt"/>
              <a:ea typeface="+mn-ea"/>
              <a:cs typeface="+mn-cs"/>
            </a:rPr>
            <a:t>.</a:t>
          </a:r>
          <a:r>
            <a:rPr lang="en-US" sz="800" b="1">
              <a:solidFill>
                <a:schemeClr val="dk1"/>
              </a:solidFill>
              <a:latin typeface="+mn-lt"/>
              <a:ea typeface="+mn-ea"/>
              <a:cs typeface="+mn-cs"/>
            </a:rPr>
            <a:t> </a:t>
          </a:r>
          <a:r>
            <a:rPr lang="en-US" sz="800" b="1"/>
            <a:t>https://www.hhs.gov/hipaa/for-professionals/covered-entities/sample-business-associate-agreement-provisions/index.html. Accessed 2020-11-08.</a:t>
          </a:r>
        </a:p>
      </xdr:txBody>
    </xdr:sp>
    <xdr:clientData/>
  </xdr:twoCellAnchor>
  <xdr:twoCellAnchor>
    <xdr:from>
      <xdr:col>23</xdr:col>
      <xdr:colOff>468163</xdr:colOff>
      <xdr:row>313</xdr:row>
      <xdr:rowOff>66104</xdr:rowOff>
    </xdr:from>
    <xdr:to>
      <xdr:col>26</xdr:col>
      <xdr:colOff>488215</xdr:colOff>
      <xdr:row>313</xdr:row>
      <xdr:rowOff>300185</xdr:rowOff>
    </xdr:to>
    <xdr:sp macro="" textlink="">
      <xdr:nvSpPr>
        <xdr:cNvPr id="474" name="Arrow: Left 473">
          <a:hlinkClick xmlns:r="http://schemas.openxmlformats.org/officeDocument/2006/relationships" r:id="rId2" tooltip="back to Harmony Politics tab"/>
          <a:extLst>
            <a:ext uri="{FF2B5EF4-FFF2-40B4-BE49-F238E27FC236}">
              <a16:creationId xmlns:a16="http://schemas.microsoft.com/office/drawing/2014/main" id="{00000000-0008-0000-0100-0000DA010000}"/>
            </a:ext>
          </a:extLst>
        </xdr:cNvPr>
        <xdr:cNvSpPr/>
      </xdr:nvSpPr>
      <xdr:spPr>
        <a:xfrm>
          <a:off x="10971063" y="769265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351</xdr:row>
      <xdr:rowOff>66104</xdr:rowOff>
    </xdr:from>
    <xdr:to>
      <xdr:col>26</xdr:col>
      <xdr:colOff>488215</xdr:colOff>
      <xdr:row>351</xdr:row>
      <xdr:rowOff>300185</xdr:rowOff>
    </xdr:to>
    <xdr:sp macro="" textlink="">
      <xdr:nvSpPr>
        <xdr:cNvPr id="475" name="Arrow: Left 474">
          <a:hlinkClick xmlns:r="http://schemas.openxmlformats.org/officeDocument/2006/relationships" r:id="rId2" tooltip="back to Harmony Politics tab"/>
          <a:extLst>
            <a:ext uri="{FF2B5EF4-FFF2-40B4-BE49-F238E27FC236}">
              <a16:creationId xmlns:a16="http://schemas.microsoft.com/office/drawing/2014/main" id="{00000000-0008-0000-0100-0000DB010000}"/>
            </a:ext>
          </a:extLst>
        </xdr:cNvPr>
        <xdr:cNvSpPr/>
      </xdr:nvSpPr>
      <xdr:spPr>
        <a:xfrm>
          <a:off x="10971063" y="855117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424</xdr:row>
      <xdr:rowOff>66104</xdr:rowOff>
    </xdr:from>
    <xdr:to>
      <xdr:col>26</xdr:col>
      <xdr:colOff>488215</xdr:colOff>
      <xdr:row>424</xdr:row>
      <xdr:rowOff>300185</xdr:rowOff>
    </xdr:to>
    <xdr:sp macro="" textlink="">
      <xdr:nvSpPr>
        <xdr:cNvPr id="476" name="Arrow: Left 475">
          <a:hlinkClick xmlns:r="http://schemas.openxmlformats.org/officeDocument/2006/relationships" r:id="rId2" tooltip="back to Harmony Politics tab"/>
          <a:extLst>
            <a:ext uri="{FF2B5EF4-FFF2-40B4-BE49-F238E27FC236}">
              <a16:creationId xmlns:a16="http://schemas.microsoft.com/office/drawing/2014/main" id="{00000000-0008-0000-0100-0000DC010000}"/>
            </a:ext>
          </a:extLst>
        </xdr:cNvPr>
        <xdr:cNvSpPr/>
      </xdr:nvSpPr>
      <xdr:spPr>
        <a:xfrm>
          <a:off x="10971063" y="1025932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460</xdr:row>
      <xdr:rowOff>66104</xdr:rowOff>
    </xdr:from>
    <xdr:to>
      <xdr:col>26</xdr:col>
      <xdr:colOff>488215</xdr:colOff>
      <xdr:row>460</xdr:row>
      <xdr:rowOff>300185</xdr:rowOff>
    </xdr:to>
    <xdr:sp macro="" textlink="">
      <xdr:nvSpPr>
        <xdr:cNvPr id="477" name="Arrow: Left 476">
          <a:hlinkClick xmlns:r="http://schemas.openxmlformats.org/officeDocument/2006/relationships" r:id="rId2" tooltip="back to Harmony Politics tab"/>
          <a:extLst>
            <a:ext uri="{FF2B5EF4-FFF2-40B4-BE49-F238E27FC236}">
              <a16:creationId xmlns:a16="http://schemas.microsoft.com/office/drawing/2014/main" id="{00000000-0008-0000-0100-0000DD010000}"/>
            </a:ext>
          </a:extLst>
        </xdr:cNvPr>
        <xdr:cNvSpPr/>
      </xdr:nvSpPr>
      <xdr:spPr>
        <a:xfrm>
          <a:off x="10971063" y="1111149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499</xdr:row>
      <xdr:rowOff>66104</xdr:rowOff>
    </xdr:from>
    <xdr:to>
      <xdr:col>26</xdr:col>
      <xdr:colOff>488215</xdr:colOff>
      <xdr:row>499</xdr:row>
      <xdr:rowOff>300185</xdr:rowOff>
    </xdr:to>
    <xdr:sp macro="" textlink="">
      <xdr:nvSpPr>
        <xdr:cNvPr id="478" name="Arrow: Left 477">
          <a:hlinkClick xmlns:r="http://schemas.openxmlformats.org/officeDocument/2006/relationships" r:id="rId2" tooltip="back to Harmony Politics tab"/>
          <a:extLst>
            <a:ext uri="{FF2B5EF4-FFF2-40B4-BE49-F238E27FC236}">
              <a16:creationId xmlns:a16="http://schemas.microsoft.com/office/drawing/2014/main" id="{00000000-0008-0000-0100-0000DE010000}"/>
            </a:ext>
          </a:extLst>
        </xdr:cNvPr>
        <xdr:cNvSpPr/>
      </xdr:nvSpPr>
      <xdr:spPr>
        <a:xfrm>
          <a:off x="10971063" y="1195223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537</xdr:row>
      <xdr:rowOff>66104</xdr:rowOff>
    </xdr:from>
    <xdr:to>
      <xdr:col>26</xdr:col>
      <xdr:colOff>488215</xdr:colOff>
      <xdr:row>537</xdr:row>
      <xdr:rowOff>300185</xdr:rowOff>
    </xdr:to>
    <xdr:sp macro="" textlink="">
      <xdr:nvSpPr>
        <xdr:cNvPr id="479" name="Arrow: Left 478">
          <a:hlinkClick xmlns:r="http://schemas.openxmlformats.org/officeDocument/2006/relationships" r:id="rId2" tooltip="back to Harmony Politics tab"/>
          <a:extLst>
            <a:ext uri="{FF2B5EF4-FFF2-40B4-BE49-F238E27FC236}">
              <a16:creationId xmlns:a16="http://schemas.microsoft.com/office/drawing/2014/main" id="{00000000-0008-0000-0100-0000DF010000}"/>
            </a:ext>
          </a:extLst>
        </xdr:cNvPr>
        <xdr:cNvSpPr/>
      </xdr:nvSpPr>
      <xdr:spPr>
        <a:xfrm>
          <a:off x="10971063" y="1281583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570</xdr:row>
      <xdr:rowOff>66104</xdr:rowOff>
    </xdr:from>
    <xdr:to>
      <xdr:col>26</xdr:col>
      <xdr:colOff>488215</xdr:colOff>
      <xdr:row>570</xdr:row>
      <xdr:rowOff>300185</xdr:rowOff>
    </xdr:to>
    <xdr:sp macro="" textlink="">
      <xdr:nvSpPr>
        <xdr:cNvPr id="480" name="Arrow: Left 479">
          <a:hlinkClick xmlns:r="http://schemas.openxmlformats.org/officeDocument/2006/relationships" r:id="rId2" tooltip="back to Harmony Politics tab"/>
          <a:extLst>
            <a:ext uri="{FF2B5EF4-FFF2-40B4-BE49-F238E27FC236}">
              <a16:creationId xmlns:a16="http://schemas.microsoft.com/office/drawing/2014/main" id="{00000000-0008-0000-0100-0000E0010000}"/>
            </a:ext>
          </a:extLst>
        </xdr:cNvPr>
        <xdr:cNvSpPr/>
      </xdr:nvSpPr>
      <xdr:spPr>
        <a:xfrm>
          <a:off x="10971063" y="1365403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607</xdr:row>
      <xdr:rowOff>66104</xdr:rowOff>
    </xdr:from>
    <xdr:to>
      <xdr:col>26</xdr:col>
      <xdr:colOff>488215</xdr:colOff>
      <xdr:row>607</xdr:row>
      <xdr:rowOff>300185</xdr:rowOff>
    </xdr:to>
    <xdr:sp macro="" textlink="">
      <xdr:nvSpPr>
        <xdr:cNvPr id="481" name="Arrow: Left 480">
          <a:hlinkClick xmlns:r="http://schemas.openxmlformats.org/officeDocument/2006/relationships" r:id="rId2" tooltip="back to Harmony Politics tab"/>
          <a:extLst>
            <a:ext uri="{FF2B5EF4-FFF2-40B4-BE49-F238E27FC236}">
              <a16:creationId xmlns:a16="http://schemas.microsoft.com/office/drawing/2014/main" id="{00000000-0008-0000-0100-0000E1010000}"/>
            </a:ext>
          </a:extLst>
        </xdr:cNvPr>
        <xdr:cNvSpPr/>
      </xdr:nvSpPr>
      <xdr:spPr>
        <a:xfrm>
          <a:off x="10971063" y="1451890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640</xdr:row>
      <xdr:rowOff>66104</xdr:rowOff>
    </xdr:from>
    <xdr:to>
      <xdr:col>26</xdr:col>
      <xdr:colOff>488215</xdr:colOff>
      <xdr:row>640</xdr:row>
      <xdr:rowOff>300185</xdr:rowOff>
    </xdr:to>
    <xdr:sp macro="" textlink="">
      <xdr:nvSpPr>
        <xdr:cNvPr id="482" name="Arrow: Left 481">
          <a:hlinkClick xmlns:r="http://schemas.openxmlformats.org/officeDocument/2006/relationships" r:id="rId2" tooltip="back to Harmony Politics tab"/>
          <a:extLst>
            <a:ext uri="{FF2B5EF4-FFF2-40B4-BE49-F238E27FC236}">
              <a16:creationId xmlns:a16="http://schemas.microsoft.com/office/drawing/2014/main" id="{00000000-0008-0000-0100-0000E2010000}"/>
            </a:ext>
          </a:extLst>
        </xdr:cNvPr>
        <xdr:cNvSpPr/>
      </xdr:nvSpPr>
      <xdr:spPr>
        <a:xfrm>
          <a:off x="10971063" y="1537869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675</xdr:row>
      <xdr:rowOff>66104</xdr:rowOff>
    </xdr:from>
    <xdr:to>
      <xdr:col>26</xdr:col>
      <xdr:colOff>488215</xdr:colOff>
      <xdr:row>675</xdr:row>
      <xdr:rowOff>300185</xdr:rowOff>
    </xdr:to>
    <xdr:sp macro="" textlink="">
      <xdr:nvSpPr>
        <xdr:cNvPr id="483" name="Arrow: Left 482">
          <a:hlinkClick xmlns:r="http://schemas.openxmlformats.org/officeDocument/2006/relationships" r:id="rId2" tooltip="back to Harmony Politics tab"/>
          <a:extLst>
            <a:ext uri="{FF2B5EF4-FFF2-40B4-BE49-F238E27FC236}">
              <a16:creationId xmlns:a16="http://schemas.microsoft.com/office/drawing/2014/main" id="{00000000-0008-0000-0100-0000E3010000}"/>
            </a:ext>
          </a:extLst>
        </xdr:cNvPr>
        <xdr:cNvSpPr/>
      </xdr:nvSpPr>
      <xdr:spPr>
        <a:xfrm>
          <a:off x="10971063" y="1623848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76200</xdr:colOff>
      <xdr:row>191</xdr:row>
      <xdr:rowOff>7498</xdr:rowOff>
    </xdr:from>
    <xdr:to>
      <xdr:col>13</xdr:col>
      <xdr:colOff>25677</xdr:colOff>
      <xdr:row>192</xdr:row>
      <xdr:rowOff>187066</xdr:rowOff>
    </xdr:to>
    <xdr:grpSp>
      <xdr:nvGrpSpPr>
        <xdr:cNvPr id="492" name="Group 491">
          <a:extLst>
            <a:ext uri="{FF2B5EF4-FFF2-40B4-BE49-F238E27FC236}">
              <a16:creationId xmlns:a16="http://schemas.microsoft.com/office/drawing/2014/main" id="{00000000-0008-0000-0100-0000EC010000}"/>
            </a:ext>
          </a:extLst>
        </xdr:cNvPr>
        <xdr:cNvGrpSpPr/>
      </xdr:nvGrpSpPr>
      <xdr:grpSpPr>
        <a:xfrm>
          <a:off x="76200" y="48836458"/>
          <a:ext cx="6098817" cy="240528"/>
          <a:chOff x="6416054" y="107474752"/>
          <a:chExt cx="6101025" cy="273199"/>
        </a:xfrm>
      </xdr:grpSpPr>
      <xdr:pic>
        <xdr:nvPicPr>
          <xdr:cNvPr id="493" name="Picture 492">
            <a:extLst>
              <a:ext uri="{FF2B5EF4-FFF2-40B4-BE49-F238E27FC236}">
                <a16:creationId xmlns:a16="http://schemas.microsoft.com/office/drawing/2014/main" id="{00000000-0008-0000-0100-0000ED010000}"/>
              </a:ext>
            </a:extLst>
          </xdr:cNvPr>
          <xdr:cNvPicPr>
            <a:picLocks noChangeAspect="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b="82888"/>
          <a:stretch/>
        </xdr:blipFill>
        <xdr:spPr>
          <a:xfrm>
            <a:off x="9443582" y="107474752"/>
            <a:ext cx="3073497" cy="272611"/>
          </a:xfrm>
          <a:prstGeom prst="rect">
            <a:avLst/>
          </a:prstGeom>
        </xdr:spPr>
      </xdr:pic>
      <xdr:pic>
        <xdr:nvPicPr>
          <xdr:cNvPr id="494" name="Picture 493">
            <a:extLst>
              <a:ext uri="{FF2B5EF4-FFF2-40B4-BE49-F238E27FC236}">
                <a16:creationId xmlns:a16="http://schemas.microsoft.com/office/drawing/2014/main" id="{00000000-0008-0000-0100-0000EE010000}"/>
              </a:ext>
            </a:extLst>
          </xdr:cNvPr>
          <xdr:cNvPicPr>
            <a:picLocks noChangeAspect="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b="82859"/>
          <a:stretch/>
        </xdr:blipFill>
        <xdr:spPr>
          <a:xfrm>
            <a:off x="6416054" y="107474883"/>
            <a:ext cx="3073497" cy="273068"/>
          </a:xfrm>
          <a:prstGeom prst="rect">
            <a:avLst/>
          </a:prstGeom>
        </xdr:spPr>
      </xdr:pic>
    </xdr:grpSp>
    <xdr:clientData/>
  </xdr:twoCellAnchor>
  <xdr:oneCellAnchor>
    <xdr:from>
      <xdr:col>9</xdr:col>
      <xdr:colOff>132680</xdr:colOff>
      <xdr:row>679</xdr:row>
      <xdr:rowOff>239845</xdr:rowOff>
    </xdr:from>
    <xdr:ext cx="1513239" cy="743280"/>
    <xdr:sp macro="" textlink="">
      <xdr:nvSpPr>
        <xdr:cNvPr id="24" name="Rectangle 23">
          <a:extLst>
            <a:ext uri="{FF2B5EF4-FFF2-40B4-BE49-F238E27FC236}">
              <a16:creationId xmlns:a16="http://schemas.microsoft.com/office/drawing/2014/main" id="{00000000-0008-0000-0100-000018000000}"/>
            </a:ext>
          </a:extLst>
        </xdr:cNvPr>
        <xdr:cNvSpPr/>
      </xdr:nvSpPr>
      <xdr:spPr>
        <a:xfrm rot="520724">
          <a:off x="4270340" y="162103885"/>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9</xdr:col>
      <xdr:colOff>170781</xdr:colOff>
      <xdr:row>684</xdr:row>
      <xdr:rowOff>201744</xdr:rowOff>
    </xdr:from>
    <xdr:ext cx="1513239" cy="743280"/>
    <xdr:sp macro="" textlink="">
      <xdr:nvSpPr>
        <xdr:cNvPr id="495" name="Rectangle 494">
          <a:extLst>
            <a:ext uri="{FF2B5EF4-FFF2-40B4-BE49-F238E27FC236}">
              <a16:creationId xmlns:a16="http://schemas.microsoft.com/office/drawing/2014/main" id="{00000000-0008-0000-0100-0000EF010000}"/>
            </a:ext>
          </a:extLst>
        </xdr:cNvPr>
        <xdr:cNvSpPr/>
      </xdr:nvSpPr>
      <xdr:spPr>
        <a:xfrm rot="520724">
          <a:off x="4308441" y="162972564"/>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9</xdr:col>
      <xdr:colOff>170782</xdr:colOff>
      <xdr:row>689</xdr:row>
      <xdr:rowOff>239844</xdr:rowOff>
    </xdr:from>
    <xdr:ext cx="1513239" cy="743280"/>
    <xdr:sp macro="" textlink="">
      <xdr:nvSpPr>
        <xdr:cNvPr id="496" name="Rectangle 495">
          <a:extLst>
            <a:ext uri="{FF2B5EF4-FFF2-40B4-BE49-F238E27FC236}">
              <a16:creationId xmlns:a16="http://schemas.microsoft.com/office/drawing/2014/main" id="{00000000-0008-0000-0100-0000F0010000}"/>
            </a:ext>
          </a:extLst>
        </xdr:cNvPr>
        <xdr:cNvSpPr/>
      </xdr:nvSpPr>
      <xdr:spPr>
        <a:xfrm rot="520724">
          <a:off x="4308442" y="164138424"/>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3</xdr:col>
      <xdr:colOff>186023</xdr:colOff>
      <xdr:row>689</xdr:row>
      <xdr:rowOff>239844</xdr:rowOff>
    </xdr:from>
    <xdr:ext cx="1513239" cy="743280"/>
    <xdr:sp macro="" textlink="">
      <xdr:nvSpPr>
        <xdr:cNvPr id="497" name="Rectangle 496">
          <a:extLst>
            <a:ext uri="{FF2B5EF4-FFF2-40B4-BE49-F238E27FC236}">
              <a16:creationId xmlns:a16="http://schemas.microsoft.com/office/drawing/2014/main" id="{00000000-0008-0000-0100-0000F1010000}"/>
            </a:ext>
          </a:extLst>
        </xdr:cNvPr>
        <xdr:cNvSpPr/>
      </xdr:nvSpPr>
      <xdr:spPr>
        <a:xfrm rot="520724">
          <a:off x="1306163" y="164138424"/>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1</xdr:col>
      <xdr:colOff>57008</xdr:colOff>
      <xdr:row>24</xdr:row>
      <xdr:rowOff>190315</xdr:rowOff>
    </xdr:from>
    <xdr:ext cx="5943600" cy="1966145"/>
    <xdr:sp macro="" textlink="">
      <xdr:nvSpPr>
        <xdr:cNvPr id="499" name="Rectangle 498">
          <a:extLst>
            <a:ext uri="{FF2B5EF4-FFF2-40B4-BE49-F238E27FC236}">
              <a16:creationId xmlns:a16="http://schemas.microsoft.com/office/drawing/2014/main" id="{00000000-0008-0000-0100-0000F3010000}"/>
            </a:ext>
          </a:extLst>
        </xdr:cNvPr>
        <xdr:cNvSpPr/>
      </xdr:nvSpPr>
      <xdr:spPr>
        <a:xfrm>
          <a:off x="171308" y="9639115"/>
          <a:ext cx="5943600" cy="1966145"/>
        </a:xfrm>
        <a:prstGeom prst="rect">
          <a:avLst/>
        </a:prstGeom>
        <a:noFill/>
      </xdr:spPr>
      <xdr:txBody>
        <a:bodyPr wrap="square" lIns="91440" tIns="45720" rIns="91440" bIns="45720">
          <a:noAutofit/>
        </a:bodyPr>
        <a:lstStyle/>
        <a:p>
          <a:pPr algn="l">
            <a:spcAft>
              <a:spcPts val="600"/>
            </a:spcAft>
          </a:pPr>
          <a:r>
            <a:rPr lang="en-US" sz="24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Instructions</a:t>
          </a:r>
          <a:endParaRPr lang="en-US" sz="32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l"/>
          <a:r>
            <a:rPr lang="en-US" sz="14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Scroll down to find </a:t>
          </a:r>
          <a:r>
            <a:rPr lang="en-US" sz="1400" b="0"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the white fields. Click in each white field, and then select the best option from the dropdown list. Then scroll down to read the test fitting your chosen option. Save as a PDF. Clear the fields and use again.</a:t>
          </a:r>
        </a:p>
        <a:p>
          <a:pPr algn="l"/>
          <a:endParaRPr lang="en-US" sz="1400" b="0"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l"/>
          <a:r>
            <a:rPr lang="en-US" sz="1300" b="0"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Check below for further options to serve your ideologically diverse clients.</a:t>
          </a:r>
          <a:endParaRPr lang="en-US" sz="13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15</xdr:col>
      <xdr:colOff>106679</xdr:colOff>
      <xdr:row>207</xdr:row>
      <xdr:rowOff>129541</xdr:rowOff>
    </xdr:from>
    <xdr:to>
      <xdr:col>27</xdr:col>
      <xdr:colOff>15239</xdr:colOff>
      <xdr:row>213</xdr:row>
      <xdr:rowOff>76200</xdr:rowOff>
    </xdr:to>
    <xdr:sp macro="" textlink="">
      <xdr:nvSpPr>
        <xdr:cNvPr id="502" name="TextBox 501">
          <a:extLst>
            <a:ext uri="{FF2B5EF4-FFF2-40B4-BE49-F238E27FC236}">
              <a16:creationId xmlns:a16="http://schemas.microsoft.com/office/drawing/2014/main" id="{00000000-0008-0000-0100-0000F6010000}"/>
            </a:ext>
          </a:extLst>
        </xdr:cNvPr>
        <xdr:cNvSpPr txBox="1"/>
      </xdr:nvSpPr>
      <xdr:spPr>
        <a:xfrm>
          <a:off x="6484619" y="52189381"/>
          <a:ext cx="5943600" cy="1264919"/>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Cambria" panose="02040503050406030204" pitchFamily="18" charset="0"/>
              <a:ea typeface="Cambria" panose="02040503050406030204" pitchFamily="18" charset="0"/>
            </a:rPr>
            <a:t>If your client takes more of a liberal stance, see how their self-needs are typically more resolved than their social-needs. They are more certain of their authentic selves than how society will accept them. If your client takes more of a conservative stance, see how their social-needs are typically more resolved than their self-needs. They seek individual rights against encroachment on their traditional forms of cohesion. </a:t>
          </a:r>
        </a:p>
      </xdr:txBody>
    </xdr:sp>
    <xdr:clientData/>
  </xdr:twoCellAnchor>
  <xdr:oneCellAnchor>
    <xdr:from>
      <xdr:col>1</xdr:col>
      <xdr:colOff>0</xdr:colOff>
      <xdr:row>56</xdr:row>
      <xdr:rowOff>68580</xdr:rowOff>
    </xdr:from>
    <xdr:ext cx="5943600" cy="2194560"/>
    <xdr:sp macro="" textlink="">
      <xdr:nvSpPr>
        <xdr:cNvPr id="503" name="Rectangle 502">
          <a:extLst>
            <a:ext uri="{FF2B5EF4-FFF2-40B4-BE49-F238E27FC236}">
              <a16:creationId xmlns:a16="http://schemas.microsoft.com/office/drawing/2014/main" id="{00000000-0008-0000-0100-0000F7010000}"/>
            </a:ext>
          </a:extLst>
        </xdr:cNvPr>
        <xdr:cNvSpPr/>
      </xdr:nvSpPr>
      <xdr:spPr>
        <a:xfrm>
          <a:off x="114300" y="17990820"/>
          <a:ext cx="5943600" cy="2194560"/>
        </a:xfrm>
        <a:prstGeom prst="rect">
          <a:avLst/>
        </a:prstGeom>
        <a:noFill/>
      </xdr:spPr>
      <xdr:txBody>
        <a:bodyPr wrap="square" lIns="91440" tIns="45720" rIns="91440" bIns="45720">
          <a:noAutofit/>
        </a:bodyPr>
        <a:lstStyle/>
        <a:p>
          <a:pPr algn="l">
            <a:spcAft>
              <a:spcPts val="600"/>
            </a:spcAft>
          </a:pPr>
          <a:r>
            <a:rPr lang="en-US" sz="18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The central aim here is unhindered therapy</a:t>
          </a:r>
        </a:p>
        <a:p>
          <a:pPr algn="l"/>
          <a:r>
            <a:rPr lang="en-US" sz="14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The important therapeutic difference is not between liberalism and conservatism,</a:t>
          </a:r>
          <a:r>
            <a:rPr lang="en-US" sz="14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but between overgeneralizing on either side and getting to specific needs of each affected person. Such generalizing fuels prejudice that the worst on the other side must be representative of them all, while assuming one's own excessive generalizing is not so bad. Harmony Politics enables you to help clients address their specific needs, where actual therapy of politicized needs can honestly begin.</a:t>
          </a:r>
          <a:endParaRPr lang="en-US" sz="1400" b="0" cap="none" spc="0">
            <a:ln w="0"/>
            <a:solidFill>
              <a:srgbClr val="1E5A28"/>
            </a:solidFill>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14</xdr:col>
      <xdr:colOff>57150</xdr:colOff>
      <xdr:row>324</xdr:row>
      <xdr:rowOff>163830</xdr:rowOff>
    </xdr:from>
    <xdr:to>
      <xdr:col>26</xdr:col>
      <xdr:colOff>468631</xdr:colOff>
      <xdr:row>331</xdr:row>
      <xdr:rowOff>3810</xdr:rowOff>
    </xdr:to>
    <xdr:sp macro="" textlink="">
      <xdr:nvSpPr>
        <xdr:cNvPr id="504" name="TextBox 503">
          <a:extLst>
            <a:ext uri="{FF2B5EF4-FFF2-40B4-BE49-F238E27FC236}">
              <a16:creationId xmlns:a16="http://schemas.microsoft.com/office/drawing/2014/main" id="{00000000-0008-0000-0100-0000F8010000}"/>
            </a:ext>
          </a:extLst>
        </xdr:cNvPr>
        <xdr:cNvSpPr txBox="1"/>
      </xdr:nvSpPr>
      <xdr:spPr>
        <a:xfrm>
          <a:off x="6229350" y="77830680"/>
          <a:ext cx="5974081" cy="1383030"/>
        </a:xfrm>
        <a:prstGeom prst="rect">
          <a:avLst/>
        </a:prstGeom>
        <a:solidFill>
          <a:srgbClr val="A5FFC8"/>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 first experience a need, which then prioritizes your attention over other needs. Those on the other political side experience an opposing priority of needs. Your client could experience this opposing priority. If attached to political generalizing, you risk some transference and countertransference with your client. You could needlessly provoke their defensiveness. If your client shares your prioritizing of this need, you risk getting lost in the same blind spots with your client. You mitigate by detaching from generalizing.</a:t>
          </a:r>
        </a:p>
      </xdr:txBody>
    </xdr:sp>
    <xdr:clientData/>
  </xdr:twoCellAnchor>
  <xdr:twoCellAnchor>
    <xdr:from>
      <xdr:col>14</xdr:col>
      <xdr:colOff>53340</xdr:colOff>
      <xdr:row>331</xdr:row>
      <xdr:rowOff>133350</xdr:rowOff>
    </xdr:from>
    <xdr:to>
      <xdr:col>26</xdr:col>
      <xdr:colOff>457201</xdr:colOff>
      <xdr:row>340</xdr:row>
      <xdr:rowOff>53340</xdr:rowOff>
    </xdr:to>
    <xdr:sp macro="" textlink="">
      <xdr:nvSpPr>
        <xdr:cNvPr id="505" name="TextBox 504">
          <a:extLst>
            <a:ext uri="{FF2B5EF4-FFF2-40B4-BE49-F238E27FC236}">
              <a16:creationId xmlns:a16="http://schemas.microsoft.com/office/drawing/2014/main" id="{00000000-0008-0000-0100-0000F9010000}"/>
            </a:ext>
          </a:extLst>
        </xdr:cNvPr>
        <xdr:cNvSpPr txBox="1"/>
      </xdr:nvSpPr>
      <xdr:spPr>
        <a:xfrm>
          <a:off x="6225540" y="79343250"/>
          <a:ext cx="5966461" cy="2110740"/>
        </a:xfrm>
        <a:prstGeom prst="rect">
          <a:avLst/>
        </a:prstGeom>
        <a:solidFill>
          <a:srgbClr val="A5FFC8"/>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Through the lens of their psychosocial orientation, your client views the affected needs of their own politial side over the affected needs on the other side. Their intensifying priority of needs compels them to ease their pain first. They can hardly empathize with pain on the other side. Your client likely feels stuck in emotional pain until sufficient resolution removes that pain. Political generalizing offers urgent relief from that pain.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Spurred into further generalizing, each side imagines the worst in the other. Your client may express outrage that the other side seems callous to your client's side's suffering. Your client could feel further outraged by the other side overgeneralizing their stance. Such catastrophizing may ease their pain. Rational thinking must take a back seat to the persisting pain of your client's publicly affected needs.</a:t>
          </a:r>
        </a:p>
      </xdr:txBody>
    </xdr:sp>
    <xdr:clientData/>
  </xdr:twoCellAnchor>
  <xdr:twoCellAnchor>
    <xdr:from>
      <xdr:col>15</xdr:col>
      <xdr:colOff>0</xdr:colOff>
      <xdr:row>341</xdr:row>
      <xdr:rowOff>41911</xdr:rowOff>
    </xdr:from>
    <xdr:to>
      <xdr:col>27</xdr:col>
      <xdr:colOff>0</xdr:colOff>
      <xdr:row>349</xdr:row>
      <xdr:rowOff>190500</xdr:rowOff>
    </xdr:to>
    <xdr:sp macro="" textlink="">
      <xdr:nvSpPr>
        <xdr:cNvPr id="506" name="TextBox 505">
          <a:extLst>
            <a:ext uri="{FF2B5EF4-FFF2-40B4-BE49-F238E27FC236}">
              <a16:creationId xmlns:a16="http://schemas.microsoft.com/office/drawing/2014/main" id="{00000000-0008-0000-0100-0000FA010000}"/>
            </a:ext>
          </a:extLst>
        </xdr:cNvPr>
        <xdr:cNvSpPr txBox="1"/>
      </xdr:nvSpPr>
      <xdr:spPr>
        <a:xfrm>
          <a:off x="6286500" y="81671161"/>
          <a:ext cx="5943600" cy="1748789"/>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One political side generalizes for relief of </a:t>
          </a:r>
          <a:r>
            <a:rPr lang="en-US" sz="1200">
              <a:solidFill>
                <a:schemeClr val="dk1"/>
              </a:solidFill>
              <a:latin typeface="Cambria" panose="02040503050406030204" pitchFamily="18" charset="0"/>
              <a:ea typeface="Cambria" panose="02040503050406030204" pitchFamily="18" charset="0"/>
              <a:cs typeface="+mn-cs"/>
            </a:rPr>
            <a:t>an unresolved psychosocial</a:t>
          </a:r>
          <a:r>
            <a:rPr lang="en-US" sz="1200" baseline="0">
              <a:solidFill>
                <a:schemeClr val="dk1"/>
              </a:solidFill>
              <a:latin typeface="Cambria" panose="02040503050406030204" pitchFamily="18" charset="0"/>
              <a:ea typeface="Cambria" panose="02040503050406030204" pitchFamily="18" charset="0"/>
              <a:cs typeface="+mn-cs"/>
            </a:rPr>
            <a:t> </a:t>
          </a:r>
          <a:r>
            <a:rPr lang="en-US" sz="1200">
              <a:solidFill>
                <a:schemeClr val="dk1"/>
              </a:solidFill>
              <a:latin typeface="Cambria" panose="02040503050406030204" pitchFamily="18" charset="0"/>
              <a:ea typeface="Cambria" panose="02040503050406030204" pitchFamily="18" charset="0"/>
              <a:cs typeface="+mn-cs"/>
            </a:rPr>
            <a:t>need, while guarding a more resolved psychosocial need.</a:t>
          </a:r>
          <a:r>
            <a:rPr lang="en-US" sz="1200" baseline="0">
              <a:solidFill>
                <a:schemeClr val="dk1"/>
              </a:solidFill>
              <a:latin typeface="Cambria" panose="02040503050406030204" pitchFamily="18" charset="0"/>
              <a:ea typeface="Cambria" panose="02040503050406030204" pitchFamily="18" charset="0"/>
              <a:cs typeface="+mn-cs"/>
            </a:rPr>
            <a:t> The other political side generalizes for relief of a psychosocial need, while guarding a more resolved psychosocial need. </a:t>
          </a:r>
          <a:endParaRPr lang="en-US" sz="1200">
            <a:solidFill>
              <a:schemeClr val="dk1"/>
            </a:solidFill>
            <a:latin typeface="Cambria" panose="02040503050406030204" pitchFamily="18" charset="0"/>
            <a:ea typeface="Cambria" panose="02040503050406030204" pitchFamily="18" charset="0"/>
            <a:cs typeface="+mn-cs"/>
          </a:endParaRPr>
        </a:p>
        <a:p>
          <a:endParaRPr lang="en-US" sz="120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Wide-oriented liberalism</a:t>
          </a:r>
          <a:r>
            <a:rPr lang="en-US" sz="1200" baseline="0">
              <a:solidFill>
                <a:schemeClr val="dk1"/>
              </a:solidFill>
              <a:latin typeface="Cambria" panose="02040503050406030204" pitchFamily="18" charset="0"/>
              <a:ea typeface="Cambria" panose="02040503050406030204" pitchFamily="18" charset="0"/>
              <a:cs typeface="+mn-cs"/>
            </a:rPr>
            <a:t> generalizes how to </a:t>
          </a:r>
          <a:r>
            <a:rPr lang="en-US" sz="1200">
              <a:solidFill>
                <a:schemeClr val="dk1"/>
              </a:solidFill>
              <a:latin typeface="Cambria" panose="02040503050406030204" pitchFamily="18" charset="0"/>
              <a:ea typeface="Cambria" panose="02040503050406030204" pitchFamily="18" charset="0"/>
              <a:cs typeface="+mn-cs"/>
            </a:rPr>
            <a:t>guard their more</a:t>
          </a:r>
          <a:r>
            <a:rPr lang="en-US" sz="1200" baseline="0">
              <a:solidFill>
                <a:schemeClr val="dk1"/>
              </a:solidFill>
              <a:latin typeface="Cambria" panose="02040503050406030204" pitchFamily="18" charset="0"/>
              <a:ea typeface="Cambria" panose="02040503050406030204" pitchFamily="18" charset="0"/>
              <a:cs typeface="+mn-cs"/>
            </a:rPr>
            <a:t> resolved self-needs, like authenticity, and generalizes how to relieve the pain of their less resolved social-needs, like socital inclusion. Deep-oriented conservatism generalizes how to guard their more resolved social-needs, like group cohesion, and generalizes how to relieve the pain of their less resolved self-needs, like independence.</a:t>
          </a:r>
        </a:p>
        <a:p>
          <a:endParaRPr lang="en-US" sz="1050">
            <a:latin typeface="Arial Narrow" panose="020B0606020202030204" pitchFamily="34" charset="0"/>
          </a:endParaRPr>
        </a:p>
      </xdr:txBody>
    </xdr:sp>
    <xdr:clientData/>
  </xdr:twoCellAnchor>
  <xdr:twoCellAnchor>
    <xdr:from>
      <xdr:col>15</xdr:col>
      <xdr:colOff>53340</xdr:colOff>
      <xdr:row>365</xdr:row>
      <xdr:rowOff>0</xdr:rowOff>
    </xdr:from>
    <xdr:to>
      <xdr:col>26</xdr:col>
      <xdr:colOff>495301</xdr:colOff>
      <xdr:row>368</xdr:row>
      <xdr:rowOff>548640</xdr:rowOff>
    </xdr:to>
    <xdr:sp macro="" textlink="">
      <xdr:nvSpPr>
        <xdr:cNvPr id="507" name="TextBox 506">
          <a:extLst>
            <a:ext uri="{FF2B5EF4-FFF2-40B4-BE49-F238E27FC236}">
              <a16:creationId xmlns:a16="http://schemas.microsoft.com/office/drawing/2014/main" id="{00000000-0008-0000-0100-0000FB010000}"/>
            </a:ext>
          </a:extLst>
        </xdr:cNvPr>
        <xdr:cNvSpPr txBox="1"/>
      </xdr:nvSpPr>
      <xdr:spPr>
        <a:xfrm>
          <a:off x="6431280" y="88018620"/>
          <a:ext cx="5974081" cy="1303020"/>
        </a:xfrm>
        <a:prstGeom prst="rect">
          <a:avLst/>
        </a:prstGeom>
        <a:solidFill>
          <a:srgbClr val="A5FFC8"/>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Divisive politics lets you judge the other side by its most exaggerated generalizations. Then it upholds your side by casting its most exaggerated genralizations as mere aberration. Divisive politics tempts your client to view those arguing the opposite extreme as an example of the other side, while characterizing anyone on the client's side who argues for an exaggerated position as merely an exception to your client side's sound arguments. </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30480</xdr:colOff>
      <xdr:row>375</xdr:row>
      <xdr:rowOff>11430</xdr:rowOff>
    </xdr:from>
    <xdr:to>
      <xdr:col>26</xdr:col>
      <xdr:colOff>441960</xdr:colOff>
      <xdr:row>380</xdr:row>
      <xdr:rowOff>72390</xdr:rowOff>
    </xdr:to>
    <xdr:sp macro="" textlink="">
      <xdr:nvSpPr>
        <xdr:cNvPr id="509" name="TextBox 508">
          <a:extLst>
            <a:ext uri="{FF2B5EF4-FFF2-40B4-BE49-F238E27FC236}">
              <a16:creationId xmlns:a16="http://schemas.microsoft.com/office/drawing/2014/main" id="{00000000-0008-0000-0100-0000FD010000}"/>
            </a:ext>
          </a:extLst>
        </xdr:cNvPr>
        <xdr:cNvSpPr txBox="1"/>
      </xdr:nvSpPr>
      <xdr:spPr>
        <a:xfrm>
          <a:off x="6316980" y="89355930"/>
          <a:ext cx="5859780" cy="110871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Any attachment your client has to political generalizations is likely fueled by pain of unresolved needs. Instead of challenging your client's generalizing, invite them to get a little more specific. If they support a contested political stance, ask what that would do for them if allowed to come to past. Would that satisfy their apparent need or simply ease the pain?</a:t>
          </a:r>
          <a:endParaRPr lang="en-US" sz="1200" baseline="0">
            <a:latin typeface="Cambria" panose="02040503050406030204" pitchFamily="18" charset="0"/>
            <a:ea typeface="Cambria" panose="02040503050406030204" pitchFamily="18" charset="0"/>
          </a:endParaRPr>
        </a:p>
      </xdr:txBody>
    </xdr:sp>
    <xdr:clientData/>
  </xdr:twoCellAnchor>
  <xdr:twoCellAnchor>
    <xdr:from>
      <xdr:col>15</xdr:col>
      <xdr:colOff>7620</xdr:colOff>
      <xdr:row>395</xdr:row>
      <xdr:rowOff>106680</xdr:rowOff>
    </xdr:from>
    <xdr:to>
      <xdr:col>27</xdr:col>
      <xdr:colOff>7620</xdr:colOff>
      <xdr:row>420</xdr:row>
      <xdr:rowOff>148590</xdr:rowOff>
    </xdr:to>
    <xdr:sp macro="" textlink="">
      <xdr:nvSpPr>
        <xdr:cNvPr id="510" name="TextBox 509">
          <a:extLst>
            <a:ext uri="{FF2B5EF4-FFF2-40B4-BE49-F238E27FC236}">
              <a16:creationId xmlns:a16="http://schemas.microsoft.com/office/drawing/2014/main" id="{00000000-0008-0000-0100-0000FE010000}"/>
            </a:ext>
          </a:extLst>
        </xdr:cNvPr>
        <xdr:cNvSpPr txBox="1"/>
      </xdr:nvSpPr>
      <xdr:spPr>
        <a:xfrm>
          <a:off x="6294120" y="94213680"/>
          <a:ext cx="5943600" cy="537591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Cambria" panose="02040503050406030204" pitchFamily="18" charset="0"/>
              <a:ea typeface="Cambria" panose="02040503050406030204" pitchFamily="18" charset="0"/>
            </a:rPr>
            <a:t>Your client's political views grant you a glimpse into their sensitive needs. At first, they cloak their affected needs as arguable political positions. It is easer for them to express an emotionally charged need </a:t>
          </a:r>
          <a:r>
            <a:rPr lang="en-US" sz="1200" baseline="0">
              <a:solidFill>
                <a:schemeClr val="dk1"/>
              </a:solidFill>
              <a:latin typeface="Cambria" panose="02040503050406030204" pitchFamily="18" charset="0"/>
              <a:ea typeface="Cambria" panose="02040503050406030204" pitchFamily="18" charset="0"/>
              <a:cs typeface="+mn-cs"/>
            </a:rPr>
            <a:t>when given with some idea how to relieve it. It is generally easier for your client to insist how others are respect their politicized need than to admit their underlying emotional pain.</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It generally is easier for them to change their expressed views than alter their politically charged feelings. They personally cannot do much about how others respect their public facing needs, but they can feel supported by those who agree with their particular stance. Their underlying feelings express the vulnerability of their publicly affected needs. They cannot change those feelings or their vulnerable needs as easily as they can alter their political views to fit a friendly or hostile audience. </a:t>
          </a:r>
        </a:p>
        <a:p>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 peal back their layers of protected alienation to help resolve their deeper needs. Harmony Politics helps you reverse engineer their emotionally charged [political/ISSUE]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[this political issue/ISSUE] could undermine this intimate journey into greater self-awareness.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Your client can feel alienated from you when you stay at the popularly expected level of agreement-disagreement. They likely expect you to agree with their political stance on a raised issue. If you miss this opportunity to connect beyond their political views, with a hint of disagreement, the client reflexively self-censors their politically charged feelings. They tested the waters and withdrew. They cannot change the needs fueling those feelings. They can more easily change your relation with you. This missed opportunity risks leaving your client stuck in alienation.</a:t>
          </a:r>
        </a:p>
      </xdr:txBody>
    </xdr:sp>
    <xdr:clientData/>
  </xdr:twoCellAnchor>
  <xdr:twoCellAnchor>
    <xdr:from>
      <xdr:col>15</xdr:col>
      <xdr:colOff>45720</xdr:colOff>
      <xdr:row>433</xdr:row>
      <xdr:rowOff>121920</xdr:rowOff>
    </xdr:from>
    <xdr:to>
      <xdr:col>26</xdr:col>
      <xdr:colOff>457200</xdr:colOff>
      <xdr:row>439</xdr:row>
      <xdr:rowOff>243840</xdr:rowOff>
    </xdr:to>
    <xdr:sp macro="" textlink="">
      <xdr:nvSpPr>
        <xdr:cNvPr id="511" name="TextBox 510">
          <a:extLst>
            <a:ext uri="{FF2B5EF4-FFF2-40B4-BE49-F238E27FC236}">
              <a16:creationId xmlns:a16="http://schemas.microsoft.com/office/drawing/2014/main" id="{00000000-0008-0000-0100-0000FF010000}"/>
            </a:ext>
          </a:extLst>
        </xdr:cNvPr>
        <xdr:cNvSpPr txBox="1"/>
      </xdr:nvSpPr>
      <xdr:spPr>
        <a:xfrm>
          <a:off x="6423660" y="103982520"/>
          <a:ext cx="5943600" cy="144018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Popular politics entices you and your client to stay shallow and alienated. You both are given a generalization to agree or disagree, with little room for nuance. If your client attaches to a widely supported position, it should ease their politicized pain.  Since this pain-relief does not resolve the needs provoking such pain, your client's politicized pain persists. Your client risks staying shallow and alienated to cope with unending pain of their unresolved needs. Shift from that overgeneralizing binary to deeper understanding of your client's politicized needs.</a:t>
          </a:r>
        </a:p>
      </xdr:txBody>
    </xdr:sp>
    <xdr:clientData/>
  </xdr:twoCellAnchor>
  <xdr:twoCellAnchor>
    <xdr:from>
      <xdr:col>14</xdr:col>
      <xdr:colOff>76200</xdr:colOff>
      <xdr:row>446</xdr:row>
      <xdr:rowOff>95250</xdr:rowOff>
    </xdr:from>
    <xdr:to>
      <xdr:col>26</xdr:col>
      <xdr:colOff>449580</xdr:colOff>
      <xdr:row>450</xdr:row>
      <xdr:rowOff>152400</xdr:rowOff>
    </xdr:to>
    <xdr:sp macro="" textlink="">
      <xdr:nvSpPr>
        <xdr:cNvPr id="512" name="TextBox 511">
          <a:extLst>
            <a:ext uri="{FF2B5EF4-FFF2-40B4-BE49-F238E27FC236}">
              <a16:creationId xmlns:a16="http://schemas.microsoft.com/office/drawing/2014/main" id="{00000000-0008-0000-0100-000000020000}"/>
            </a:ext>
          </a:extLst>
        </xdr:cNvPr>
        <xdr:cNvSpPr txBox="1"/>
      </xdr:nvSpPr>
      <xdr:spPr>
        <a:xfrm>
          <a:off x="6248400" y="104889300"/>
          <a:ext cx="5935980" cy="142875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Harmony Politics encourages you to go deep and connect with your client's and anyone's political views. Instead of arguing for one position against another, or some similar generalization for relief, you help them identify and express their specific affected needs. You guide them to see how their unique situation prompts them to prioritize one need over another. After seeing why each side prioritizes their particular needs, your client can appreciate politics is relative to needs. Then they can go deep and connect with political others, just as you went deep and connected with them.</a:t>
          </a:r>
        </a:p>
        <a:p>
          <a:pPr marL="0" indent="0"/>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45720</xdr:colOff>
      <xdr:row>472</xdr:row>
      <xdr:rowOff>22860</xdr:rowOff>
    </xdr:from>
    <xdr:to>
      <xdr:col>27</xdr:col>
      <xdr:colOff>38100</xdr:colOff>
      <xdr:row>494</xdr:row>
      <xdr:rowOff>57150</xdr:rowOff>
    </xdr:to>
    <xdr:sp macro="" textlink="">
      <xdr:nvSpPr>
        <xdr:cNvPr id="513" name="TextBox 512">
          <a:extLst>
            <a:ext uri="{FF2B5EF4-FFF2-40B4-BE49-F238E27FC236}">
              <a16:creationId xmlns:a16="http://schemas.microsoft.com/office/drawing/2014/main" id="{00000000-0008-0000-0100-000001020000}"/>
            </a:ext>
          </a:extLst>
        </xdr:cNvPr>
        <xdr:cNvSpPr txBox="1"/>
      </xdr:nvSpPr>
      <xdr:spPr>
        <a:xfrm>
          <a:off x="6332220" y="111198660"/>
          <a:ext cx="5935980" cy="456819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The less your client's politicized needs resolve, the more drawn to extreme positions for relief. Political polarization feeds on our increasing volume of unresolved needs. You as their counselor can provide a meaningful alternative to the disappointment of divisive politics.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Instead of overgeneralizing by insisting we must react politically, you encourage your client to empathize with the other side. Ask your client how it impacts what they need when the other side insists we must the opposite of their own needs. You remain present for their painful reaction. You focus their attention to specific needs. You ask them if they still think this is more important than the affected needs of those on the other side.</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When you see they are ready to focus more on resolving affected needs, you encourage them to see the other side's affected needs are no more or less important than your politically affected needs. The more your client can empathize with the other side's priority of needs, ask them if this can make it easier for the other side to empathize with their priority of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If your client ever thought of the other side as all wrongheaded, does your client still think that way? Or can your client humanize the other side with competing needs? Can your client now understand why those most desperate on the other side may think of your client as complicit with other loathsome folks? Once your client can envision receiving more respect from the other side for their politicized needs, you can help free their focus on their impacted psychosocial needs. You can then segue to de-polarizing.</a:t>
          </a:r>
        </a:p>
      </xdr:txBody>
    </xdr:sp>
    <xdr:clientData/>
  </xdr:twoCellAnchor>
  <xdr:twoCellAnchor>
    <xdr:from>
      <xdr:col>15</xdr:col>
      <xdr:colOff>30480</xdr:colOff>
      <xdr:row>503</xdr:row>
      <xdr:rowOff>114300</xdr:rowOff>
    </xdr:from>
    <xdr:to>
      <xdr:col>27</xdr:col>
      <xdr:colOff>22860</xdr:colOff>
      <xdr:row>519</xdr:row>
      <xdr:rowOff>0</xdr:rowOff>
    </xdr:to>
    <xdr:sp macro="" textlink="">
      <xdr:nvSpPr>
        <xdr:cNvPr id="514" name="TextBox 513">
          <a:extLst>
            <a:ext uri="{FF2B5EF4-FFF2-40B4-BE49-F238E27FC236}">
              <a16:creationId xmlns:a16="http://schemas.microsoft.com/office/drawing/2014/main" id="{00000000-0008-0000-0100-000002020000}"/>
            </a:ext>
          </a:extLst>
        </xdr:cNvPr>
        <xdr:cNvSpPr txBox="1"/>
      </xdr:nvSpPr>
      <xdr:spPr>
        <a:xfrm>
          <a:off x="6316980" y="117786150"/>
          <a:ext cx="5935980" cy="346710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Nature pulls us to balance our self-needs and social-needs. Your client experiences intense emotions to compel them to resolve their affected psychosocial needs. These needs typically compel them to guard their more resolved psychsocial needs, while often spurring them to generalize how to relieve their less resolved psychosocial needs. This need for psychosocial balance fuels political tension.</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Situations beyond their personal control dictates these needs. Politics give expression to these impacts, with the support of those similar affected. Because we often blindly trust politics to ease such needs. As your client focuses on their more visible [politically expressed] need, you focus on their less visibly affected psychosocial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As you support resolving their affected self-needs on par with resolving their affected social-needs, you see their polarization gradually collapse. You nurture their conciliation between a wide and deep orientation to politicized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0</xdr:col>
      <xdr:colOff>111912</xdr:colOff>
      <xdr:row>678</xdr:row>
      <xdr:rowOff>119477</xdr:rowOff>
    </xdr:from>
    <xdr:to>
      <xdr:col>9</xdr:col>
      <xdr:colOff>420</xdr:colOff>
      <xdr:row>693</xdr:row>
      <xdr:rowOff>2776</xdr:rowOff>
    </xdr:to>
    <xdr:grpSp>
      <xdr:nvGrpSpPr>
        <xdr:cNvPr id="11" name="Group 10">
          <a:extLst>
            <a:ext uri="{FF2B5EF4-FFF2-40B4-BE49-F238E27FC236}">
              <a16:creationId xmlns:a16="http://schemas.microsoft.com/office/drawing/2014/main" id="{00000000-0008-0000-0100-00000B000000}"/>
            </a:ext>
          </a:extLst>
        </xdr:cNvPr>
        <xdr:cNvGrpSpPr/>
      </xdr:nvGrpSpPr>
      <xdr:grpSpPr>
        <a:xfrm>
          <a:off x="111912" y="162013997"/>
          <a:ext cx="4026168" cy="3266579"/>
          <a:chOff x="111912" y="161861597"/>
          <a:chExt cx="4026168" cy="3266579"/>
        </a:xfrm>
      </xdr:grpSpPr>
      <xdr:pic>
        <xdr:nvPicPr>
          <xdr:cNvPr id="1372" name="Picture 1371">
            <a:hlinkClick xmlns:r="http://schemas.openxmlformats.org/officeDocument/2006/relationships" r:id="rId48"/>
            <a:extLst>
              <a:ext uri="{FF2B5EF4-FFF2-40B4-BE49-F238E27FC236}">
                <a16:creationId xmlns:a16="http://schemas.microsoft.com/office/drawing/2014/main" id="{00000000-0008-0000-0100-00005C05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14312" y="162991757"/>
            <a:ext cx="1005837" cy="1005840"/>
          </a:xfrm>
          <a:prstGeom prst="rect">
            <a:avLst/>
          </a:prstGeom>
        </xdr:spPr>
      </xdr:pic>
      <xdr:pic>
        <xdr:nvPicPr>
          <xdr:cNvPr id="1373" name="Picture 1372">
            <a:hlinkClick xmlns:r="http://schemas.openxmlformats.org/officeDocument/2006/relationships" r:id="rId49"/>
            <a:extLst>
              <a:ext uri="{FF2B5EF4-FFF2-40B4-BE49-F238E27FC236}">
                <a16:creationId xmlns:a16="http://schemas.microsoft.com/office/drawing/2014/main" id="{00000000-0008-0000-0100-00005D05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11912" y="161861597"/>
            <a:ext cx="1005837" cy="1005840"/>
          </a:xfrm>
          <a:prstGeom prst="rect">
            <a:avLst/>
          </a:prstGeom>
        </xdr:spPr>
      </xdr:pic>
      <xdr:pic>
        <xdr:nvPicPr>
          <xdr:cNvPr id="1374" name="Picture 1373">
            <a:extLst>
              <a:ext uri="{FF2B5EF4-FFF2-40B4-BE49-F238E27FC236}">
                <a16:creationId xmlns:a16="http://schemas.microsoft.com/office/drawing/2014/main" id="{00000000-0008-0000-0100-00005E05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17241" y="164122336"/>
            <a:ext cx="1005837" cy="1005840"/>
          </a:xfrm>
          <a:prstGeom prst="rect">
            <a:avLst/>
          </a:prstGeom>
        </xdr:spPr>
      </xdr:pic>
      <xdr:pic>
        <xdr:nvPicPr>
          <xdr:cNvPr id="1375" name="Picture 1374">
            <a:extLst>
              <a:ext uri="{FF2B5EF4-FFF2-40B4-BE49-F238E27FC236}">
                <a16:creationId xmlns:a16="http://schemas.microsoft.com/office/drawing/2014/main" id="{00000000-0008-0000-0100-00005F05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132243" y="162992177"/>
            <a:ext cx="1005837" cy="1005840"/>
          </a:xfrm>
          <a:prstGeom prst="rect">
            <a:avLst/>
          </a:prstGeom>
        </xdr:spPr>
      </xdr:pic>
      <xdr:pic>
        <xdr:nvPicPr>
          <xdr:cNvPr id="1376" name="Picture 1375">
            <a:hlinkClick xmlns:r="http://schemas.openxmlformats.org/officeDocument/2006/relationships" r:id="rId50" tooltip="Declaration of Liberty [YouTube]"/>
            <a:extLst>
              <a:ext uri="{FF2B5EF4-FFF2-40B4-BE49-F238E27FC236}">
                <a16:creationId xmlns:a16="http://schemas.microsoft.com/office/drawing/2014/main" id="{00000000-0008-0000-0100-00006005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129844" y="164117536"/>
            <a:ext cx="1005837" cy="1005840"/>
          </a:xfrm>
          <a:prstGeom prst="rect">
            <a:avLst/>
          </a:prstGeom>
        </xdr:spPr>
      </xdr:pic>
      <xdr:pic>
        <xdr:nvPicPr>
          <xdr:cNvPr id="10" name="Picture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3131820" y="161864040"/>
            <a:ext cx="1005840" cy="1005840"/>
          </a:xfrm>
          <a:prstGeom prst="rect">
            <a:avLst/>
          </a:prstGeom>
        </xdr:spPr>
      </xdr:pic>
    </xdr:grpSp>
    <xdr:clientData/>
  </xdr:twoCellAnchor>
  <xdr:oneCellAnchor>
    <xdr:from>
      <xdr:col>0</xdr:col>
      <xdr:colOff>91440</xdr:colOff>
      <xdr:row>83</xdr:row>
      <xdr:rowOff>171972</xdr:rowOff>
    </xdr:from>
    <xdr:ext cx="5852160" cy="866263"/>
    <xdr:sp macro="" textlink="">
      <xdr:nvSpPr>
        <xdr:cNvPr id="350" name="Identifying affected needs">
          <a:extLst>
            <a:ext uri="{FF2B5EF4-FFF2-40B4-BE49-F238E27FC236}">
              <a16:creationId xmlns:a16="http://schemas.microsoft.com/office/drawing/2014/main" id="{00000000-0008-0000-0100-00005E010000}"/>
            </a:ext>
          </a:extLst>
        </xdr:cNvPr>
        <xdr:cNvSpPr/>
      </xdr:nvSpPr>
      <xdr:spPr>
        <a:xfrm>
          <a:off x="91440" y="24380712"/>
          <a:ext cx="5852160" cy="866263"/>
        </a:xfrm>
        <a:prstGeom prst="rect">
          <a:avLst/>
        </a:prstGeom>
        <a:noFill/>
      </xdr:spPr>
      <xdr:txBody>
        <a:bodyPr wrap="square" lIns="91440" tIns="45720" rIns="91440" bIns="45720">
          <a:spAutoFit/>
        </a:bodyPr>
        <a:lstStyle/>
        <a:p>
          <a:pPr algn="l"/>
          <a:r>
            <a:rPr lang="en-US" sz="14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Navigation</a:t>
          </a:r>
          <a:endParaRPr lang="en-US" sz="12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endParaRPr>
        </a:p>
        <a:p>
          <a:pPr algn="l"/>
          <a:r>
            <a:rPr lang="en-US" sz="1200" b="0" cap="none" spc="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Click on</a:t>
          </a:r>
          <a:r>
            <a:rPr lang="en-US" sz="1200" b="0" cap="none" spc="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 a page header to return to the table of contents. Click on the up arrow to the right of a page header to return to the previous page. Click on the down arrow to the right of a page header to go to the next page.</a:t>
          </a:r>
          <a:endParaRPr lang="en-US" sz="1200" b="0" cap="none" spc="0">
            <a:ln w="10160">
              <a:noFill/>
              <a:prstDash val="solid"/>
            </a:ln>
            <a:solidFill>
              <a:schemeClr val="tx1">
                <a:lumMod val="85000"/>
                <a:lumOff val="15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6</xdr:col>
      <xdr:colOff>342900</xdr:colOff>
      <xdr:row>53</xdr:row>
      <xdr:rowOff>95772</xdr:rowOff>
    </xdr:from>
    <xdr:ext cx="3200400" cy="587725"/>
    <xdr:sp macro="" textlink="">
      <xdr:nvSpPr>
        <xdr:cNvPr id="351" name="Identifying affected needs">
          <a:hlinkClick xmlns:r="http://schemas.openxmlformats.org/officeDocument/2006/relationships" r:id="rId52" tooltip="to next page header"/>
          <a:extLst>
            <a:ext uri="{FF2B5EF4-FFF2-40B4-BE49-F238E27FC236}">
              <a16:creationId xmlns:a16="http://schemas.microsoft.com/office/drawing/2014/main" id="{00000000-0008-0000-0100-00005F010000}"/>
            </a:ext>
          </a:extLst>
        </xdr:cNvPr>
        <xdr:cNvSpPr/>
      </xdr:nvSpPr>
      <xdr:spPr>
        <a:xfrm>
          <a:off x="2971800" y="17080752"/>
          <a:ext cx="3200400" cy="587725"/>
        </a:xfrm>
        <a:prstGeom prst="rect">
          <a:avLst/>
        </a:prstGeom>
        <a:noFill/>
      </xdr:spPr>
      <xdr:txBody>
        <a:bodyPr wrap="square" lIns="91440" tIns="45720" rIns="91440" bIns="45720" anchor="ctr">
          <a:spAutoFit/>
        </a:bodyPr>
        <a:lstStyle/>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Replace </a:t>
          </a:r>
          <a:r>
            <a:rPr lang="en-US" sz="1600" b="1" cap="all" baseline="0">
              <a:ln>
                <a:solidFill>
                  <a:schemeClr val="accent4">
                    <a:lumMod val="20000"/>
                    <a:lumOff val="80000"/>
                  </a:schemeClr>
                </a:solidFill>
              </a:ln>
              <a:solidFill>
                <a:schemeClr val="accent4">
                  <a:lumMod val="20000"/>
                  <a:lumOff val="80000"/>
                </a:schemeClr>
              </a:solidFill>
              <a:effectLst/>
              <a:latin typeface="Tahoma" panose="020B0604030504040204" pitchFamily="34" charset="0"/>
              <a:ea typeface="Tahoma" panose="020B0604030504040204" pitchFamily="34" charset="0"/>
              <a:cs typeface="Tahoma" panose="020B0604030504040204" pitchFamily="34" charset="0"/>
            </a:rPr>
            <a:t>debating</a:t>
          </a:r>
        </a:p>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with </a:t>
          </a:r>
          <a:r>
            <a:rPr lang="en-US" sz="1600" b="1" cap="all" spc="20" baseline="0">
              <a:ln>
                <a:solidFill>
                  <a:srgbClr val="D2FFE1"/>
                </a:solidFill>
              </a:ln>
              <a:solidFill>
                <a:srgbClr val="D2FFE1"/>
              </a:solidFill>
              <a:effectLst/>
              <a:latin typeface="Tahoma" panose="020B0604030504040204" pitchFamily="34" charset="0"/>
              <a:ea typeface="Tahoma" panose="020B0604030504040204" pitchFamily="34" charset="0"/>
              <a:cs typeface="Tahoma" panose="020B0604030504040204" pitchFamily="34" charset="0"/>
            </a:rPr>
            <a:t>relating</a:t>
          </a: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 </a:t>
          </a:r>
        </a:p>
      </xdr:txBody>
    </xdr:sp>
    <xdr:clientData/>
  </xdr:oneCellAnchor>
  <xdr:oneCellAnchor>
    <xdr:from>
      <xdr:col>1</xdr:col>
      <xdr:colOff>0</xdr:colOff>
      <xdr:row>700</xdr:row>
      <xdr:rowOff>152400</xdr:rowOff>
    </xdr:from>
    <xdr:ext cx="5285934" cy="262572"/>
    <xdr:sp macro="" textlink="">
      <xdr:nvSpPr>
        <xdr:cNvPr id="352" name="Identifying affected needs">
          <a:extLst>
            <a:ext uri="{FF2B5EF4-FFF2-40B4-BE49-F238E27FC236}">
              <a16:creationId xmlns:a16="http://schemas.microsoft.com/office/drawing/2014/main" id="{00000000-0008-0000-0100-000060010000}"/>
            </a:ext>
          </a:extLst>
        </xdr:cNvPr>
        <xdr:cNvSpPr/>
      </xdr:nvSpPr>
      <xdr:spPr>
        <a:xfrm>
          <a:off x="114300" y="166923720"/>
          <a:ext cx="5285934" cy="262572"/>
        </a:xfrm>
        <a:prstGeom prst="rect">
          <a:avLst/>
        </a:prstGeom>
        <a:noFill/>
      </xdr:spPr>
      <xdr:txBody>
        <a:bodyPr wrap="none" lIns="91440" tIns="45720" rIns="91440" bIns="45720">
          <a:spAutoFit/>
        </a:bodyPr>
        <a:lstStyle/>
        <a:p>
          <a:pPr algn="l"/>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Contact me and let me know</a:t>
          </a:r>
          <a:r>
            <a:rPr lang="en-US" sz="1100" baseline="0">
              <a:solidFill>
                <a:srgbClr val="FFFF00"/>
              </a:solidFill>
              <a:effectLst/>
              <a:latin typeface="Tahoma" panose="020B0604030504040204" pitchFamily="34" charset="0"/>
              <a:ea typeface="Tahoma" panose="020B0604030504040204" pitchFamily="34" charset="0"/>
              <a:cs typeface="Tahoma" panose="020B0604030504040204" pitchFamily="34" charset="0"/>
            </a:rPr>
            <a:t> h</a:t>
          </a:r>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ow can I improve this for you? What am I missing?</a:t>
          </a:r>
          <a:endParaRPr lang="en-US" sz="1100" b="0" cap="none" spc="0">
            <a:ln w="10160">
              <a:solidFill>
                <a:srgbClr val="7030A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twoCellAnchor>
    <xdr:from>
      <xdr:col>11</xdr:col>
      <xdr:colOff>60961</xdr:colOff>
      <xdr:row>706</xdr:row>
      <xdr:rowOff>55632</xdr:rowOff>
    </xdr:from>
    <xdr:to>
      <xdr:col>12</xdr:col>
      <xdr:colOff>487681</xdr:colOff>
      <xdr:row>709</xdr:row>
      <xdr:rowOff>101352</xdr:rowOff>
    </xdr:to>
    <xdr:sp macro="" textlink="">
      <xdr:nvSpPr>
        <xdr:cNvPr id="353" name="TextBox 352">
          <a:extLst>
            <a:ext uri="{FF2B5EF4-FFF2-40B4-BE49-F238E27FC236}">
              <a16:creationId xmlns:a16="http://schemas.microsoft.com/office/drawing/2014/main" id="{00000000-0008-0000-0100-000061010000}"/>
            </a:ext>
          </a:extLst>
        </xdr:cNvPr>
        <xdr:cNvSpPr txBox="1"/>
      </xdr:nvSpPr>
      <xdr:spPr>
        <a:xfrm>
          <a:off x="5204461" y="168823392"/>
          <a:ext cx="9296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45720" bIns="0" rtlCol="0" anchor="t"/>
        <a:lstStyle/>
        <a:p>
          <a:pPr algn="r"/>
          <a:r>
            <a:rPr lang="en-US" sz="900" b="1"/>
            <a:t>Thank you for this opportunity to serve</a:t>
          </a:r>
          <a:r>
            <a:rPr lang="en-US" sz="900" b="1" baseline="0"/>
            <a:t> your needs.</a:t>
          </a:r>
          <a:endParaRPr lang="en-US" sz="900" b="1"/>
        </a:p>
      </xdr:txBody>
    </xdr:sp>
    <xdr:clientData/>
  </xdr:twoCellAnchor>
  <xdr:twoCellAnchor>
    <xdr:from>
      <xdr:col>1</xdr:col>
      <xdr:colOff>30728</xdr:colOff>
      <xdr:row>706</xdr:row>
      <xdr:rowOff>48012</xdr:rowOff>
    </xdr:from>
    <xdr:to>
      <xdr:col>3</xdr:col>
      <xdr:colOff>30728</xdr:colOff>
      <xdr:row>709</xdr:row>
      <xdr:rowOff>93732</xdr:rowOff>
    </xdr:to>
    <xdr:sp macro="" textlink="">
      <xdr:nvSpPr>
        <xdr:cNvPr id="354" name="TextBox 353">
          <a:extLst>
            <a:ext uri="{FF2B5EF4-FFF2-40B4-BE49-F238E27FC236}">
              <a16:creationId xmlns:a16="http://schemas.microsoft.com/office/drawing/2014/main" id="{00000000-0008-0000-0100-000062010000}"/>
            </a:ext>
          </a:extLst>
        </xdr:cNvPr>
        <xdr:cNvSpPr txBox="1"/>
      </xdr:nvSpPr>
      <xdr:spPr>
        <a:xfrm>
          <a:off x="145028" y="168815772"/>
          <a:ext cx="10058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45720" bIns="0" rtlCol="0" anchor="t"/>
        <a:lstStyle/>
        <a:p>
          <a:pPr algn="l"/>
          <a:r>
            <a:rPr lang="en-US" sz="900" b="1"/>
            <a:t>Thank you for trying out this spreadsheet tool.</a:t>
          </a:r>
        </a:p>
      </xdr:txBody>
    </xdr:sp>
    <xdr:clientData/>
  </xdr:twoCellAnchor>
  <xdr:twoCellAnchor>
    <xdr:from>
      <xdr:col>15</xdr:col>
      <xdr:colOff>99060</xdr:colOff>
      <xdr:row>246</xdr:row>
      <xdr:rowOff>205740</xdr:rowOff>
    </xdr:from>
    <xdr:to>
      <xdr:col>27</xdr:col>
      <xdr:colOff>7620</xdr:colOff>
      <xdr:row>253</xdr:row>
      <xdr:rowOff>22859</xdr:rowOff>
    </xdr:to>
    <xdr:sp macro="" textlink="">
      <xdr:nvSpPr>
        <xdr:cNvPr id="357" name="Text Box 16">
          <a:extLst>
            <a:ext uri="{FF2B5EF4-FFF2-40B4-BE49-F238E27FC236}">
              <a16:creationId xmlns:a16="http://schemas.microsoft.com/office/drawing/2014/main" id="{00000000-0008-0000-0100-000065010000}"/>
            </a:ext>
          </a:extLst>
        </xdr:cNvPr>
        <xdr:cNvSpPr txBox="1"/>
      </xdr:nvSpPr>
      <xdr:spPr>
        <a:xfrm>
          <a:off x="6477000" y="61295280"/>
          <a:ext cx="5943600" cy="1386839"/>
        </a:xfrm>
        <a:prstGeom prst="rect">
          <a:avLst/>
        </a:prstGeom>
        <a:solidFill>
          <a:srgbClr val="78FFB4"/>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Deeper and more specifically, political</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contests reveal long standing obstacles to resolving needs. As public policy favors the prioritized need of one political side, it often limits the other side's capacity to fully resolve their priority of needs. The more one side can address their needs, their underling psychosocial needs resolve and ease their pain. The less the other side can address their needs, their underlying psychosocial needs remain painfully bare. Demoracy then sinks into a passive-aggressive struggle to take turns easing the pain of each other's public facing needs. </a:t>
          </a:r>
        </a:p>
        <a:p>
          <a:pPr marL="0" marR="0">
            <a:spcBef>
              <a:spcPts val="0"/>
            </a:spcBef>
            <a:spcAft>
              <a:spcPts val="0"/>
            </a:spcAft>
          </a:pPr>
          <a:endParaRPr lang="en-US" sz="1200" baseline="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baseline="0">
              <a:effectLst/>
              <a:latin typeface="Cambria" panose="02040503050406030204" pitchFamily="18" charset="0"/>
              <a:ea typeface="Cambria" panose="02040503050406030204" pitchFamily="18" charset="0"/>
              <a:cs typeface="Times New Roman" panose="02020603050405020304" pitchFamily="18" charset="0"/>
            </a:rPr>
            <a:t>Two wrongs do not make a right, but sometimes they make a law.</a:t>
          </a:r>
        </a:p>
        <a:p>
          <a:pPr marL="0" marR="0">
            <a:spcBef>
              <a:spcPts val="0"/>
            </a:spcBef>
            <a:spcAft>
              <a:spcPts val="0"/>
            </a:spcAft>
          </a:pPr>
          <a:endParaRPr lang="en-US" sz="1200" baseline="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baseline="0">
              <a:effectLst/>
              <a:latin typeface="Cambria" panose="02040503050406030204" pitchFamily="18" charset="0"/>
              <a:ea typeface="Cambria" panose="02040503050406030204" pitchFamily="18" charset="0"/>
              <a:cs typeface="Times New Roman" panose="02020603050405020304" pitchFamily="18" charset="0"/>
            </a:rPr>
            <a:t>As distrust of elites increases, </a:t>
          </a:r>
        </a:p>
        <a:p>
          <a:pPr marL="0" marR="0">
            <a:spcBef>
              <a:spcPts val="0"/>
            </a:spcBef>
            <a:spcAft>
              <a:spcPts val="0"/>
            </a:spcAft>
          </a:pPr>
          <a:endParaRPr lang="en-US" sz="1200">
            <a:effectLst/>
            <a:latin typeface="Cambria" panose="02040503050406030204" pitchFamily="18" charset="0"/>
            <a:ea typeface="Cambria" panose="02040503050406030204" pitchFamily="18" charset="0"/>
            <a:cs typeface="Times New Roman" panose="02020603050405020304" pitchFamily="18" charset="0"/>
          </a:endParaRPr>
        </a:p>
      </xdr:txBody>
    </xdr:sp>
    <xdr:clientData/>
  </xdr:twoCellAnchor>
  <xdr:twoCellAnchor>
    <xdr:from>
      <xdr:col>15</xdr:col>
      <xdr:colOff>91440</xdr:colOff>
      <xdr:row>253</xdr:row>
      <xdr:rowOff>68580</xdr:rowOff>
    </xdr:from>
    <xdr:to>
      <xdr:col>27</xdr:col>
      <xdr:colOff>0</xdr:colOff>
      <xdr:row>259</xdr:row>
      <xdr:rowOff>190500</xdr:rowOff>
    </xdr:to>
    <xdr:sp macro="" textlink="">
      <xdr:nvSpPr>
        <xdr:cNvPr id="359" name="Text Box 16">
          <a:extLst>
            <a:ext uri="{FF2B5EF4-FFF2-40B4-BE49-F238E27FC236}">
              <a16:creationId xmlns:a16="http://schemas.microsoft.com/office/drawing/2014/main" id="{00000000-0008-0000-0100-000067010000}"/>
            </a:ext>
          </a:extLst>
        </xdr:cNvPr>
        <xdr:cNvSpPr txBox="1"/>
      </xdr:nvSpPr>
      <xdr:spPr>
        <a:xfrm>
          <a:off x="6469380" y="62727840"/>
          <a:ext cx="5943600" cy="1440180"/>
        </a:xfrm>
        <a:prstGeom prst="rect">
          <a:avLst/>
        </a:prstGeom>
        <a:solidFill>
          <a:srgbClr val="78FFB4"/>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It is an overgeneralization to expect society to officially side with one priority over the other. These competing needs emerge as an arbitrary artifact of culture. If humanity always sided with the needs of the wide-oriented against the needs of deep-oriented, or with the needs of the deep-oriented against the needs of wide-oriented, there would be no humanity. This division is more of a structural </a:t>
          </a:r>
          <a:r>
            <a:rPr lang="en-US" sz="1200" baseline="0">
              <a:effectLst/>
              <a:latin typeface="Cambria" panose="02040503050406030204" pitchFamily="18" charset="0"/>
              <a:ea typeface="Cambria" panose="02040503050406030204" pitchFamily="18" charset="0"/>
              <a:cs typeface="Times New Roman" panose="02020603050405020304" pitchFamily="18" charset="0"/>
            </a:rPr>
            <a:t>problem, beyond the scope of traditional psychotherapy.</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xdr:txBody>
    </xdr:sp>
    <xdr:clientData/>
  </xdr:twoCellAnchor>
  <xdr:oneCellAnchor>
    <xdr:from>
      <xdr:col>2</xdr:col>
      <xdr:colOff>53340</xdr:colOff>
      <xdr:row>19</xdr:row>
      <xdr:rowOff>5810</xdr:rowOff>
    </xdr:from>
    <xdr:ext cx="5029200" cy="726481"/>
    <xdr:sp macro="" textlink="">
      <xdr:nvSpPr>
        <xdr:cNvPr id="362" name="Rectangle 361">
          <a:extLst>
            <a:ext uri="{FF2B5EF4-FFF2-40B4-BE49-F238E27FC236}">
              <a16:creationId xmlns:a16="http://schemas.microsoft.com/office/drawing/2014/main" id="{00000000-0008-0000-0100-00006A010000}"/>
            </a:ext>
          </a:extLst>
        </xdr:cNvPr>
        <xdr:cNvSpPr/>
      </xdr:nvSpPr>
      <xdr:spPr>
        <a:xfrm>
          <a:off x="670560" y="7176230"/>
          <a:ext cx="5029200" cy="726481"/>
        </a:xfrm>
        <a:prstGeom prst="rect">
          <a:avLst/>
        </a:prstGeom>
        <a:solidFill>
          <a:srgbClr val="7030A0"/>
        </a:solidFill>
      </xdr:spPr>
      <xdr:txBody>
        <a:bodyPr wrap="square" lIns="91440" tIns="45720" rIns="91440" bIns="45720" anchor="ctr">
          <a:spAutoFit/>
        </a:bodyPr>
        <a:lstStyle/>
        <a:p>
          <a:pPr algn="ctr">
            <a:spcAft>
              <a:spcPts val="600"/>
            </a:spcAft>
          </a:pPr>
          <a:r>
            <a:rPr lang="en-US" sz="2400" b="1" cap="none" spc="50" baseline="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A5FFC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Value</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Relating</a:t>
          </a:r>
        </a:p>
        <a:p>
          <a:pPr algn="ctr"/>
          <a:r>
            <a:rPr lang="en-US" sz="1200" b="1" cap="none" spc="0">
              <a:ln w="0"/>
              <a:solidFill>
                <a:srgbClr val="64FF9B"/>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solving problems </a:t>
          </a:r>
          <a:r>
            <a:rPr lang="en-US" sz="1200" b="1" cap="none" spc="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1200" b="1" cap="none" spc="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200" b="1" cap="none" spc="0">
              <a:ln w="0"/>
              <a:solidFill>
                <a:srgbClr val="FF00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resolving needs</a:t>
          </a:r>
        </a:p>
      </xdr:txBody>
    </xdr:sp>
    <xdr:clientData/>
  </xdr:oneCellAnchor>
  <xdr:oneCellAnchor>
    <xdr:from>
      <xdr:col>1</xdr:col>
      <xdr:colOff>175260</xdr:colOff>
      <xdr:row>527</xdr:row>
      <xdr:rowOff>232225</xdr:rowOff>
    </xdr:from>
    <xdr:ext cx="5645263" cy="401905"/>
    <xdr:sp macro="" textlink="">
      <xdr:nvSpPr>
        <xdr:cNvPr id="15" name="Rectangle 14">
          <a:hlinkClick xmlns:r="http://schemas.openxmlformats.org/officeDocument/2006/relationships" r:id="rId27" tooltip="click to go the HP tab"/>
          <a:extLst>
            <a:ext uri="{FF2B5EF4-FFF2-40B4-BE49-F238E27FC236}">
              <a16:creationId xmlns:a16="http://schemas.microsoft.com/office/drawing/2014/main" id="{00000000-0008-0000-0100-00000F000000}"/>
            </a:ext>
          </a:extLst>
        </xdr:cNvPr>
        <xdr:cNvSpPr/>
      </xdr:nvSpPr>
      <xdr:spPr>
        <a:xfrm>
          <a:off x="289560" y="125116405"/>
          <a:ext cx="5645263" cy="401905"/>
        </a:xfrm>
        <a:prstGeom prst="rect">
          <a:avLst/>
        </a:prstGeom>
        <a:noFill/>
      </xdr:spPr>
      <xdr:txBody>
        <a:bodyPr wrap="none" lIns="91440" tIns="45720" rIns="91440" bIns="45720" anchor="ctr">
          <a:spAutoFit/>
        </a:bodyPr>
        <a:lstStyle/>
        <a:p>
          <a:pPr algn="ctr"/>
          <a:r>
            <a:rPr lang="en-US" sz="2000" b="1" cap="none" spc="0">
              <a:ln w="10160">
                <a:solidFill>
                  <a:srgbClr val="7030A0"/>
                </a:solidFill>
                <a:prstDash val="solid"/>
              </a:ln>
              <a:solidFill>
                <a:srgbClr val="FFFFFF"/>
              </a:solidFill>
              <a:effectLst>
                <a:outerShdw blurRad="38100" dist="22860" dir="5400000" algn="tl" rotWithShape="0">
                  <a:srgbClr val="7030A0">
                    <a:alpha val="30000"/>
                  </a:srgbClr>
                </a:outerShdw>
              </a:effectLst>
              <a:latin typeface="Tahoma" panose="020B0604030504040204" pitchFamily="34" charset="0"/>
              <a:ea typeface="Tahoma" panose="020B0604030504040204" pitchFamily="34" charset="0"/>
              <a:cs typeface="Tahoma" panose="020B0604030504040204" pitchFamily="34" charset="0"/>
            </a:rPr>
            <a:t>learn more more</a:t>
          </a:r>
          <a:r>
            <a:rPr lang="en-US" sz="2000" b="1" cap="none" spc="0" baseline="0">
              <a:ln w="10160">
                <a:solidFill>
                  <a:srgbClr val="7030A0"/>
                </a:solidFill>
                <a:prstDash val="solid"/>
              </a:ln>
              <a:solidFill>
                <a:srgbClr val="FFFFFF"/>
              </a:solidFill>
              <a:effectLst>
                <a:outerShdw blurRad="38100" dist="22860" dir="5400000" algn="tl" rotWithShape="0">
                  <a:srgbClr val="7030A0">
                    <a:alpha val="30000"/>
                  </a:srgbClr>
                </a:outerShdw>
              </a:effectLst>
              <a:latin typeface="Tahoma" panose="020B0604030504040204" pitchFamily="34" charset="0"/>
              <a:ea typeface="Tahoma" panose="020B0604030504040204" pitchFamily="34" charset="0"/>
              <a:cs typeface="Tahoma" panose="020B0604030504040204" pitchFamily="34" charset="0"/>
            </a:rPr>
            <a:t> about Harmony Politics</a:t>
          </a:r>
          <a:r>
            <a:rPr lang="en-US" sz="2000" b="1" cap="none" spc="0">
              <a:ln w="10160">
                <a:solidFill>
                  <a:srgbClr val="7030A0"/>
                </a:solidFill>
                <a:prstDash val="solid"/>
              </a:ln>
              <a:solidFill>
                <a:srgbClr val="FFFFFF"/>
              </a:solidFill>
              <a:effectLst>
                <a:outerShdw blurRad="38100" dist="22860" dir="5400000" algn="tl" rotWithShape="0">
                  <a:srgbClr val="7030A0">
                    <a:alpha val="3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oneCellAnchor>
  <xdr:twoCellAnchor>
    <xdr:from>
      <xdr:col>8</xdr:col>
      <xdr:colOff>91440</xdr:colOff>
      <xdr:row>243</xdr:row>
      <xdr:rowOff>38100</xdr:rowOff>
    </xdr:from>
    <xdr:to>
      <xdr:col>9</xdr:col>
      <xdr:colOff>480060</xdr:colOff>
      <xdr:row>243</xdr:row>
      <xdr:rowOff>198120</xdr:rowOff>
    </xdr:to>
    <xdr:sp macro="" textlink="">
      <xdr:nvSpPr>
        <xdr:cNvPr id="9" name="Rectangle: Rounded Corners 8">
          <a:extLst>
            <a:ext uri="{FF2B5EF4-FFF2-40B4-BE49-F238E27FC236}">
              <a16:creationId xmlns:a16="http://schemas.microsoft.com/office/drawing/2014/main" id="{00000000-0008-0000-0100-000009000000}"/>
            </a:ext>
          </a:extLst>
        </xdr:cNvPr>
        <xdr:cNvSpPr/>
      </xdr:nvSpPr>
      <xdr:spPr>
        <a:xfrm>
          <a:off x="3726180" y="6041898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99060</xdr:colOff>
      <xdr:row>243</xdr:row>
      <xdr:rowOff>220980</xdr:rowOff>
    </xdr:from>
    <xdr:to>
      <xdr:col>5</xdr:col>
      <xdr:colOff>487680</xdr:colOff>
      <xdr:row>244</xdr:row>
      <xdr:rowOff>129540</xdr:rowOff>
    </xdr:to>
    <xdr:sp macro="" textlink="">
      <xdr:nvSpPr>
        <xdr:cNvPr id="257" name="Rectangle: Rounded Corners 256">
          <a:extLst>
            <a:ext uri="{FF2B5EF4-FFF2-40B4-BE49-F238E27FC236}">
              <a16:creationId xmlns:a16="http://schemas.microsoft.com/office/drawing/2014/main" id="{00000000-0008-0000-0100-000001010000}"/>
            </a:ext>
          </a:extLst>
        </xdr:cNvPr>
        <xdr:cNvSpPr/>
      </xdr:nvSpPr>
      <xdr:spPr>
        <a:xfrm>
          <a:off x="1722120" y="6060186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441960</xdr:colOff>
      <xdr:row>243</xdr:row>
      <xdr:rowOff>236220</xdr:rowOff>
    </xdr:from>
    <xdr:to>
      <xdr:col>8</xdr:col>
      <xdr:colOff>259080</xdr:colOff>
      <xdr:row>244</xdr:row>
      <xdr:rowOff>144780</xdr:rowOff>
    </xdr:to>
    <xdr:sp macro="" textlink="">
      <xdr:nvSpPr>
        <xdr:cNvPr id="258" name="Rectangle: Rounded Corners 257">
          <a:extLst>
            <a:ext uri="{FF2B5EF4-FFF2-40B4-BE49-F238E27FC236}">
              <a16:creationId xmlns:a16="http://schemas.microsoft.com/office/drawing/2014/main" id="{00000000-0008-0000-0100-000002010000}"/>
            </a:ext>
          </a:extLst>
        </xdr:cNvPr>
        <xdr:cNvSpPr/>
      </xdr:nvSpPr>
      <xdr:spPr>
        <a:xfrm>
          <a:off x="3070860" y="60617100"/>
          <a:ext cx="82296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15240</xdr:colOff>
      <xdr:row>248</xdr:row>
      <xdr:rowOff>15240</xdr:rowOff>
    </xdr:from>
    <xdr:to>
      <xdr:col>2</xdr:col>
      <xdr:colOff>403860</xdr:colOff>
      <xdr:row>248</xdr:row>
      <xdr:rowOff>175260</xdr:rowOff>
    </xdr:to>
    <xdr:sp macro="" textlink="">
      <xdr:nvSpPr>
        <xdr:cNvPr id="271" name="Rectangle: Rounded Corners 270">
          <a:extLst>
            <a:ext uri="{FF2B5EF4-FFF2-40B4-BE49-F238E27FC236}">
              <a16:creationId xmlns:a16="http://schemas.microsoft.com/office/drawing/2014/main" id="{00000000-0008-0000-0100-00000F010000}"/>
            </a:ext>
          </a:extLst>
        </xdr:cNvPr>
        <xdr:cNvSpPr/>
      </xdr:nvSpPr>
      <xdr:spPr>
        <a:xfrm>
          <a:off x="129540" y="6146292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152400</xdr:colOff>
      <xdr:row>248</xdr:row>
      <xdr:rowOff>38100</xdr:rowOff>
    </xdr:from>
    <xdr:to>
      <xdr:col>5</xdr:col>
      <xdr:colOff>381000</xdr:colOff>
      <xdr:row>248</xdr:row>
      <xdr:rowOff>198120</xdr:rowOff>
    </xdr:to>
    <xdr:sp macro="" textlink="">
      <xdr:nvSpPr>
        <xdr:cNvPr id="272" name="Rectangle: Rounded Corners 271">
          <a:extLst>
            <a:ext uri="{FF2B5EF4-FFF2-40B4-BE49-F238E27FC236}">
              <a16:creationId xmlns:a16="http://schemas.microsoft.com/office/drawing/2014/main" id="{00000000-0008-0000-0100-000010010000}"/>
            </a:ext>
          </a:extLst>
        </xdr:cNvPr>
        <xdr:cNvSpPr/>
      </xdr:nvSpPr>
      <xdr:spPr>
        <a:xfrm>
          <a:off x="1775460" y="61485780"/>
          <a:ext cx="73152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419100</xdr:colOff>
      <xdr:row>248</xdr:row>
      <xdr:rowOff>45720</xdr:rowOff>
    </xdr:from>
    <xdr:to>
      <xdr:col>8</xdr:col>
      <xdr:colOff>236220</xdr:colOff>
      <xdr:row>248</xdr:row>
      <xdr:rowOff>205740</xdr:rowOff>
    </xdr:to>
    <xdr:sp macro="" textlink="">
      <xdr:nvSpPr>
        <xdr:cNvPr id="273" name="Rectangle: Rounded Corners 272">
          <a:extLst>
            <a:ext uri="{FF2B5EF4-FFF2-40B4-BE49-F238E27FC236}">
              <a16:creationId xmlns:a16="http://schemas.microsoft.com/office/drawing/2014/main" id="{00000000-0008-0000-0100-000011010000}"/>
            </a:ext>
          </a:extLst>
        </xdr:cNvPr>
        <xdr:cNvSpPr/>
      </xdr:nvSpPr>
      <xdr:spPr>
        <a:xfrm>
          <a:off x="3048000" y="61493400"/>
          <a:ext cx="82296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228600</xdr:colOff>
      <xdr:row>248</xdr:row>
      <xdr:rowOff>236220</xdr:rowOff>
    </xdr:from>
    <xdr:to>
      <xdr:col>8</xdr:col>
      <xdr:colOff>114300</xdr:colOff>
      <xdr:row>249</xdr:row>
      <xdr:rowOff>144780</xdr:rowOff>
    </xdr:to>
    <xdr:sp macro="" textlink="">
      <xdr:nvSpPr>
        <xdr:cNvPr id="274" name="Rectangle: Rounded Corners 273">
          <a:extLst>
            <a:ext uri="{FF2B5EF4-FFF2-40B4-BE49-F238E27FC236}">
              <a16:creationId xmlns:a16="http://schemas.microsoft.com/office/drawing/2014/main" id="{00000000-0008-0000-0100-000012010000}"/>
            </a:ext>
          </a:extLst>
        </xdr:cNvPr>
        <xdr:cNvSpPr/>
      </xdr:nvSpPr>
      <xdr:spPr>
        <a:xfrm>
          <a:off x="2857500" y="6168390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10</xdr:col>
      <xdr:colOff>274320</xdr:colOff>
      <xdr:row>249</xdr:row>
      <xdr:rowOff>0</xdr:rowOff>
    </xdr:from>
    <xdr:to>
      <xdr:col>12</xdr:col>
      <xdr:colOff>457200</xdr:colOff>
      <xdr:row>249</xdr:row>
      <xdr:rowOff>160020</xdr:rowOff>
    </xdr:to>
    <xdr:sp macro="" textlink="">
      <xdr:nvSpPr>
        <xdr:cNvPr id="275" name="Rectangle: Rounded Corners 274">
          <a:extLst>
            <a:ext uri="{FF2B5EF4-FFF2-40B4-BE49-F238E27FC236}">
              <a16:creationId xmlns:a16="http://schemas.microsoft.com/office/drawing/2014/main" id="{00000000-0008-0000-0100-000013010000}"/>
            </a:ext>
          </a:extLst>
        </xdr:cNvPr>
        <xdr:cNvSpPr/>
      </xdr:nvSpPr>
      <xdr:spPr>
        <a:xfrm>
          <a:off x="4914900" y="61699140"/>
          <a:ext cx="118872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7620</xdr:colOff>
      <xdr:row>251</xdr:row>
      <xdr:rowOff>30480</xdr:rowOff>
    </xdr:from>
    <xdr:to>
      <xdr:col>2</xdr:col>
      <xdr:colOff>396240</xdr:colOff>
      <xdr:row>251</xdr:row>
      <xdr:rowOff>190500</xdr:rowOff>
    </xdr:to>
    <xdr:sp macro="" textlink="">
      <xdr:nvSpPr>
        <xdr:cNvPr id="276" name="Rectangle: Rounded Corners 275">
          <a:extLst>
            <a:ext uri="{FF2B5EF4-FFF2-40B4-BE49-F238E27FC236}">
              <a16:creationId xmlns:a16="http://schemas.microsoft.com/office/drawing/2014/main" id="{00000000-0008-0000-0100-000014010000}"/>
            </a:ext>
          </a:extLst>
        </xdr:cNvPr>
        <xdr:cNvSpPr/>
      </xdr:nvSpPr>
      <xdr:spPr>
        <a:xfrm>
          <a:off x="121920" y="6223254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76200</xdr:colOff>
      <xdr:row>249</xdr:row>
      <xdr:rowOff>167640</xdr:rowOff>
    </xdr:from>
    <xdr:to>
      <xdr:col>3</xdr:col>
      <xdr:colOff>464820</xdr:colOff>
      <xdr:row>250</xdr:row>
      <xdr:rowOff>76200</xdr:rowOff>
    </xdr:to>
    <xdr:sp macro="" textlink="">
      <xdr:nvSpPr>
        <xdr:cNvPr id="277" name="Rectangle: Rounded Corners 276">
          <a:extLst>
            <a:ext uri="{FF2B5EF4-FFF2-40B4-BE49-F238E27FC236}">
              <a16:creationId xmlns:a16="http://schemas.microsoft.com/office/drawing/2014/main" id="{00000000-0008-0000-0100-000015010000}"/>
            </a:ext>
          </a:extLst>
        </xdr:cNvPr>
        <xdr:cNvSpPr/>
      </xdr:nvSpPr>
      <xdr:spPr>
        <a:xfrm>
          <a:off x="693420" y="6186678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7620</xdr:colOff>
      <xdr:row>251</xdr:row>
      <xdr:rowOff>220980</xdr:rowOff>
    </xdr:from>
    <xdr:to>
      <xdr:col>2</xdr:col>
      <xdr:colOff>396240</xdr:colOff>
      <xdr:row>252</xdr:row>
      <xdr:rowOff>129540</xdr:rowOff>
    </xdr:to>
    <xdr:sp macro="" textlink="">
      <xdr:nvSpPr>
        <xdr:cNvPr id="278" name="Rectangle: Rounded Corners 277">
          <a:extLst>
            <a:ext uri="{FF2B5EF4-FFF2-40B4-BE49-F238E27FC236}">
              <a16:creationId xmlns:a16="http://schemas.microsoft.com/office/drawing/2014/main" id="{00000000-0008-0000-0100-000016010000}"/>
            </a:ext>
          </a:extLst>
        </xdr:cNvPr>
        <xdr:cNvSpPr/>
      </xdr:nvSpPr>
      <xdr:spPr>
        <a:xfrm>
          <a:off x="121920" y="6242304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91440</xdr:colOff>
      <xdr:row>249</xdr:row>
      <xdr:rowOff>160020</xdr:rowOff>
    </xdr:from>
    <xdr:to>
      <xdr:col>7</xdr:col>
      <xdr:colOff>411480</xdr:colOff>
      <xdr:row>250</xdr:row>
      <xdr:rowOff>68580</xdr:rowOff>
    </xdr:to>
    <xdr:sp macro="" textlink="">
      <xdr:nvSpPr>
        <xdr:cNvPr id="279" name="Rectangle: Rounded Corners 278">
          <a:extLst>
            <a:ext uri="{FF2B5EF4-FFF2-40B4-BE49-F238E27FC236}">
              <a16:creationId xmlns:a16="http://schemas.microsoft.com/office/drawing/2014/main" id="{00000000-0008-0000-0100-000017010000}"/>
            </a:ext>
          </a:extLst>
        </xdr:cNvPr>
        <xdr:cNvSpPr/>
      </xdr:nvSpPr>
      <xdr:spPr>
        <a:xfrm>
          <a:off x="2720340" y="61859160"/>
          <a:ext cx="82296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14</xdr:col>
      <xdr:colOff>0</xdr:colOff>
      <xdr:row>17</xdr:row>
      <xdr:rowOff>7620</xdr:rowOff>
    </xdr:from>
    <xdr:to>
      <xdr:col>14</xdr:col>
      <xdr:colOff>0</xdr:colOff>
      <xdr:row>23</xdr:row>
      <xdr:rowOff>0</xdr:rowOff>
    </xdr:to>
    <xdr:grpSp>
      <xdr:nvGrpSpPr>
        <xdr:cNvPr id="3" name="Group 2" hidden="1">
          <a:extLst>
            <a:ext uri="{FF2B5EF4-FFF2-40B4-BE49-F238E27FC236}">
              <a16:creationId xmlns:a16="http://schemas.microsoft.com/office/drawing/2014/main" id="{00000000-0008-0000-0000-000003000000}"/>
            </a:ext>
          </a:extLst>
        </xdr:cNvPr>
        <xdr:cNvGrpSpPr/>
      </xdr:nvGrpSpPr>
      <xdr:grpSpPr>
        <a:xfrm>
          <a:off x="6263640" y="6416040"/>
          <a:ext cx="0" cy="2400300"/>
          <a:chOff x="7787640" y="586740"/>
          <a:chExt cx="2983245" cy="922020"/>
        </a:xfrm>
      </xdr:grpSpPr>
      <xdr:sp macro="" textlink="">
        <xdr:nvSpPr>
          <xdr:cNvPr id="4" name="Speech Bubble: Rectangle with Corners Rounded 3">
            <a:extLst>
              <a:ext uri="{FF2B5EF4-FFF2-40B4-BE49-F238E27FC236}">
                <a16:creationId xmlns:a16="http://schemas.microsoft.com/office/drawing/2014/main" id="{00000000-0008-0000-0000-00000400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5" name="Speech Bubble: Rectangle with Corners Rounded 4">
            <a:extLst>
              <a:ext uri="{FF2B5EF4-FFF2-40B4-BE49-F238E27FC236}">
                <a16:creationId xmlns:a16="http://schemas.microsoft.com/office/drawing/2014/main" id="{00000000-0008-0000-0000-00000500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25</xdr:col>
      <xdr:colOff>433091</xdr:colOff>
      <xdr:row>3</xdr:row>
      <xdr:rowOff>525460</xdr:rowOff>
    </xdr:from>
    <xdr:to>
      <xdr:col>26</xdr:col>
      <xdr:colOff>24997</xdr:colOff>
      <xdr:row>5</xdr:row>
      <xdr:rowOff>16263</xdr:rowOff>
    </xdr:to>
    <xdr:sp macro="" textlink="">
      <xdr:nvSpPr>
        <xdr:cNvPr id="6" name="Arrow: Left 5" hidden="1">
          <a:extLst>
            <a:ext uri="{FF2B5EF4-FFF2-40B4-BE49-F238E27FC236}">
              <a16:creationId xmlns:a16="http://schemas.microsoft.com/office/drawing/2014/main" id="{00000000-0008-0000-0000-000006000000}"/>
            </a:ext>
          </a:extLst>
        </xdr:cNvPr>
        <xdr:cNvSpPr>
          <a:spLocks noChangeAspect="1"/>
        </xdr:cNvSpPr>
      </xdr:nvSpPr>
      <xdr:spPr>
        <a:xfrm rot="4020000">
          <a:off x="6064848" y="1653892"/>
          <a:ext cx="397583" cy="0"/>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14</xdr:col>
      <xdr:colOff>110067</xdr:colOff>
      <xdr:row>196</xdr:row>
      <xdr:rowOff>8467</xdr:rowOff>
    </xdr:from>
    <xdr:to>
      <xdr:col>56</xdr:col>
      <xdr:colOff>453721</xdr:colOff>
      <xdr:row>201</xdr:row>
      <xdr:rowOff>258811</xdr:rowOff>
    </xdr:to>
    <xdr:pic>
      <xdr:nvPicPr>
        <xdr:cNvPr id="7" name="Picture 6" hidden="1">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263640" y="38878087"/>
          <a:ext cx="6047584" cy="1507029"/>
        </a:xfrm>
        <a:prstGeom prst="rect">
          <a:avLst/>
        </a:prstGeom>
      </xdr:spPr>
    </xdr:pic>
    <xdr:clientData/>
  </xdr:twoCellAnchor>
  <xdr:twoCellAnchor>
    <xdr:from>
      <xdr:col>0</xdr:col>
      <xdr:colOff>0</xdr:colOff>
      <xdr:row>100</xdr:row>
      <xdr:rowOff>378322</xdr:rowOff>
    </xdr:from>
    <xdr:to>
      <xdr:col>0</xdr:col>
      <xdr:colOff>0</xdr:colOff>
      <xdr:row>110</xdr:row>
      <xdr:rowOff>152396</xdr:rowOff>
    </xdr:to>
    <xdr:sp macro="" textlink="">
      <xdr:nvSpPr>
        <xdr:cNvPr id="8" name="TextBox 7">
          <a:extLst>
            <a:ext uri="{FF2B5EF4-FFF2-40B4-BE49-F238E27FC236}">
              <a16:creationId xmlns:a16="http://schemas.microsoft.com/office/drawing/2014/main" id="{00000000-0008-0000-0000-000008000000}"/>
            </a:ext>
          </a:extLst>
        </xdr:cNvPr>
        <xdr:cNvSpPr txBox="1"/>
      </xdr:nvSpPr>
      <xdr:spPr>
        <a:xfrm>
          <a:off x="0" y="27779842"/>
          <a:ext cx="0" cy="18390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400" b="1">
              <a:solidFill>
                <a:srgbClr val="2D143C"/>
              </a:solidFill>
              <a:effectLst/>
              <a:latin typeface="Arial" panose="020B0604020202020204" pitchFamily="34" charset="0"/>
              <a:ea typeface="+mn-ea"/>
              <a:cs typeface="Arial" panose="020B0604020202020204" pitchFamily="34" charset="0"/>
            </a:rPr>
            <a:t>How do you</a:t>
          </a:r>
          <a:r>
            <a:rPr lang="en-US" sz="1400" b="1" baseline="0">
              <a:solidFill>
                <a:srgbClr val="2D143C"/>
              </a:solidFill>
              <a:effectLst/>
              <a:latin typeface="Arial" panose="020B0604020202020204" pitchFamily="34" charset="0"/>
              <a:ea typeface="+mn-ea"/>
              <a:cs typeface="Arial" panose="020B0604020202020204" pitchFamily="34" charset="0"/>
            </a:rPr>
            <a:t> answer if checked for sneezing in public?</a:t>
          </a:r>
          <a:endParaRPr lang="en-US" sz="1400" b="1">
            <a:solidFill>
              <a:srgbClr val="2D143C"/>
            </a:solidFill>
            <a:latin typeface="Arial" panose="020B0604020202020204" pitchFamily="34" charset="0"/>
            <a:cs typeface="Arial" panose="020B0604020202020204" pitchFamily="34" charset="0"/>
          </a:endParaRPr>
        </a:p>
      </xdr:txBody>
    </xdr:sp>
    <xdr:clientData/>
  </xdr:twoCellAnchor>
  <xdr:twoCellAnchor>
    <xdr:from>
      <xdr:col>9</xdr:col>
      <xdr:colOff>468455</xdr:colOff>
      <xdr:row>52</xdr:row>
      <xdr:rowOff>22860</xdr:rowOff>
    </xdr:from>
    <xdr:to>
      <xdr:col>12</xdr:col>
      <xdr:colOff>501876</xdr:colOff>
      <xdr:row>53</xdr:row>
      <xdr:rowOff>97772</xdr:rowOff>
    </xdr:to>
    <xdr:sp macro="" textlink="">
      <xdr:nvSpPr>
        <xdr:cNvPr id="10" name="Arrow: Left 9">
          <a:hlinkClick xmlns:r="http://schemas.openxmlformats.org/officeDocument/2006/relationships" r:id="rId2" tooltip="back to Harmony Politics tab"/>
          <a:extLst>
            <a:ext uri="{FF2B5EF4-FFF2-40B4-BE49-F238E27FC236}">
              <a16:creationId xmlns:a16="http://schemas.microsoft.com/office/drawing/2014/main" id="{00000000-0008-0000-0000-00000A000000}"/>
            </a:ext>
          </a:extLst>
        </xdr:cNvPr>
        <xdr:cNvSpPr/>
      </xdr:nvSpPr>
      <xdr:spPr>
        <a:xfrm>
          <a:off x="4606115" y="16695420"/>
          <a:ext cx="1542181" cy="196832"/>
        </a:xfrm>
        <a:prstGeom prst="leftArrow">
          <a:avLst>
            <a:gd name="adj1" fmla="val 100000"/>
            <a:gd name="adj2" fmla="val 91861"/>
          </a:avLst>
        </a:prstGeom>
        <a:solidFill>
          <a:srgbClr val="FF99FF"/>
        </a:solidFill>
        <a:ln>
          <a:solidFill>
            <a:srgbClr val="FF99FF"/>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baseline="0"/>
            <a:t> to HP tab</a:t>
          </a:r>
          <a:endParaRPr lang="en-US" sz="1200" b="1"/>
        </a:p>
      </xdr:txBody>
    </xdr:sp>
    <xdr:clientData/>
  </xdr:twoCellAnchor>
  <xdr:twoCellAnchor>
    <xdr:from>
      <xdr:col>23</xdr:col>
      <xdr:colOff>480863</xdr:colOff>
      <xdr:row>89</xdr:row>
      <xdr:rowOff>35474</xdr:rowOff>
    </xdr:from>
    <xdr:to>
      <xdr:col>26</xdr:col>
      <xdr:colOff>500915</xdr:colOff>
      <xdr:row>89</xdr:row>
      <xdr:rowOff>322895</xdr:rowOff>
    </xdr:to>
    <xdr:sp macro="" textlink="">
      <xdr:nvSpPr>
        <xdr:cNvPr id="11" name="Arrow: Left 10">
          <a:hlinkClick xmlns:r="http://schemas.openxmlformats.org/officeDocument/2006/relationships" r:id="rId2" tooltip="back to Harmony Politics tab"/>
          <a:extLst>
            <a:ext uri="{FF2B5EF4-FFF2-40B4-BE49-F238E27FC236}">
              <a16:creationId xmlns:a16="http://schemas.microsoft.com/office/drawing/2014/main" id="{00000000-0008-0000-0000-00000B000000}"/>
            </a:ext>
          </a:extLst>
        </xdr:cNvPr>
        <xdr:cNvSpPr/>
      </xdr:nvSpPr>
      <xdr:spPr>
        <a:xfrm>
          <a:off x="6263640" y="25425314"/>
          <a:ext cx="0" cy="28742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20</xdr:col>
      <xdr:colOff>314426</xdr:colOff>
      <xdr:row>89</xdr:row>
      <xdr:rowOff>75398</xdr:rowOff>
    </xdr:from>
    <xdr:to>
      <xdr:col>23</xdr:col>
      <xdr:colOff>334478</xdr:colOff>
      <xdr:row>89</xdr:row>
      <xdr:rowOff>342899</xdr:rowOff>
    </xdr:to>
    <xdr:sp macro="" textlink="">
      <xdr:nvSpPr>
        <xdr:cNvPr id="12" name="Arrow: Left 11">
          <a:hlinkClick xmlns:r="http://schemas.openxmlformats.org/officeDocument/2006/relationships" r:id="rId3" tooltip="back to Harmony Politics tab"/>
          <a:extLst>
            <a:ext uri="{FF2B5EF4-FFF2-40B4-BE49-F238E27FC236}">
              <a16:creationId xmlns:a16="http://schemas.microsoft.com/office/drawing/2014/main" id="{00000000-0008-0000-0000-00000C000000}"/>
            </a:ext>
          </a:extLst>
        </xdr:cNvPr>
        <xdr:cNvSpPr/>
      </xdr:nvSpPr>
      <xdr:spPr>
        <a:xfrm>
          <a:off x="9206966" y="25488098"/>
          <a:ext cx="1528812" cy="26750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19</xdr:col>
      <xdr:colOff>453590</xdr:colOff>
      <xdr:row>164</xdr:row>
      <xdr:rowOff>99194</xdr:rowOff>
    </xdr:from>
    <xdr:to>
      <xdr:col>22</xdr:col>
      <xdr:colOff>473642</xdr:colOff>
      <xdr:row>164</xdr:row>
      <xdr:rowOff>295175</xdr:rowOff>
    </xdr:to>
    <xdr:sp macro="" textlink="">
      <xdr:nvSpPr>
        <xdr:cNvPr id="13" name="Arrow: Left 12">
          <a:hlinkClick xmlns:r="http://schemas.openxmlformats.org/officeDocument/2006/relationships" r:id="rId3" tooltip="back to Harmony Politics tab"/>
          <a:extLst>
            <a:ext uri="{FF2B5EF4-FFF2-40B4-BE49-F238E27FC236}">
              <a16:creationId xmlns:a16="http://schemas.microsoft.com/office/drawing/2014/main" id="{00000000-0008-0000-0000-00000D000000}"/>
            </a:ext>
          </a:extLst>
        </xdr:cNvPr>
        <xdr:cNvSpPr/>
      </xdr:nvSpPr>
      <xdr:spPr>
        <a:xfrm>
          <a:off x="8843210" y="3403105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45450</xdr:colOff>
      <xdr:row>100</xdr:row>
      <xdr:rowOff>379663</xdr:rowOff>
    </xdr:from>
    <xdr:to>
      <xdr:col>27</xdr:col>
      <xdr:colOff>118977</xdr:colOff>
      <xdr:row>101</xdr:row>
      <xdr:rowOff>98926</xdr:rowOff>
    </xdr:to>
    <xdr:sp macro="" textlink="">
      <xdr:nvSpPr>
        <xdr:cNvPr id="14" name="Right Triangle 13">
          <a:extLst>
            <a:ext uri="{FF2B5EF4-FFF2-40B4-BE49-F238E27FC236}">
              <a16:creationId xmlns:a16="http://schemas.microsoft.com/office/drawing/2014/main" id="{00000000-0008-0000-0000-00000E000000}"/>
            </a:ext>
          </a:extLst>
        </xdr:cNvPr>
        <xdr:cNvSpPr/>
      </xdr:nvSpPr>
      <xdr:spPr>
        <a:xfrm flipH="1" flipV="1">
          <a:off x="6263640" y="27781183"/>
          <a:ext cx="0"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217370</xdr:colOff>
      <xdr:row>463</xdr:row>
      <xdr:rowOff>61094</xdr:rowOff>
    </xdr:from>
    <xdr:to>
      <xdr:col>26</xdr:col>
      <xdr:colOff>237422</xdr:colOff>
      <xdr:row>464</xdr:row>
      <xdr:rowOff>5615</xdr:rowOff>
    </xdr:to>
    <xdr:sp macro="" textlink="">
      <xdr:nvSpPr>
        <xdr:cNvPr id="17" name="Arrow: Left 16">
          <a:hlinkClick xmlns:r="http://schemas.openxmlformats.org/officeDocument/2006/relationships" r:id="rId2" tooltip="back to Harmony Politics tab"/>
          <a:extLst>
            <a:ext uri="{FF2B5EF4-FFF2-40B4-BE49-F238E27FC236}">
              <a16:creationId xmlns:a16="http://schemas.microsoft.com/office/drawing/2014/main" id="{00000000-0008-0000-0000-000011000000}"/>
            </a:ext>
          </a:extLst>
        </xdr:cNvPr>
        <xdr:cNvSpPr/>
      </xdr:nvSpPr>
      <xdr:spPr>
        <a:xfrm>
          <a:off x="10618670" y="11046727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13</xdr:col>
      <xdr:colOff>44112</xdr:colOff>
      <xdr:row>475</xdr:row>
      <xdr:rowOff>378327</xdr:rowOff>
    </xdr:from>
    <xdr:to>
      <xdr:col>14</xdr:col>
      <xdr:colOff>3339</xdr:colOff>
      <xdr:row>476</xdr:row>
      <xdr:rowOff>97590</xdr:rowOff>
    </xdr:to>
    <xdr:sp macro="" textlink="">
      <xdr:nvSpPr>
        <xdr:cNvPr id="18" name="Right Triangle 17">
          <a:extLst>
            <a:ext uri="{FF2B5EF4-FFF2-40B4-BE49-F238E27FC236}">
              <a16:creationId xmlns:a16="http://schemas.microsoft.com/office/drawing/2014/main" id="{00000000-0008-0000-0000-000012000000}"/>
            </a:ext>
          </a:extLst>
        </xdr:cNvPr>
        <xdr:cNvSpPr/>
      </xdr:nvSpPr>
      <xdr:spPr>
        <a:xfrm flipH="1" flipV="1">
          <a:off x="6193452" y="53672607"/>
          <a:ext cx="70188"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27</xdr:col>
      <xdr:colOff>45449</xdr:colOff>
      <xdr:row>436</xdr:row>
      <xdr:rowOff>5348</xdr:rowOff>
    </xdr:from>
    <xdr:to>
      <xdr:col>27</xdr:col>
      <xdr:colOff>118976</xdr:colOff>
      <xdr:row>436</xdr:row>
      <xdr:rowOff>105611</xdr:rowOff>
    </xdr:to>
    <xdr:sp macro="" textlink="">
      <xdr:nvSpPr>
        <xdr:cNvPr id="24" name="Right Triangle 23">
          <a:extLst>
            <a:ext uri="{FF2B5EF4-FFF2-40B4-BE49-F238E27FC236}">
              <a16:creationId xmlns:a16="http://schemas.microsoft.com/office/drawing/2014/main" id="{00000000-0008-0000-0000-000018000000}"/>
            </a:ext>
          </a:extLst>
        </xdr:cNvPr>
        <xdr:cNvSpPr/>
      </xdr:nvSpPr>
      <xdr:spPr>
        <a:xfrm flipH="1" flipV="1">
          <a:off x="6263640" y="45740588"/>
          <a:ext cx="0"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14</xdr:col>
      <xdr:colOff>0</xdr:colOff>
      <xdr:row>1099</xdr:row>
      <xdr:rowOff>68580</xdr:rowOff>
    </xdr:from>
    <xdr:to>
      <xdr:col>31</xdr:col>
      <xdr:colOff>426579</xdr:colOff>
      <xdr:row>1110</xdr:row>
      <xdr:rowOff>167683</xdr:rowOff>
    </xdr:to>
    <xdr:grpSp>
      <xdr:nvGrpSpPr>
        <xdr:cNvPr id="28" name="Go deep &amp; connected" hidden="1">
          <a:extLst>
            <a:ext uri="{FF2B5EF4-FFF2-40B4-BE49-F238E27FC236}">
              <a16:creationId xmlns:a16="http://schemas.microsoft.com/office/drawing/2014/main" id="{00000000-0008-0000-0000-00001C000000}"/>
            </a:ext>
          </a:extLst>
        </xdr:cNvPr>
        <xdr:cNvGrpSpPr/>
      </xdr:nvGrpSpPr>
      <xdr:grpSpPr>
        <a:xfrm>
          <a:off x="6263640" y="257335020"/>
          <a:ext cx="1760079" cy="2026963"/>
          <a:chOff x="7955333" y="71879460"/>
          <a:chExt cx="6575866" cy="2026963"/>
        </a:xfrm>
      </xdr:grpSpPr>
      <xdr:grpSp>
        <xdr:nvGrpSpPr>
          <xdr:cNvPr id="29" name="Group 28">
            <a:extLst>
              <a:ext uri="{FF2B5EF4-FFF2-40B4-BE49-F238E27FC236}">
                <a16:creationId xmlns:a16="http://schemas.microsoft.com/office/drawing/2014/main" id="{00000000-0008-0000-0000-00001D000000}"/>
              </a:ext>
            </a:extLst>
          </xdr:cNvPr>
          <xdr:cNvGrpSpPr/>
        </xdr:nvGrpSpPr>
        <xdr:grpSpPr>
          <a:xfrm>
            <a:off x="8039100" y="72069956"/>
            <a:ext cx="6400800" cy="1836467"/>
            <a:chOff x="8039100" y="72073619"/>
            <a:chExt cx="4572000" cy="948841"/>
          </a:xfrm>
        </xdr:grpSpPr>
        <xdr:sp macro="" textlink="">
          <xdr:nvSpPr>
            <xdr:cNvPr id="35" name="Rectangle: Top Corners Rounded 34">
              <a:extLst>
                <a:ext uri="{FF2B5EF4-FFF2-40B4-BE49-F238E27FC236}">
                  <a16:creationId xmlns:a16="http://schemas.microsoft.com/office/drawing/2014/main" id="{00000000-0008-0000-0000-000023000000}"/>
                </a:ext>
              </a:extLst>
            </xdr:cNvPr>
            <xdr:cNvSpPr/>
          </xdr:nvSpPr>
          <xdr:spPr>
            <a:xfrm flipV="1">
              <a:off x="8039100" y="72108060"/>
              <a:ext cx="4572000" cy="914400"/>
            </a:xfrm>
            <a:prstGeom prst="round2SameRect">
              <a:avLst>
                <a:gd name="adj1" fmla="val 29584"/>
                <a:gd name="adj2" fmla="val 0"/>
              </a:avLst>
            </a:prstGeom>
            <a:pattFill prst="narHorz">
              <a:fgClr>
                <a:srgbClr val="00B0F0"/>
              </a:fgClr>
              <a:bgClr>
                <a:schemeClr val="bg1"/>
              </a:bgClr>
            </a:pattFill>
            <a:ln w="5715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sp macro="" textlink="">
          <xdr:nvSpPr>
            <xdr:cNvPr id="36" name="Rectangle 35">
              <a:extLst>
                <a:ext uri="{FF2B5EF4-FFF2-40B4-BE49-F238E27FC236}">
                  <a16:creationId xmlns:a16="http://schemas.microsoft.com/office/drawing/2014/main" id="{00000000-0008-0000-0000-000024000000}"/>
                </a:ext>
              </a:extLst>
            </xdr:cNvPr>
            <xdr:cNvSpPr/>
          </xdr:nvSpPr>
          <xdr:spPr>
            <a:xfrm>
              <a:off x="8058694" y="72073619"/>
              <a:ext cx="4532811" cy="12204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30" name="Arrow: Left-Right 29">
            <a:extLst>
              <a:ext uri="{FF2B5EF4-FFF2-40B4-BE49-F238E27FC236}">
                <a16:creationId xmlns:a16="http://schemas.microsoft.com/office/drawing/2014/main" id="{00000000-0008-0000-0000-00001E000000}"/>
              </a:ext>
            </a:extLst>
          </xdr:cNvPr>
          <xdr:cNvSpPr/>
        </xdr:nvSpPr>
        <xdr:spPr>
          <a:xfrm>
            <a:off x="8176260" y="72085200"/>
            <a:ext cx="6134100" cy="426720"/>
          </a:xfrm>
          <a:prstGeom prst="leftRightArrow">
            <a:avLst>
              <a:gd name="adj1" fmla="val 50000"/>
              <a:gd name="adj2" fmla="val 66071"/>
            </a:avLst>
          </a:prstGeom>
          <a:gradFill flip="none" rotWithShape="1">
            <a:gsLst>
              <a:gs pos="0">
                <a:schemeClr val="accent5">
                  <a:lumMod val="75000"/>
                </a:schemeClr>
              </a:gs>
              <a:gs pos="48000">
                <a:schemeClr val="accent5">
                  <a:lumMod val="75000"/>
                </a:schemeClr>
              </a:gs>
              <a:gs pos="52000">
                <a:srgbClr val="FF5050"/>
              </a:gs>
              <a:gs pos="100000">
                <a:srgbClr val="FF5050"/>
              </a:gs>
            </a:gsLst>
            <a:lin ang="0" scaled="1"/>
            <a:tileRect/>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18288" rIns="0" bIns="0" rtlCol="0" anchor="t"/>
          <a:lstStyle/>
          <a:p>
            <a:pPr algn="ctr"/>
            <a:r>
              <a:rPr lang="en-US" sz="1100" b="1">
                <a:solidFill>
                  <a:schemeClr val="bg1"/>
                </a:solidFill>
                <a:latin typeface="Arial Narrow" panose="020B0606020202030204" pitchFamily="34" charset="0"/>
              </a:rPr>
              <a:t>The agree-disagree</a:t>
            </a:r>
            <a:r>
              <a:rPr lang="en-US" sz="1100" b="1" baseline="0">
                <a:solidFill>
                  <a:schemeClr val="bg1"/>
                </a:solidFill>
                <a:latin typeface="Arial Narrow" panose="020B0606020202030204" pitchFamily="34" charset="0"/>
              </a:rPr>
              <a:t> binary correlates more with pain-easing vacillation than need-resolving integration</a:t>
            </a:r>
            <a:endParaRPr lang="en-US" sz="1100" b="1">
              <a:solidFill>
                <a:schemeClr val="bg1"/>
              </a:solidFill>
              <a:latin typeface="Arial Narrow" panose="020B0606020202030204" pitchFamily="34" charset="0"/>
            </a:endParaRPr>
          </a:p>
        </xdr:txBody>
      </xdr:sp>
      <xdr:sp macro="" textlink="">
        <xdr:nvSpPr>
          <xdr:cNvPr id="31" name="TextBox 30">
            <a:extLst>
              <a:ext uri="{FF2B5EF4-FFF2-40B4-BE49-F238E27FC236}">
                <a16:creationId xmlns:a16="http://schemas.microsoft.com/office/drawing/2014/main" id="{00000000-0008-0000-0000-00001F000000}"/>
              </a:ext>
            </a:extLst>
          </xdr:cNvPr>
          <xdr:cNvSpPr txBox="1"/>
        </xdr:nvSpPr>
        <xdr:spPr>
          <a:xfrm>
            <a:off x="8450580" y="71879460"/>
            <a:ext cx="558546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Common</a:t>
            </a:r>
            <a:r>
              <a:rPr lang="en-US" sz="1800" b="1" baseline="0">
                <a:ln>
                  <a:solidFill>
                    <a:srgbClr val="FFFF00"/>
                  </a:solidFill>
                </a:ln>
                <a:latin typeface="Tahoma" panose="020B0604030504040204" pitchFamily="34" charset="0"/>
                <a:ea typeface="Tahoma" panose="020B0604030504040204" pitchFamily="34" charset="0"/>
                <a:cs typeface="Tahoma" panose="020B0604030504040204" pitchFamily="34" charset="0"/>
              </a:rPr>
              <a:t> </a:t>
            </a: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approach: Stay shallow and alienated</a:t>
            </a:r>
          </a:p>
        </xdr:txBody>
      </xdr:sp>
      <xdr:sp macro="" textlink="">
        <xdr:nvSpPr>
          <xdr:cNvPr id="32" name="TextBox 31">
            <a:extLst>
              <a:ext uri="{FF2B5EF4-FFF2-40B4-BE49-F238E27FC236}">
                <a16:creationId xmlns:a16="http://schemas.microsoft.com/office/drawing/2014/main" id="{00000000-0008-0000-0000-000020000000}"/>
              </a:ext>
            </a:extLst>
          </xdr:cNvPr>
          <xdr:cNvSpPr txBox="1"/>
        </xdr:nvSpPr>
        <xdr:spPr>
          <a:xfrm>
            <a:off x="8061960" y="73533000"/>
            <a:ext cx="636270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2000" b="1">
                <a:ln>
                  <a:solidFill>
                    <a:srgbClr val="1EFF7D"/>
                  </a:solidFill>
                </a:ln>
                <a:solidFill>
                  <a:srgbClr val="1EFF7D"/>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Preferred approach: Go deep and connect</a:t>
            </a:r>
          </a:p>
        </xdr:txBody>
      </xdr:sp>
      <xdr:sp macro="" textlink="">
        <xdr:nvSpPr>
          <xdr:cNvPr id="33" name="Arrow: Right 32">
            <a:extLst>
              <a:ext uri="{FF2B5EF4-FFF2-40B4-BE49-F238E27FC236}">
                <a16:creationId xmlns:a16="http://schemas.microsoft.com/office/drawing/2014/main" id="{00000000-0008-0000-0000-000021000000}"/>
              </a:ext>
            </a:extLst>
          </xdr:cNvPr>
          <xdr:cNvSpPr/>
        </xdr:nvSpPr>
        <xdr:spPr>
          <a:xfrm rot="1118158">
            <a:off x="7955333" y="72812616"/>
            <a:ext cx="3337560" cy="411480"/>
          </a:xfrm>
          <a:prstGeom prst="rightArrow">
            <a:avLst>
              <a:gd name="adj1" fmla="val 50000"/>
              <a:gd name="adj2" fmla="val 105556"/>
            </a:avLst>
          </a:prstGeom>
          <a:gradFill>
            <a:gsLst>
              <a:gs pos="50000">
                <a:srgbClr val="723EDA"/>
              </a:gs>
              <a:gs pos="0">
                <a:schemeClr val="accent5">
                  <a:lumMod val="75000"/>
                </a:schemeClr>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r"/>
            <a:r>
              <a:rPr lang="en-US" sz="1100" b="1">
                <a:latin typeface="Arial Narrow" panose="020B0606020202030204" pitchFamily="34" charset="0"/>
              </a:rPr>
              <a:t>identify</a:t>
            </a:r>
            <a:r>
              <a:rPr lang="en-US" sz="1100" b="1" baseline="0">
                <a:latin typeface="Arial Narrow" panose="020B0606020202030204" pitchFamily="34" charset="0"/>
              </a:rPr>
              <a:t> and address liberal prioritized needs</a:t>
            </a:r>
            <a:endParaRPr lang="en-US" sz="1100" b="1">
              <a:latin typeface="Arial Narrow" panose="020B0606020202030204" pitchFamily="34" charset="0"/>
            </a:endParaRPr>
          </a:p>
        </xdr:txBody>
      </xdr:sp>
      <xdr:sp macro="" textlink="">
        <xdr:nvSpPr>
          <xdr:cNvPr id="34" name="Arrow: Right 33">
            <a:extLst>
              <a:ext uri="{FF2B5EF4-FFF2-40B4-BE49-F238E27FC236}">
                <a16:creationId xmlns:a16="http://schemas.microsoft.com/office/drawing/2014/main" id="{00000000-0008-0000-0000-000022000000}"/>
              </a:ext>
            </a:extLst>
          </xdr:cNvPr>
          <xdr:cNvSpPr/>
        </xdr:nvSpPr>
        <xdr:spPr>
          <a:xfrm rot="20481842" flipH="1">
            <a:off x="11193639" y="72814412"/>
            <a:ext cx="3337560" cy="411480"/>
          </a:xfrm>
          <a:prstGeom prst="rightArrow">
            <a:avLst>
              <a:gd name="adj1" fmla="val 50000"/>
              <a:gd name="adj2" fmla="val 105556"/>
            </a:avLst>
          </a:prstGeom>
          <a:gradFill>
            <a:gsLst>
              <a:gs pos="50000">
                <a:srgbClr val="D9038B"/>
              </a:gs>
              <a:gs pos="0">
                <a:srgbClr val="FF0000"/>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l"/>
            <a:r>
              <a:rPr lang="en-US" sz="1100" b="1">
                <a:latin typeface="Arial Narrow" panose="020B0606020202030204" pitchFamily="34" charset="0"/>
              </a:rPr>
              <a:t>identify</a:t>
            </a:r>
            <a:r>
              <a:rPr lang="en-US" sz="1100" b="1" baseline="0">
                <a:latin typeface="Arial Narrow" panose="020B0606020202030204" pitchFamily="34" charset="0"/>
              </a:rPr>
              <a:t> and address conservative prioritized needs</a:t>
            </a:r>
            <a:endParaRPr lang="en-US" sz="1100" b="1">
              <a:latin typeface="Arial Narrow" panose="020B0606020202030204" pitchFamily="34" charset="0"/>
            </a:endParaRPr>
          </a:p>
        </xdr:txBody>
      </xdr:sp>
    </xdr:grpSp>
    <xdr:clientData/>
  </xdr:twoCellAnchor>
  <xdr:twoCellAnchor>
    <xdr:from>
      <xdr:col>0</xdr:col>
      <xdr:colOff>62843</xdr:colOff>
      <xdr:row>92</xdr:row>
      <xdr:rowOff>127844</xdr:rowOff>
    </xdr:from>
    <xdr:to>
      <xdr:col>13</xdr:col>
      <xdr:colOff>39983</xdr:colOff>
      <xdr:row>111</xdr:row>
      <xdr:rowOff>213360</xdr:rowOff>
    </xdr:to>
    <xdr:sp macro="" textlink="">
      <xdr:nvSpPr>
        <xdr:cNvPr id="38" name="TextBox 37">
          <a:extLst>
            <a:ext uri="{FF2B5EF4-FFF2-40B4-BE49-F238E27FC236}">
              <a16:creationId xmlns:a16="http://schemas.microsoft.com/office/drawing/2014/main" id="{00000000-0008-0000-0000-000026000000}"/>
            </a:ext>
          </a:extLst>
        </xdr:cNvPr>
        <xdr:cNvSpPr txBox="1"/>
      </xdr:nvSpPr>
      <xdr:spPr>
        <a:xfrm>
          <a:off x="62843" y="26173004"/>
          <a:ext cx="6126480" cy="4177456"/>
        </a:xfrm>
        <a:prstGeom prst="rect">
          <a:avLst/>
        </a:prstGeom>
        <a:solidFill>
          <a:srgbClr val="FFE1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ts val="1500"/>
            </a:lnSpc>
            <a:spcBef>
              <a:spcPts val="0"/>
            </a:spcBef>
            <a:spcAft>
              <a:spcPts val="0"/>
            </a:spcAft>
            <a:buClrTx/>
            <a:buSzTx/>
            <a:buFontTx/>
            <a:buNone/>
            <a:tabLst/>
            <a:defRPr/>
          </a:pPr>
          <a:r>
            <a:rPr lang="en-US" sz="1300" b="1" spc="-10" baseline="0">
              <a:solidFill>
                <a:schemeClr val="dk1"/>
              </a:solidFill>
              <a:latin typeface="Tahoma" panose="020B0604030504040204" pitchFamily="34" charset="0"/>
              <a:ea typeface="Tahoma" panose="020B0604030504040204" pitchFamily="34" charset="0"/>
              <a:cs typeface="Tahoma" panose="020B0604030504040204" pitchFamily="34" charset="0"/>
            </a:rPr>
            <a:t>Politics</a:t>
          </a:r>
          <a:r>
            <a:rPr lang="en-US" sz="1300" b="1" spc="-10" baseline="0">
              <a:solidFill>
                <a:schemeClr val="dk1"/>
              </a:solidFill>
              <a:latin typeface="Cambria" panose="02040503050406030204" pitchFamily="18" charset="0"/>
              <a:ea typeface="Cambria" panose="02040503050406030204" pitchFamily="18" charset="0"/>
              <a:cs typeface="+mn-cs"/>
            </a:rPr>
            <a:t> </a:t>
          </a:r>
          <a:r>
            <a:rPr lang="en-US" sz="1300" spc="-20" baseline="0">
              <a:solidFill>
                <a:schemeClr val="dk1"/>
              </a:solidFill>
              <a:latin typeface="Cambria" panose="02040503050406030204" pitchFamily="18" charset="0"/>
              <a:ea typeface="Cambria" panose="02040503050406030204" pitchFamily="18" charset="0"/>
              <a:cs typeface="+mn-cs"/>
            </a:rPr>
            <a:t>is the art of generalizing how to agreeably address publicly impacted needs. Two items stand out here: generalizing and need. If your impacted </a:t>
          </a:r>
          <a:r>
            <a:rPr lang="en-US" sz="1300" i="1" spc="-20" baseline="0">
              <a:solidFill>
                <a:schemeClr val="dk1"/>
              </a:solidFill>
              <a:latin typeface="Cambria" panose="02040503050406030204" pitchFamily="18" charset="0"/>
              <a:ea typeface="Cambria" panose="02040503050406030204" pitchFamily="18" charset="0"/>
              <a:cs typeface="+mn-cs"/>
            </a:rPr>
            <a:t>needs</a:t>
          </a:r>
          <a:r>
            <a:rPr lang="en-US" sz="1300" spc="-20" baseline="0">
              <a:solidFill>
                <a:schemeClr val="dk1"/>
              </a:solidFill>
              <a:latin typeface="Cambria" panose="02040503050406030204" pitchFamily="18" charset="0"/>
              <a:ea typeface="Cambria" panose="02040503050406030204" pitchFamily="18" charset="0"/>
              <a:cs typeface="+mn-cs"/>
            </a:rPr>
            <a:t> are opposite to the impacted needs of others, you </a:t>
          </a:r>
          <a:r>
            <a:rPr lang="en-US" sz="1300" i="1" spc="-20" baseline="0">
              <a:solidFill>
                <a:schemeClr val="dk1"/>
              </a:solidFill>
              <a:latin typeface="Cambria" panose="02040503050406030204" pitchFamily="18" charset="0"/>
              <a:ea typeface="Cambria" panose="02040503050406030204" pitchFamily="18" charset="0"/>
              <a:cs typeface="+mn-cs"/>
            </a:rPr>
            <a:t>generalize</a:t>
          </a:r>
          <a:r>
            <a:rPr lang="en-US" sz="1300" spc="-20" baseline="0">
              <a:solidFill>
                <a:schemeClr val="dk1"/>
              </a:solidFill>
              <a:latin typeface="Cambria" panose="02040503050406030204" pitchFamily="18" charset="0"/>
              <a:ea typeface="Cambria" panose="02040503050406030204" pitchFamily="18" charset="0"/>
              <a:cs typeface="+mn-cs"/>
            </a:rPr>
            <a:t> an oppositive priority to relieve such needs. Your different priority of needs gives birth to your political differences.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ts val="1440"/>
            </a:lnSpc>
            <a:spcBef>
              <a:spcPts val="0"/>
            </a:spcBef>
            <a:spcAft>
              <a:spcPts val="0"/>
            </a:spcAft>
            <a:buClrTx/>
            <a:buSzTx/>
            <a:buFontTx/>
            <a:buNone/>
            <a:tabLst/>
            <a:defRPr/>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Liberal? </a:t>
          </a:r>
          <a:r>
            <a:rPr lang="en-US" sz="1200" baseline="0">
              <a:solidFill>
                <a:schemeClr val="dk1"/>
              </a:solidFill>
              <a:latin typeface="Cambria" panose="02040503050406030204" pitchFamily="18" charset="0"/>
              <a:ea typeface="Cambria" panose="02040503050406030204" pitchFamily="18" charset="0"/>
              <a:cs typeface="+mn-cs"/>
            </a:rPr>
            <a:t>If the public impacts your social-needs more than your self-needs, you gravitate toward liberal politics for relief. If your social-need for societal inclusion outweighs your self-need for personal initiative, for example, you will find more comforting support among similarly situated liberals.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ts val="1440"/>
            </a:lnSpc>
            <a:spcBef>
              <a:spcPts val="0"/>
            </a:spcBef>
            <a:spcAft>
              <a:spcPts val="0"/>
            </a:spcAft>
            <a:buClrTx/>
            <a:buSzTx/>
            <a:buFontTx/>
            <a:buNone/>
            <a:tabLst/>
            <a:defRPr/>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Conservative? </a:t>
          </a:r>
          <a:r>
            <a:rPr lang="en-US" sz="1200" baseline="0">
              <a:solidFill>
                <a:schemeClr val="dk1"/>
              </a:solidFill>
              <a:latin typeface="Cambria" panose="02040503050406030204" pitchFamily="18" charset="0"/>
              <a:ea typeface="Cambria" panose="02040503050406030204" pitchFamily="18" charset="0"/>
              <a:cs typeface="+mn-cs"/>
            </a:rPr>
            <a:t>If the public impacts your self-needs more than your social-needs,  you gravitate toward conservative politics for relief. If your self-need for personal initiative outweighs your need for societal inclusion, for example, you will find more comforting support among similarly situated conservatives.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eaLnBrk="1" fontAlgn="auto" latinLnBrk="0" hangingPunct="1">
            <a:lnSpc>
              <a:spcPts val="1440"/>
            </a:lnSpc>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Which is better? </a:t>
          </a:r>
          <a:r>
            <a:rPr lang="en-US" sz="1200" baseline="0">
              <a:solidFill>
                <a:schemeClr val="dk1"/>
              </a:solidFill>
              <a:latin typeface="Cambria" panose="02040503050406030204" pitchFamily="18" charset="0"/>
              <a:ea typeface="Cambria" panose="02040503050406030204" pitchFamily="18" charset="0"/>
              <a:cs typeface="+mn-cs"/>
            </a:rPr>
            <a:t>Neither. We can disagree on what we should do about such needs. It is pointless to dispute the needs themselves. We typically cannot change what we inflexibly need. We can decide to shift from generalizing to specifics. </a:t>
          </a:r>
          <a:r>
            <a:rPr lang="en-US" sz="1200" baseline="0">
              <a:ln>
                <a:solidFill>
                  <a:srgbClr val="00823C"/>
                </a:solidFill>
              </a:ln>
              <a:solidFill>
                <a:schemeClr val="dk1"/>
              </a:solidFill>
              <a:latin typeface="Cambria" panose="02040503050406030204" pitchFamily="18" charset="0"/>
              <a:ea typeface="Cambria" panose="02040503050406030204" pitchFamily="18" charset="0"/>
              <a:cs typeface="+mn-cs"/>
            </a:rPr>
            <a:t>Harmony</a:t>
          </a:r>
          <a:r>
            <a:rPr lang="en-US" sz="1200" baseline="0">
              <a:ln>
                <a:solidFill>
                  <a:srgbClr val="1E5A28"/>
                </a:solidFill>
              </a:ln>
              <a:solidFill>
                <a:schemeClr val="dk1"/>
              </a:solidFill>
              <a:latin typeface="Cambria" panose="02040503050406030204" pitchFamily="18" charset="0"/>
              <a:ea typeface="Cambria" panose="02040503050406030204" pitchFamily="18" charset="0"/>
              <a:cs typeface="+mn-cs"/>
            </a:rPr>
            <a:t> </a:t>
          </a:r>
          <a:r>
            <a:rPr lang="en-US" sz="1200" baseline="0">
              <a:ln>
                <a:solidFill>
                  <a:srgbClr val="780091"/>
                </a:solidFill>
              </a:ln>
              <a:solidFill>
                <a:schemeClr val="dk1"/>
              </a:solidFill>
              <a:latin typeface="Cambria" panose="02040503050406030204" pitchFamily="18" charset="0"/>
              <a:ea typeface="Cambria" panose="02040503050406030204" pitchFamily="18" charset="0"/>
              <a:cs typeface="+mn-cs"/>
            </a:rPr>
            <a:t>Politics</a:t>
          </a:r>
          <a:r>
            <a:rPr lang="en-US" sz="1200" baseline="0">
              <a:solidFill>
                <a:schemeClr val="dk1"/>
              </a:solidFill>
              <a:latin typeface="Cambria" panose="02040503050406030204" pitchFamily="18" charset="0"/>
              <a:ea typeface="Cambria" panose="02040503050406030204" pitchFamily="18" charset="0"/>
              <a:cs typeface="+mn-cs"/>
            </a:rPr>
            <a:t> leads the way.</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ts val="1440"/>
            </a:lnSpc>
            <a:spcBef>
              <a:spcPts val="0"/>
            </a:spcBef>
            <a:spcAft>
              <a:spcPts val="0"/>
            </a:spcAft>
            <a:buClrTx/>
            <a:buSzTx/>
            <a:buFontTx/>
            <a:buNone/>
            <a:tabLst/>
            <a:defRPr/>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Which best fits you? </a:t>
          </a:r>
          <a:r>
            <a:rPr lang="en-US" sz="1200" baseline="0">
              <a:solidFill>
                <a:schemeClr val="dk1"/>
              </a:solidFill>
              <a:latin typeface="Cambria" panose="02040503050406030204" pitchFamily="18" charset="0"/>
              <a:ea typeface="Cambria" panose="02040503050406030204" pitchFamily="18" charset="0"/>
              <a:cs typeface="+mn-cs"/>
            </a:rPr>
            <a:t>Use the dropdown menus below. First, pick the politial outlook that best fits you. Or use the eight-item sorter below. Then select one of the 12 hot button political issues in the next dropdown menu.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Or </a:t>
          </a:r>
        </a:p>
      </xdr:txBody>
    </xdr:sp>
    <xdr:clientData/>
  </xdr:twoCellAnchor>
  <xdr:twoCellAnchor>
    <xdr:from>
      <xdr:col>44</xdr:col>
      <xdr:colOff>243840</xdr:colOff>
      <xdr:row>1302</xdr:row>
      <xdr:rowOff>0</xdr:rowOff>
    </xdr:from>
    <xdr:to>
      <xdr:col>46</xdr:col>
      <xdr:colOff>215900</xdr:colOff>
      <xdr:row>1314</xdr:row>
      <xdr:rowOff>22860</xdr:rowOff>
    </xdr:to>
    <xdr:sp macro="" textlink="">
      <xdr:nvSpPr>
        <xdr:cNvPr id="44" name="Text Box 2">
          <a:extLst>
            <a:ext uri="{FF2B5EF4-FFF2-40B4-BE49-F238E27FC236}">
              <a16:creationId xmlns:a16="http://schemas.microsoft.com/office/drawing/2014/main" id="{00000000-0008-0000-0000-00002C000000}"/>
            </a:ext>
          </a:extLst>
        </xdr:cNvPr>
        <xdr:cNvSpPr txBox="1"/>
      </xdr:nvSpPr>
      <xdr:spPr>
        <a:xfrm>
          <a:off x="26426160" y="236456220"/>
          <a:ext cx="0" cy="0"/>
        </a:xfrm>
        <a:prstGeom prst="rect">
          <a:avLst/>
        </a:prstGeom>
        <a:solidFill>
          <a:srgbClr val="B905FF"/>
        </a:solidFill>
        <a:ln w="6350">
          <a:solidFill>
            <a:srgbClr val="F0CDFF"/>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Immigration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Climate change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Gun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Abortion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Healthcare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Criminal justice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Economy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Racism</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Police brutality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Voting fairness</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Covid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Free speech</a:t>
          </a:r>
        </a:p>
      </xdr:txBody>
    </xdr:sp>
    <xdr:clientData/>
  </xdr:twoCellAnchor>
  <xdr:twoCellAnchor>
    <xdr:from>
      <xdr:col>33</xdr:col>
      <xdr:colOff>75604</xdr:colOff>
      <xdr:row>1268</xdr:row>
      <xdr:rowOff>0</xdr:rowOff>
    </xdr:from>
    <xdr:to>
      <xdr:col>34</xdr:col>
      <xdr:colOff>0</xdr:colOff>
      <xdr:row>1268</xdr:row>
      <xdr:rowOff>0</xdr:rowOff>
    </xdr:to>
    <xdr:grpSp>
      <xdr:nvGrpSpPr>
        <xdr:cNvPr id="45" name="Group 44">
          <a:extLst>
            <a:ext uri="{FF2B5EF4-FFF2-40B4-BE49-F238E27FC236}">
              <a16:creationId xmlns:a16="http://schemas.microsoft.com/office/drawing/2014/main" id="{00000000-0008-0000-0000-00002D000000}"/>
            </a:ext>
          </a:extLst>
        </xdr:cNvPr>
        <xdr:cNvGrpSpPr/>
      </xdr:nvGrpSpPr>
      <xdr:grpSpPr>
        <a:xfrm>
          <a:off x="8891944" y="285315660"/>
          <a:ext cx="533996" cy="0"/>
          <a:chOff x="15125700" y="211576920"/>
          <a:chExt cx="1112520" cy="611289"/>
        </a:xfrm>
      </xdr:grpSpPr>
      <xdr:sp macro="" textlink="">
        <xdr:nvSpPr>
          <xdr:cNvPr id="46" name="Arrow: Down 45">
            <a:extLst>
              <a:ext uri="{FF2B5EF4-FFF2-40B4-BE49-F238E27FC236}">
                <a16:creationId xmlns:a16="http://schemas.microsoft.com/office/drawing/2014/main" id="{00000000-0008-0000-0000-00002E000000}"/>
              </a:ext>
            </a:extLst>
          </xdr:cNvPr>
          <xdr:cNvSpPr/>
        </xdr:nvSpPr>
        <xdr:spPr>
          <a:xfrm>
            <a:off x="15125700" y="211576920"/>
            <a:ext cx="1112520" cy="541020"/>
          </a:xfrm>
          <a:prstGeom prst="downArrow">
            <a:avLst>
              <a:gd name="adj1" fmla="val 92466"/>
              <a:gd name="adj2" fmla="val 23239"/>
            </a:avLst>
          </a:prstGeom>
          <a:solidFill>
            <a:srgbClr val="00823C"/>
          </a:solidFill>
          <a:ln>
            <a:solidFill>
              <a:srgbClr val="1EFF7D"/>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lIns="0" tIns="0" rIns="0" bIns="0" rtlCol="0" anchor="ctr"/>
          <a:lstStyle/>
          <a:p>
            <a:pPr algn="ctr"/>
            <a:r>
              <a:rPr lang="en-US" sz="1000" b="1">
                <a:latin typeface="Arial Narrow" panose="020B0606020202030204" pitchFamily="34" charset="0"/>
              </a:rPr>
              <a:t>IT STARTS HERE WITH NEEDS</a:t>
            </a:r>
          </a:p>
        </xdr:txBody>
      </xdr:sp>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rotWithShape="1">
          <a:blip xmlns:r="http://schemas.openxmlformats.org/officeDocument/2006/relationships" r:embed="rId4"/>
          <a:srcRect l="15419" t="6369" r="8472"/>
          <a:stretch/>
        </xdr:blipFill>
        <xdr:spPr>
          <a:xfrm>
            <a:off x="15148560" y="211886902"/>
            <a:ext cx="297180" cy="301307"/>
          </a:xfrm>
          <a:prstGeom prst="rect">
            <a:avLst/>
          </a:prstGeom>
        </xdr:spPr>
      </xdr:pic>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rotWithShape="1">
          <a:blip xmlns:r="http://schemas.openxmlformats.org/officeDocument/2006/relationships" r:embed="rId5"/>
          <a:srcRect l="10918" t="3776" r="6634"/>
          <a:stretch/>
        </xdr:blipFill>
        <xdr:spPr>
          <a:xfrm>
            <a:off x="15946334" y="211872140"/>
            <a:ext cx="269025" cy="313031"/>
          </a:xfrm>
          <a:prstGeom prst="rect">
            <a:avLst/>
          </a:prstGeom>
        </xdr:spPr>
      </xdr:pic>
    </xdr:grpSp>
    <xdr:clientData/>
  </xdr:twoCellAnchor>
  <xdr:twoCellAnchor>
    <xdr:from>
      <xdr:col>15</xdr:col>
      <xdr:colOff>53340</xdr:colOff>
      <xdr:row>724</xdr:row>
      <xdr:rowOff>198118</xdr:rowOff>
    </xdr:from>
    <xdr:to>
      <xdr:col>26</xdr:col>
      <xdr:colOff>464820</xdr:colOff>
      <xdr:row>742</xdr:row>
      <xdr:rowOff>129540</xdr:rowOff>
    </xdr:to>
    <xdr:sp macro="" textlink="">
      <xdr:nvSpPr>
        <xdr:cNvPr id="59" name="notes" hidden="1">
          <a:extLst>
            <a:ext uri="{FF2B5EF4-FFF2-40B4-BE49-F238E27FC236}">
              <a16:creationId xmlns:a16="http://schemas.microsoft.com/office/drawing/2014/main" id="{00000000-0008-0000-0000-00003B000000}"/>
            </a:ext>
          </a:extLst>
        </xdr:cNvPr>
        <xdr:cNvSpPr txBox="1"/>
      </xdr:nvSpPr>
      <xdr:spPr>
        <a:xfrm>
          <a:off x="6263640" y="96072958"/>
          <a:ext cx="0" cy="4091942"/>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strike="sngStrike" baseline="0">
              <a:solidFill>
                <a:schemeClr val="dk1"/>
              </a:solidFill>
              <a:latin typeface="Cambria" panose="02040503050406030204" pitchFamily="18" charset="0"/>
              <a:ea typeface="Cambria" panose="02040503050406030204" pitchFamily="18" charset="0"/>
              <a:cs typeface="+mn-cs"/>
            </a:rPr>
            <a:t>Your client's political views give you a glimpse into their pressing needs. If you remain atop of any tendency toward countertransference, you can tap into their priorities without having to ask. Politics </a:t>
          </a:r>
        </a:p>
        <a:p>
          <a:r>
            <a:rPr lang="en-US" sz="1200" strike="sngStrike" baseline="0">
              <a:solidFill>
                <a:schemeClr val="dk1"/>
              </a:solidFill>
              <a:latin typeface="Cambria" panose="02040503050406030204" pitchFamily="18" charset="0"/>
              <a:ea typeface="Cambria" panose="02040503050406030204" pitchFamily="18" charset="0"/>
              <a:cs typeface="+mn-cs"/>
            </a:rPr>
            <a:t>code for what is most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The needs behind political differences are not open to debate. No one's needs will ever change because you disagree with it. Only what others are to do about such needs fall within a legitimate political debate. You can disagree all you want [COUNSELOR PO STANCE] but your client's needs for [CLIENT PO STANCE] will not budge. Popular politics conflates inflexible needs with generalized reactions to those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strike="sngStrike" baseline="0">
              <a:solidFill>
                <a:schemeClr val="dk1"/>
              </a:solidFill>
              <a:latin typeface="Cambria" panose="02040503050406030204" pitchFamily="18" charset="0"/>
              <a:ea typeface="Cambria" panose="02040503050406030204" pitchFamily="18" charset="0"/>
              <a:cs typeface="+mn-cs"/>
            </a:rPr>
            <a:t>Popular politics suggests your client's [ISSUE]-related needs can be eased simply by [POSITION REACTION]. The more painful their unresolved needs, the less attention they can afford to how their stance can affect others.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Popular politics easily pulls them into an unnecessary conflict with others whose [ISSUE]-related needs insist they [POSITION REACTION]. Each side consumes precious resources trying to prove themselves right. You can redirect your client to take a more proactive path, toward resolving their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HP provides you opportunity to help clients distinguish between their inflexible [ISSUE]-related needs and the overgeneralizing tendency of [ISSUE] politics that rarely if ever can help resolve those inflexible needs. </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050">
            <a:latin typeface="Arial Narrow" panose="020B0606020202030204" pitchFamily="34" charset="0"/>
          </a:endParaRPr>
        </a:p>
      </xdr:txBody>
    </xdr:sp>
    <xdr:clientData/>
  </xdr:twoCellAnchor>
  <xdr:twoCellAnchor>
    <xdr:from>
      <xdr:col>14</xdr:col>
      <xdr:colOff>0</xdr:colOff>
      <xdr:row>869</xdr:row>
      <xdr:rowOff>91440</xdr:rowOff>
    </xdr:from>
    <xdr:to>
      <xdr:col>14</xdr:col>
      <xdr:colOff>0</xdr:colOff>
      <xdr:row>881</xdr:row>
      <xdr:rowOff>0</xdr:rowOff>
    </xdr:to>
    <xdr:grpSp>
      <xdr:nvGrpSpPr>
        <xdr:cNvPr id="83" name="traffic light" hidden="1">
          <a:extLst>
            <a:ext uri="{FF2B5EF4-FFF2-40B4-BE49-F238E27FC236}">
              <a16:creationId xmlns:a16="http://schemas.microsoft.com/office/drawing/2014/main" id="{00000000-0008-0000-0000-000053000000}"/>
            </a:ext>
          </a:extLst>
        </xdr:cNvPr>
        <xdr:cNvGrpSpPr/>
      </xdr:nvGrpSpPr>
      <xdr:grpSpPr>
        <a:xfrm>
          <a:off x="6263640" y="206509620"/>
          <a:ext cx="0" cy="2484120"/>
          <a:chOff x="121920" y="84681060"/>
          <a:chExt cx="5981700" cy="2769108"/>
        </a:xfrm>
      </xdr:grpSpPr>
      <xdr:sp macro="" textlink="">
        <xdr:nvSpPr>
          <xdr:cNvPr id="84" name="value relating">
            <a:extLst>
              <a:ext uri="{FF2B5EF4-FFF2-40B4-BE49-F238E27FC236}">
                <a16:creationId xmlns:a16="http://schemas.microsoft.com/office/drawing/2014/main" id="{00000000-0008-0000-0000-000054000000}"/>
              </a:ext>
            </a:extLst>
          </xdr:cNvPr>
          <xdr:cNvSpPr txBox="1"/>
        </xdr:nvSpPr>
        <xdr:spPr>
          <a:xfrm>
            <a:off x="297180" y="84780120"/>
            <a:ext cx="5806440" cy="2670048"/>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nchorCtr="1"/>
          <a:lstStyle/>
          <a:p>
            <a:pPr lvl="1" algn="ctr"/>
            <a:r>
              <a:rPr lang="en-US" sz="1400" b="1">
                <a:solidFill>
                  <a:srgbClr val="00B050"/>
                </a:solidFill>
                <a:latin typeface="Tahoma" panose="020B0604030504040204" pitchFamily="34" charset="0"/>
                <a:ea typeface="Tahoma" panose="020B0604030504040204" pitchFamily="34" charset="0"/>
                <a:cs typeface="Tahoma" panose="020B0604030504040204" pitchFamily="34" charset="0"/>
              </a:rPr>
              <a:t>Value</a:t>
            </a:r>
            <a:r>
              <a:rPr lang="en-US" sz="1400" b="1">
                <a:latin typeface="Tahoma" panose="020B0604030504040204" pitchFamily="34" charset="0"/>
                <a:ea typeface="Tahoma" panose="020B0604030504040204" pitchFamily="34" charset="0"/>
                <a:cs typeface="Tahoma" panose="020B0604030504040204" pitchFamily="34" charset="0"/>
              </a:rPr>
              <a:t> </a:t>
            </a:r>
            <a:r>
              <a:rPr lang="en-US" sz="1400" b="1">
                <a:solidFill>
                  <a:srgbClr val="7030A0"/>
                </a:solidFill>
                <a:latin typeface="Tahoma" panose="020B0604030504040204" pitchFamily="34" charset="0"/>
                <a:ea typeface="Tahoma" panose="020B0604030504040204" pitchFamily="34" charset="0"/>
                <a:cs typeface="Tahoma" panose="020B0604030504040204" pitchFamily="34" charset="0"/>
              </a:rPr>
              <a:t>Relating</a:t>
            </a:r>
          </a:p>
          <a:p>
            <a:pPr lvl="1" algn="ctr"/>
            <a:r>
              <a:rPr lang="en-US" sz="1050" baseline="0">
                <a:latin typeface="Arial Narrow" panose="020B0606020202030204" pitchFamily="34" charset="0"/>
              </a:rPr>
              <a:t>solving problems by resolving needs</a:t>
            </a:r>
            <a:endParaRPr lang="en-US" sz="1050">
              <a:latin typeface="Arial Narrow" panose="020B0606020202030204" pitchFamily="34" charset="0"/>
            </a:endParaRPr>
          </a:p>
        </xdr:txBody>
      </xdr:sp>
      <xdr:sp macro="" textlink="">
        <xdr:nvSpPr>
          <xdr:cNvPr id="85" name="recover rapport">
            <a:extLst>
              <a:ext uri="{FF2B5EF4-FFF2-40B4-BE49-F238E27FC236}">
                <a16:creationId xmlns:a16="http://schemas.microsoft.com/office/drawing/2014/main" id="{00000000-0008-0000-0000-000055000000}"/>
              </a:ext>
            </a:extLst>
          </xdr:cNvPr>
          <xdr:cNvSpPr txBox="1"/>
        </xdr:nvSpPr>
        <xdr:spPr>
          <a:xfrm>
            <a:off x="1310640" y="84787740"/>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Recover rapport</a:t>
            </a:r>
          </a:p>
          <a:p>
            <a:pPr lvl="1"/>
            <a:r>
              <a:rPr lang="en-US" sz="1050" baseline="0">
                <a:latin typeface="Arial Narrow" panose="020B0606020202030204" pitchFamily="34" charset="0"/>
              </a:rPr>
              <a:t>First, Harmony Politics stops you from losing clients over political differences. </a:t>
            </a:r>
          </a:p>
          <a:p>
            <a:endParaRPr lang="en-US" sz="1050">
              <a:latin typeface="Arial Narrow" panose="020B0606020202030204" pitchFamily="34" charset="0"/>
            </a:endParaRPr>
          </a:p>
        </xdr:txBody>
      </xdr:sp>
      <xdr:sp macro="" textlink="">
        <xdr:nvSpPr>
          <xdr:cNvPr id="86" name="sustain development">
            <a:extLst>
              <a:ext uri="{FF2B5EF4-FFF2-40B4-BE49-F238E27FC236}">
                <a16:creationId xmlns:a16="http://schemas.microsoft.com/office/drawing/2014/main" id="{00000000-0008-0000-0000-000056000000}"/>
              </a:ext>
            </a:extLst>
          </xdr:cNvPr>
          <xdr:cNvSpPr txBox="1"/>
        </xdr:nvSpPr>
        <xdr:spPr>
          <a:xfrm>
            <a:off x="1310640" y="85534500"/>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Sustain development</a:t>
            </a:r>
          </a:p>
          <a:p>
            <a:pPr lvl="1"/>
            <a:r>
              <a:rPr lang="en-US" sz="1050" baseline="0">
                <a:latin typeface="Arial Narrow" panose="020B0606020202030204" pitchFamily="34" charset="0"/>
              </a:rPr>
              <a:t>Second, Harmony Politics helps you sustain your client's psychosocial development. </a:t>
            </a:r>
          </a:p>
          <a:p>
            <a:endParaRPr lang="en-US" sz="1050">
              <a:latin typeface="Arial Narrow" panose="020B0606020202030204" pitchFamily="34" charset="0"/>
            </a:endParaRPr>
          </a:p>
        </xdr:txBody>
      </xdr:sp>
      <xdr:sp macro="" textlink="">
        <xdr:nvSpPr>
          <xdr:cNvPr id="87" name="thrive flow">
            <a:extLst>
              <a:ext uri="{FF2B5EF4-FFF2-40B4-BE49-F238E27FC236}">
                <a16:creationId xmlns:a16="http://schemas.microsoft.com/office/drawing/2014/main" id="{00000000-0008-0000-0000-000057000000}"/>
              </a:ext>
            </a:extLst>
          </xdr:cNvPr>
          <xdr:cNvSpPr txBox="1"/>
        </xdr:nvSpPr>
        <xdr:spPr>
          <a:xfrm>
            <a:off x="1310640" y="86281260"/>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Thrive with psychosocial</a:t>
            </a:r>
            <a:r>
              <a:rPr lang="en-US" sz="1200" b="1" baseline="0">
                <a:latin typeface="Tahoma" panose="020B0604030504040204" pitchFamily="34" charset="0"/>
                <a:ea typeface="Tahoma" panose="020B0604030504040204" pitchFamily="34" charset="0"/>
                <a:cs typeface="Tahoma" panose="020B0604030504040204" pitchFamily="34" charset="0"/>
              </a:rPr>
              <a:t> flow</a:t>
            </a:r>
            <a:endParaRPr lang="en-US" sz="1200" b="1">
              <a:latin typeface="Tahoma" panose="020B0604030504040204" pitchFamily="34" charset="0"/>
              <a:ea typeface="Tahoma" panose="020B0604030504040204" pitchFamily="34" charset="0"/>
              <a:cs typeface="Tahoma" panose="020B0604030504040204" pitchFamily="34" charset="0"/>
            </a:endParaRPr>
          </a:p>
          <a:p>
            <a:pPr lvl="1"/>
            <a:r>
              <a:rPr lang="en-US" sz="1050" baseline="0">
                <a:latin typeface="Arial Narrow" panose="020B0606020202030204" pitchFamily="34" charset="0"/>
              </a:rPr>
              <a:t>Lastly, Harmony Politics can empower your client to live up to their full potential. </a:t>
            </a:r>
          </a:p>
          <a:p>
            <a:endParaRPr lang="en-US" sz="1050">
              <a:latin typeface="Arial Narrow" panose="020B0606020202030204" pitchFamily="34" charset="0"/>
            </a:endParaRPr>
          </a:p>
        </xdr:txBody>
      </xdr:sp>
      <xdr:pic>
        <xdr:nvPicPr>
          <xdr:cNvPr id="88" name="traffic light pgn">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6"/>
          <a:stretch>
            <a:fillRect/>
          </a:stretch>
        </xdr:blipFill>
        <xdr:spPr>
          <a:xfrm>
            <a:off x="121920" y="84681060"/>
            <a:ext cx="1649019" cy="2765934"/>
          </a:xfrm>
          <a:prstGeom prst="rect">
            <a:avLst/>
          </a:prstGeom>
        </xdr:spPr>
      </xdr:pic>
    </xdr:grpSp>
    <xdr:clientData/>
  </xdr:twoCellAnchor>
  <xdr:twoCellAnchor editAs="oneCell">
    <xdr:from>
      <xdr:col>24</xdr:col>
      <xdr:colOff>212952</xdr:colOff>
      <xdr:row>843</xdr:row>
      <xdr:rowOff>68580</xdr:rowOff>
    </xdr:from>
    <xdr:to>
      <xdr:col>33</xdr:col>
      <xdr:colOff>357036</xdr:colOff>
      <xdr:row>855</xdr:row>
      <xdr:rowOff>242927</xdr:rowOff>
    </xdr:to>
    <xdr:pic>
      <xdr:nvPicPr>
        <xdr:cNvPr id="92" name="needs in balance" hidden="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263640" y="115214400"/>
          <a:ext cx="2907670" cy="2989861"/>
        </a:xfrm>
        <a:prstGeom prst="rect">
          <a:avLst/>
        </a:prstGeom>
      </xdr:spPr>
    </xdr:pic>
    <xdr:clientData/>
  </xdr:twoCellAnchor>
  <xdr:twoCellAnchor editAs="oneCell">
    <xdr:from>
      <xdr:col>25</xdr:col>
      <xdr:colOff>385018</xdr:colOff>
      <xdr:row>574</xdr:row>
      <xdr:rowOff>0</xdr:rowOff>
    </xdr:from>
    <xdr:to>
      <xdr:col>33</xdr:col>
      <xdr:colOff>97108</xdr:colOff>
      <xdr:row>582</xdr:row>
      <xdr:rowOff>76662</xdr:rowOff>
    </xdr:to>
    <xdr:pic>
      <xdr:nvPicPr>
        <xdr:cNvPr id="96" name="ballot box, clear" hidden="1">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263640" y="78051660"/>
          <a:ext cx="2650448" cy="2087880"/>
        </a:xfrm>
        <a:prstGeom prst="rect">
          <a:avLst/>
        </a:prstGeom>
      </xdr:spPr>
    </xdr:pic>
    <xdr:clientData/>
  </xdr:twoCellAnchor>
  <xdr:twoCellAnchor editAs="oneCell">
    <xdr:from>
      <xdr:col>18</xdr:col>
      <xdr:colOff>29865</xdr:colOff>
      <xdr:row>600</xdr:row>
      <xdr:rowOff>205740</xdr:rowOff>
    </xdr:from>
    <xdr:to>
      <xdr:col>32</xdr:col>
      <xdr:colOff>103926</xdr:colOff>
      <xdr:row>608</xdr:row>
      <xdr:rowOff>52922</xdr:rowOff>
    </xdr:to>
    <xdr:pic>
      <xdr:nvPicPr>
        <xdr:cNvPr id="97" name="overgen yield sign" hidden="1">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263640" y="84894420"/>
          <a:ext cx="2044391" cy="1813833"/>
        </a:xfrm>
        <a:prstGeom prst="rect">
          <a:avLst/>
        </a:prstGeom>
      </xdr:spPr>
    </xdr:pic>
    <xdr:clientData/>
  </xdr:twoCellAnchor>
  <xdr:twoCellAnchor>
    <xdr:from>
      <xdr:col>46</xdr:col>
      <xdr:colOff>56104</xdr:colOff>
      <xdr:row>818</xdr:row>
      <xdr:rowOff>179518</xdr:rowOff>
    </xdr:from>
    <xdr:to>
      <xdr:col>50</xdr:col>
      <xdr:colOff>440391</xdr:colOff>
      <xdr:row>853</xdr:row>
      <xdr:rowOff>307115</xdr:rowOff>
    </xdr:to>
    <xdr:sp macro="" textlink="">
      <xdr:nvSpPr>
        <xdr:cNvPr id="106" name="TextBox 105">
          <a:extLst>
            <a:ext uri="{FF2B5EF4-FFF2-40B4-BE49-F238E27FC236}">
              <a16:creationId xmlns:a16="http://schemas.microsoft.com/office/drawing/2014/main" id="{00000000-0008-0000-0000-00006A000000}"/>
            </a:ext>
          </a:extLst>
        </xdr:cNvPr>
        <xdr:cNvSpPr txBox="1"/>
      </xdr:nvSpPr>
      <xdr:spPr>
        <a:xfrm>
          <a:off x="22878004" y="191651068"/>
          <a:ext cx="2822687" cy="8490547"/>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chemeClr val="dk1"/>
              </a:solidFill>
              <a:effectLst/>
              <a:latin typeface="Tahoma" panose="020B0604030504040204" pitchFamily="34" charset="0"/>
              <a:ea typeface="Tahoma" panose="020B0604030504040204" pitchFamily="34" charset="0"/>
              <a:cs typeface="Tahoma" panose="020B0604030504040204" pitchFamily="34" charset="0"/>
            </a:rPr>
            <a:t>avoidant options</a:t>
          </a:r>
          <a:endParaRPr lang="en-US" sz="1100">
            <a:solidFill>
              <a:schemeClr val="dk1"/>
            </a:solidFill>
            <a:effectLst/>
            <a:latin typeface="Tahoma" panose="020B0604030504040204" pitchFamily="34" charset="0"/>
            <a:ea typeface="Tahoma" panose="020B0604030504040204" pitchFamily="34" charset="0"/>
            <a:cs typeface="Tahoma" panose="020B0604030504040204" pitchFamily="34" charset="0"/>
          </a:endParaRP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000">
              <a:solidFill>
                <a:schemeClr val="dk1"/>
              </a:solidFill>
              <a:effectLst/>
              <a:latin typeface="Cambria" panose="02040503050406030204" pitchFamily="18" charset="0"/>
              <a:ea typeface="Cambria" panose="02040503050406030204" pitchFamily="18" charset="0"/>
              <a:cs typeface="+mn-cs"/>
            </a:rPr>
            <a:t>absenteeism</a:t>
          </a:r>
        </a:p>
        <a:p>
          <a:r>
            <a:rPr lang="en-US" sz="1000">
              <a:solidFill>
                <a:schemeClr val="dk1"/>
              </a:solidFill>
              <a:effectLst/>
              <a:latin typeface="Cambria" panose="02040503050406030204" pitchFamily="18" charset="0"/>
              <a:ea typeface="Cambria" panose="02040503050406030204" pitchFamily="18" charset="0"/>
              <a:cs typeface="+mn-cs"/>
            </a:rPr>
            <a:t>accept being overwhelmed</a:t>
          </a:r>
        </a:p>
        <a:p>
          <a:r>
            <a:rPr lang="en-US" sz="1000">
              <a:solidFill>
                <a:schemeClr val="dk1"/>
              </a:solidFill>
              <a:effectLst/>
              <a:latin typeface="Cambria" panose="02040503050406030204" pitchFamily="18" charset="0"/>
              <a:ea typeface="Cambria" panose="02040503050406030204" pitchFamily="18" charset="0"/>
              <a:cs typeface="+mn-cs"/>
            </a:rPr>
            <a:t>acquiesce to demands of power</a:t>
          </a:r>
        </a:p>
        <a:p>
          <a:r>
            <a:rPr lang="en-US" sz="1000">
              <a:solidFill>
                <a:schemeClr val="dk1"/>
              </a:solidFill>
              <a:effectLst/>
              <a:latin typeface="Cambria" panose="02040503050406030204" pitchFamily="18" charset="0"/>
              <a:ea typeface="Cambria" panose="02040503050406030204" pitchFamily="18" charset="0"/>
              <a:cs typeface="+mn-cs"/>
            </a:rPr>
            <a:t>blame oneself for everything</a:t>
          </a:r>
        </a:p>
        <a:p>
          <a:r>
            <a:rPr lang="en-US" sz="1000">
              <a:solidFill>
                <a:schemeClr val="dk1"/>
              </a:solidFill>
              <a:effectLst/>
              <a:latin typeface="Cambria" panose="02040503050406030204" pitchFamily="18" charset="0"/>
              <a:ea typeface="Cambria" panose="02040503050406030204" pitchFamily="18" charset="0"/>
              <a:cs typeface="+mn-cs"/>
            </a:rPr>
            <a:t>compromise health further</a:t>
          </a:r>
        </a:p>
        <a:p>
          <a:r>
            <a:rPr lang="en-US" sz="1000">
              <a:solidFill>
                <a:schemeClr val="dk1"/>
              </a:solidFill>
              <a:effectLst/>
              <a:latin typeface="Cambria" panose="02040503050406030204" pitchFamily="18" charset="0"/>
              <a:ea typeface="Cambria" panose="02040503050406030204" pitchFamily="18" charset="0"/>
              <a:cs typeface="+mn-cs"/>
            </a:rPr>
            <a:t>cope with addictive items</a:t>
          </a:r>
        </a:p>
        <a:p>
          <a:r>
            <a:rPr lang="en-US" sz="1000">
              <a:solidFill>
                <a:schemeClr val="dk1"/>
              </a:solidFill>
              <a:effectLst/>
              <a:latin typeface="Cambria" panose="02040503050406030204" pitchFamily="18" charset="0"/>
              <a:ea typeface="Cambria" panose="02040503050406030204" pitchFamily="18" charset="0"/>
              <a:cs typeface="+mn-cs"/>
            </a:rPr>
            <a:t>catastrophize</a:t>
          </a:r>
        </a:p>
        <a:p>
          <a:r>
            <a:rPr lang="en-US" sz="1000">
              <a:solidFill>
                <a:schemeClr val="dk1"/>
              </a:solidFill>
              <a:effectLst/>
              <a:latin typeface="Cambria" panose="02040503050406030204" pitchFamily="18" charset="0"/>
              <a:ea typeface="Cambria" panose="02040503050406030204" pitchFamily="18" charset="0"/>
              <a:cs typeface="+mn-cs"/>
            </a:rPr>
            <a:t>endure increasing anxiety</a:t>
          </a:r>
        </a:p>
        <a:p>
          <a:r>
            <a:rPr lang="en-US" sz="1000">
              <a:solidFill>
                <a:schemeClr val="dk1"/>
              </a:solidFill>
              <a:effectLst/>
              <a:latin typeface="Cambria" panose="02040503050406030204" pitchFamily="18" charset="0"/>
              <a:ea typeface="Cambria" panose="02040503050406030204" pitchFamily="18" charset="0"/>
              <a:cs typeface="+mn-cs"/>
            </a:rPr>
            <a:t>give into other forms of violence</a:t>
          </a:r>
        </a:p>
        <a:p>
          <a:r>
            <a:rPr lang="en-US" sz="1000">
              <a:solidFill>
                <a:schemeClr val="dk1"/>
              </a:solidFill>
              <a:effectLst/>
              <a:latin typeface="Cambria" panose="02040503050406030204" pitchFamily="18" charset="0"/>
              <a:ea typeface="Cambria" panose="02040503050406030204" pitchFamily="18" charset="0"/>
              <a:cs typeface="+mn-cs"/>
            </a:rPr>
            <a:t>lapse into dysfunctional behaviors</a:t>
          </a:r>
        </a:p>
        <a:p>
          <a:r>
            <a:rPr lang="en-US" sz="1000">
              <a:solidFill>
                <a:schemeClr val="dk1"/>
              </a:solidFill>
              <a:effectLst/>
              <a:latin typeface="Cambria" panose="02040503050406030204" pitchFamily="18" charset="0"/>
              <a:ea typeface="Cambria" panose="02040503050406030204" pitchFamily="18" charset="0"/>
              <a:cs typeface="+mn-cs"/>
            </a:rPr>
            <a:t>lose further efficacy</a:t>
          </a:r>
        </a:p>
        <a:p>
          <a:r>
            <a:rPr lang="en-US" sz="1000">
              <a:solidFill>
                <a:schemeClr val="dk1"/>
              </a:solidFill>
              <a:effectLst/>
              <a:latin typeface="Cambria" panose="02040503050406030204" pitchFamily="18" charset="0"/>
              <a:ea typeface="Cambria" panose="02040503050406030204" pitchFamily="18" charset="0"/>
              <a:cs typeface="+mn-cs"/>
            </a:rPr>
            <a:t>obsess on extremes</a:t>
          </a:r>
        </a:p>
        <a:p>
          <a:r>
            <a:rPr lang="en-US" sz="1000">
              <a:solidFill>
                <a:schemeClr val="dk1"/>
              </a:solidFill>
              <a:effectLst/>
              <a:latin typeface="Cambria" panose="02040503050406030204" pitchFamily="18" charset="0"/>
              <a:ea typeface="Cambria" panose="02040503050406030204" pitchFamily="18" charset="0"/>
              <a:cs typeface="+mn-cs"/>
            </a:rPr>
            <a:t>presenteeism</a:t>
          </a:r>
        </a:p>
        <a:p>
          <a:r>
            <a:rPr lang="en-US" sz="1000">
              <a:solidFill>
                <a:schemeClr val="dk1"/>
              </a:solidFill>
              <a:effectLst/>
              <a:latin typeface="Cambria" panose="02040503050406030204" pitchFamily="18" charset="0"/>
              <a:ea typeface="Cambria" panose="02040503050406030204" pitchFamily="18" charset="0"/>
              <a:cs typeface="+mn-cs"/>
            </a:rPr>
            <a:t>retail therapy</a:t>
          </a:r>
        </a:p>
        <a:p>
          <a:r>
            <a:rPr lang="en-US" sz="1000">
              <a:solidFill>
                <a:schemeClr val="dk1"/>
              </a:solidFill>
              <a:effectLst/>
              <a:latin typeface="Cambria" panose="02040503050406030204" pitchFamily="18" charset="0"/>
              <a:ea typeface="Cambria" panose="02040503050406030204" pitchFamily="18" charset="0"/>
              <a:cs typeface="+mn-cs"/>
            </a:rPr>
            <a:t>slip into hopelessness</a:t>
          </a:r>
        </a:p>
        <a:p>
          <a:r>
            <a:rPr lang="en-US" sz="1000">
              <a:solidFill>
                <a:schemeClr val="dk1"/>
              </a:solidFill>
              <a:effectLst/>
              <a:latin typeface="Cambria" panose="02040503050406030204" pitchFamily="18" charset="0"/>
              <a:ea typeface="Cambria" panose="02040503050406030204" pitchFamily="18" charset="0"/>
              <a:cs typeface="+mn-cs"/>
            </a:rPr>
            <a:t>suffer deeper levels of depression</a:t>
          </a:r>
        </a:p>
        <a:p>
          <a:r>
            <a:rPr lang="en-US" sz="1000">
              <a:solidFill>
                <a:schemeClr val="dk1"/>
              </a:solidFill>
              <a:effectLst/>
              <a:latin typeface="Cambria" panose="02040503050406030204" pitchFamily="18" charset="0"/>
              <a:ea typeface="Cambria" panose="02040503050406030204" pitchFamily="18" charset="0"/>
              <a:cs typeface="+mn-cs"/>
            </a:rPr>
            <a:t>suffer mental health issues</a:t>
          </a:r>
        </a:p>
        <a:p>
          <a:r>
            <a:rPr lang="en-US" sz="1000">
              <a:solidFill>
                <a:schemeClr val="dk1"/>
              </a:solidFill>
              <a:effectLst/>
              <a:latin typeface="Cambria" panose="02040503050406030204" pitchFamily="18" charset="0"/>
              <a:ea typeface="Cambria" panose="02040503050406030204" pitchFamily="18" charset="0"/>
              <a:cs typeface="+mn-cs"/>
            </a:rPr>
            <a:t>suppress own doubts and fears</a:t>
          </a:r>
        </a:p>
        <a:p>
          <a:r>
            <a:rPr lang="en-US" sz="1000">
              <a:solidFill>
                <a:schemeClr val="dk1"/>
              </a:solidFill>
              <a:effectLst/>
              <a:latin typeface="Cambria" panose="02040503050406030204" pitchFamily="18" charset="0"/>
              <a:ea typeface="Cambria" panose="02040503050406030204" pitchFamily="18" charset="0"/>
              <a:cs typeface="+mn-cs"/>
            </a:rPr>
            <a:t>withdraw from social life</a:t>
          </a:r>
        </a:p>
        <a:p>
          <a:r>
            <a:rPr lang="en-US" sz="1000">
              <a:solidFill>
                <a:schemeClr val="dk1"/>
              </a:solidFill>
              <a:effectLst/>
              <a:latin typeface="Cambria" panose="02040503050406030204" pitchFamily="18" charset="0"/>
              <a:ea typeface="Cambria" panose="02040503050406030204" pitchFamily="18" charset="0"/>
              <a:cs typeface="+mn-cs"/>
            </a:rPr>
            <a:t>wonder about killing oneself</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100" b="1">
              <a:solidFill>
                <a:schemeClr val="dk1"/>
              </a:solidFill>
              <a:effectLst/>
              <a:latin typeface="Tahoma" panose="020B0604030504040204" pitchFamily="34" charset="0"/>
              <a:ea typeface="Tahoma" panose="020B0604030504040204" pitchFamily="34" charset="0"/>
              <a:cs typeface="Tahoma" panose="020B0604030504040204" pitchFamily="34" charset="0"/>
            </a:rPr>
            <a:t>adversarial options (political leaders)</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000">
              <a:solidFill>
                <a:schemeClr val="dk1"/>
              </a:solidFill>
              <a:effectLst/>
              <a:latin typeface="Cambria" panose="02040503050406030204" pitchFamily="18" charset="0"/>
              <a:ea typeface="Cambria" panose="02040503050406030204" pitchFamily="18" charset="0"/>
              <a:cs typeface="+mn-cs"/>
            </a:rPr>
            <a:t>question best practices</a:t>
          </a:r>
        </a:p>
        <a:p>
          <a:r>
            <a:rPr lang="en-US" sz="1000">
              <a:solidFill>
                <a:schemeClr val="dk1"/>
              </a:solidFill>
              <a:effectLst/>
              <a:latin typeface="Cambria" panose="02040503050406030204" pitchFamily="18" charset="0"/>
              <a:ea typeface="Cambria" panose="02040503050406030204" pitchFamily="18" charset="0"/>
              <a:cs typeface="+mn-cs"/>
            </a:rPr>
            <a:t>question industry standards</a:t>
          </a:r>
        </a:p>
        <a:p>
          <a:r>
            <a:rPr lang="en-US" sz="1000">
              <a:solidFill>
                <a:schemeClr val="dk1"/>
              </a:solidFill>
              <a:effectLst/>
              <a:latin typeface="Cambria" panose="02040503050406030204" pitchFamily="18" charset="0"/>
              <a:ea typeface="Cambria" panose="02040503050406030204" pitchFamily="18" charset="0"/>
              <a:cs typeface="+mn-cs"/>
            </a:rPr>
            <a:t>challenge if following professional ethics</a:t>
          </a:r>
        </a:p>
        <a:p>
          <a:r>
            <a:rPr lang="en-US" sz="1000">
              <a:solidFill>
                <a:schemeClr val="dk1"/>
              </a:solidFill>
              <a:effectLst/>
              <a:latin typeface="Cambria" panose="02040503050406030204" pitchFamily="18" charset="0"/>
              <a:ea typeface="Cambria" panose="02040503050406030204" pitchFamily="18" charset="0"/>
              <a:cs typeface="+mn-cs"/>
            </a:rPr>
            <a:t>publicly denounce unresponsiveness</a:t>
          </a:r>
        </a:p>
        <a:p>
          <a:r>
            <a:rPr lang="en-US" sz="1000">
              <a:solidFill>
                <a:schemeClr val="dk1"/>
              </a:solidFill>
              <a:effectLst/>
              <a:latin typeface="Cambria" panose="02040503050406030204" pitchFamily="18" charset="0"/>
              <a:ea typeface="Cambria" panose="02040503050406030204" pitchFamily="18" charset="0"/>
              <a:cs typeface="+mn-cs"/>
            </a:rPr>
            <a:t>launch critical media campaign</a:t>
          </a:r>
        </a:p>
        <a:p>
          <a:r>
            <a:rPr lang="en-US" sz="1000">
              <a:solidFill>
                <a:schemeClr val="dk1"/>
              </a:solidFill>
              <a:effectLst/>
              <a:latin typeface="Cambria" panose="02040503050406030204" pitchFamily="18" charset="0"/>
              <a:ea typeface="Cambria" panose="02040503050406030204" pitchFamily="18" charset="0"/>
              <a:cs typeface="+mn-cs"/>
            </a:rPr>
            <a:t>online reputations orgs</a:t>
          </a:r>
        </a:p>
        <a:p>
          <a:r>
            <a:rPr lang="en-US" sz="1000">
              <a:solidFill>
                <a:schemeClr val="dk1"/>
              </a:solidFill>
              <a:effectLst/>
              <a:latin typeface="Cambria" panose="02040503050406030204" pitchFamily="18" charset="0"/>
              <a:ea typeface="Cambria" panose="02040503050406030204" pitchFamily="18" charset="0"/>
              <a:cs typeface="+mn-cs"/>
            </a:rPr>
            <a:t>SLAPP</a:t>
          </a:r>
        </a:p>
        <a:p>
          <a:r>
            <a:rPr lang="en-US" sz="1000">
              <a:solidFill>
                <a:schemeClr val="dk1"/>
              </a:solidFill>
              <a:effectLst/>
              <a:latin typeface="Cambria" panose="02040503050406030204" pitchFamily="18" charset="0"/>
              <a:ea typeface="Cambria" panose="02040503050406030204" pitchFamily="18" charset="0"/>
              <a:cs typeface="+mn-cs"/>
            </a:rPr>
            <a:t>lock tax liability</a:t>
          </a:r>
          <a:r>
            <a:rPr lang="en-US" sz="1000" baseline="0">
              <a:solidFill>
                <a:schemeClr val="dk1"/>
              </a:solidFill>
              <a:effectLst/>
              <a:latin typeface="Cambria" panose="02040503050406030204" pitchFamily="18" charset="0"/>
              <a:ea typeface="Cambria" panose="02040503050406030204" pitchFamily="18" charset="0"/>
              <a:cs typeface="+mn-cs"/>
            </a:rPr>
            <a:t> into escrow</a:t>
          </a:r>
          <a:endParaRPr lang="en-US" sz="1000">
            <a:solidFill>
              <a:schemeClr val="dk1"/>
            </a:solidFill>
            <a:effectLst/>
            <a:latin typeface="Cambria" panose="02040503050406030204" pitchFamily="18" charset="0"/>
            <a:ea typeface="Cambria" panose="02040503050406030204" pitchFamily="18" charset="0"/>
            <a:cs typeface="+mn-cs"/>
          </a:endParaRPr>
        </a:p>
        <a:p>
          <a:r>
            <a:rPr lang="en-US" sz="1000">
              <a:solidFill>
                <a:schemeClr val="dk1"/>
              </a:solidFill>
              <a:effectLst/>
              <a:latin typeface="Cambria" panose="02040503050406030204" pitchFamily="18" charset="0"/>
              <a:ea typeface="Cambria" panose="02040503050406030204" pitchFamily="18" charset="0"/>
              <a:cs typeface="+mn-cs"/>
            </a:rPr>
            <a:t>“confront revenue sources”</a:t>
          </a:r>
        </a:p>
        <a:p>
          <a:r>
            <a:rPr lang="en-US" sz="1000">
              <a:solidFill>
                <a:schemeClr val="dk1"/>
              </a:solidFill>
              <a:effectLst/>
              <a:latin typeface="Cambria" panose="02040503050406030204" pitchFamily="18" charset="0"/>
              <a:ea typeface="Cambria" panose="02040503050406030204" pitchFamily="18" charset="0"/>
              <a:cs typeface="+mn-cs"/>
            </a:rPr>
            <a:t>“strategic noncooperation”</a:t>
          </a:r>
        </a:p>
        <a:p>
          <a:r>
            <a:rPr lang="en-US" sz="1000">
              <a:solidFill>
                <a:schemeClr val="dk1"/>
              </a:solidFill>
              <a:effectLst/>
              <a:latin typeface="Cambria" panose="02040503050406030204" pitchFamily="18" charset="0"/>
              <a:ea typeface="Cambria" panose="02040503050406030204" pitchFamily="18" charset="0"/>
              <a:cs typeface="+mn-cs"/>
            </a:rPr>
            <a:t>“public vilification”</a:t>
          </a:r>
        </a:p>
        <a:p>
          <a:r>
            <a:rPr lang="en-US" sz="1000">
              <a:solidFill>
                <a:schemeClr val="dk1"/>
              </a:solidFill>
              <a:effectLst/>
              <a:latin typeface="Cambria" panose="02040503050406030204" pitchFamily="18" charset="0"/>
              <a:ea typeface="Cambria" panose="02040503050406030204" pitchFamily="18" charset="0"/>
              <a:cs typeface="+mn-cs"/>
            </a:rPr>
            <a:t>“comprehensive ostracization”</a:t>
          </a:r>
        </a:p>
        <a:p>
          <a:r>
            <a:rPr lang="en-US" sz="1000">
              <a:solidFill>
                <a:schemeClr val="dk1"/>
              </a:solidFill>
              <a:effectLst/>
              <a:latin typeface="Cambria" panose="02040503050406030204" pitchFamily="18" charset="0"/>
              <a:ea typeface="Cambria" panose="02040503050406030204" pitchFamily="18" charset="0"/>
              <a:cs typeface="+mn-cs"/>
            </a:rPr>
            <a:t>“avowed mortification”</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100" b="1">
              <a:solidFill>
                <a:schemeClr val="dk1"/>
              </a:solidFill>
              <a:effectLst/>
              <a:latin typeface="Tahoma" panose="020B0604030504040204" pitchFamily="34" charset="0"/>
              <a:ea typeface="Tahoma" panose="020B0604030504040204" pitchFamily="34" charset="0"/>
              <a:cs typeface="Tahoma" panose="020B0604030504040204" pitchFamily="34" charset="0"/>
            </a:rPr>
            <a:t>conciliatory options</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000">
              <a:solidFill>
                <a:schemeClr val="dk1"/>
              </a:solidFill>
              <a:effectLst/>
              <a:latin typeface="Cambria" panose="02040503050406030204" pitchFamily="18" charset="0"/>
              <a:ea typeface="Cambria" panose="02040503050406030204" pitchFamily="18" charset="0"/>
              <a:cs typeface="+mn-cs"/>
            </a:rPr>
            <a:t>admit all needs sit equal before nature</a:t>
          </a:r>
        </a:p>
        <a:p>
          <a:r>
            <a:rPr lang="en-US" sz="1000">
              <a:solidFill>
                <a:schemeClr val="dk1"/>
              </a:solidFill>
              <a:effectLst/>
              <a:latin typeface="Cambria" panose="02040503050406030204" pitchFamily="18" charset="0"/>
              <a:ea typeface="Cambria" panose="02040503050406030204" pitchFamily="18" charset="0"/>
              <a:cs typeface="+mn-cs"/>
            </a:rPr>
            <a:t>admit resolving needs removes its pain</a:t>
          </a:r>
        </a:p>
        <a:p>
          <a:r>
            <a:rPr lang="en-US" sz="1000">
              <a:solidFill>
                <a:schemeClr val="dk1"/>
              </a:solidFill>
              <a:effectLst/>
              <a:latin typeface="Cambria" panose="02040503050406030204" pitchFamily="18" charset="0"/>
              <a:ea typeface="Cambria" panose="02040503050406030204" pitchFamily="18" charset="0"/>
              <a:cs typeface="+mn-cs"/>
            </a:rPr>
            <a:t>recognize damage from avoidance</a:t>
          </a:r>
        </a:p>
        <a:p>
          <a:r>
            <a:rPr lang="en-US" sz="1000">
              <a:solidFill>
                <a:schemeClr val="dk1"/>
              </a:solidFill>
              <a:effectLst/>
              <a:latin typeface="Cambria" panose="02040503050406030204" pitchFamily="18" charset="0"/>
              <a:ea typeface="Cambria" panose="02040503050406030204" pitchFamily="18" charset="0"/>
              <a:cs typeface="+mn-cs"/>
            </a:rPr>
            <a:t>reverse any harmful trends</a:t>
          </a:r>
        </a:p>
        <a:p>
          <a:r>
            <a:rPr lang="en-US" sz="1000">
              <a:solidFill>
                <a:schemeClr val="dk1"/>
              </a:solidFill>
              <a:effectLst/>
              <a:latin typeface="Cambria" panose="02040503050406030204" pitchFamily="18" charset="0"/>
              <a:ea typeface="Cambria" panose="02040503050406030204" pitchFamily="18" charset="0"/>
              <a:cs typeface="+mn-cs"/>
            </a:rPr>
            <a:t>cease coercive power</a:t>
          </a:r>
        </a:p>
        <a:p>
          <a:r>
            <a:rPr lang="en-US" sz="1000">
              <a:solidFill>
                <a:schemeClr val="dk1"/>
              </a:solidFill>
              <a:effectLst/>
              <a:latin typeface="Cambria" panose="02040503050406030204" pitchFamily="18" charset="0"/>
              <a:ea typeface="Cambria" panose="02040503050406030204" pitchFamily="18" charset="0"/>
              <a:cs typeface="+mn-cs"/>
            </a:rPr>
            <a:t>replace legal pressure with knowing needs</a:t>
          </a:r>
        </a:p>
        <a:p>
          <a:r>
            <a:rPr lang="en-US" sz="1000">
              <a:solidFill>
                <a:schemeClr val="dk1"/>
              </a:solidFill>
              <a:effectLst/>
              <a:latin typeface="Cambria" panose="02040503050406030204" pitchFamily="18" charset="0"/>
              <a:ea typeface="Cambria" panose="02040503050406030204" pitchFamily="18" charset="0"/>
              <a:cs typeface="+mn-cs"/>
            </a:rPr>
            <a:t>waive adversarial options</a:t>
          </a:r>
        </a:p>
        <a:p>
          <a:r>
            <a:rPr lang="en-US" sz="1000">
              <a:solidFill>
                <a:schemeClr val="dk1"/>
              </a:solidFill>
              <a:effectLst/>
              <a:latin typeface="Cambria" panose="02040503050406030204" pitchFamily="18" charset="0"/>
              <a:ea typeface="Cambria" panose="02040503050406030204" pitchFamily="18" charset="0"/>
              <a:cs typeface="+mn-cs"/>
            </a:rPr>
            <a:t>replace hostilities with understanding</a:t>
          </a:r>
        </a:p>
        <a:p>
          <a:r>
            <a:rPr lang="en-US" sz="1000">
              <a:solidFill>
                <a:schemeClr val="dk1"/>
              </a:solidFill>
              <a:effectLst/>
              <a:latin typeface="Cambria" panose="02040503050406030204" pitchFamily="18" charset="0"/>
              <a:ea typeface="Cambria" panose="02040503050406030204" pitchFamily="18" charset="0"/>
              <a:cs typeface="+mn-cs"/>
            </a:rPr>
            <a:t>identify each other’s affected needs</a:t>
          </a:r>
        </a:p>
        <a:p>
          <a:r>
            <a:rPr lang="en-US" sz="1000">
              <a:solidFill>
                <a:schemeClr val="dk1"/>
              </a:solidFill>
              <a:effectLst/>
              <a:latin typeface="Cambria" panose="02040503050406030204" pitchFamily="18" charset="0"/>
              <a:ea typeface="Cambria" panose="02040503050406030204" pitchFamily="18" charset="0"/>
              <a:cs typeface="+mn-cs"/>
            </a:rPr>
            <a:t>envision mutual benefits</a:t>
          </a:r>
        </a:p>
        <a:p>
          <a:r>
            <a:rPr lang="en-US" sz="1000">
              <a:solidFill>
                <a:schemeClr val="dk1"/>
              </a:solidFill>
              <a:effectLst/>
              <a:latin typeface="Cambria" panose="02040503050406030204" pitchFamily="18" charset="0"/>
              <a:ea typeface="Cambria" panose="02040503050406030204" pitchFamily="18" charset="0"/>
              <a:cs typeface="+mn-cs"/>
            </a:rPr>
            <a:t>shift from generalizing to specifics</a:t>
          </a:r>
        </a:p>
        <a:p>
          <a:r>
            <a:rPr lang="en-US" sz="1000">
              <a:solidFill>
                <a:schemeClr val="dk1"/>
              </a:solidFill>
              <a:effectLst/>
              <a:latin typeface="Cambria" panose="02040503050406030204" pitchFamily="18" charset="0"/>
              <a:ea typeface="Cambria" panose="02040503050406030204" pitchFamily="18" charset="0"/>
              <a:cs typeface="+mn-cs"/>
            </a:rPr>
            <a:t>shift from relief to resolving needs</a:t>
          </a:r>
        </a:p>
        <a:p>
          <a:r>
            <a:rPr lang="en-US" sz="1000">
              <a:solidFill>
                <a:schemeClr val="dk1"/>
              </a:solidFill>
              <a:effectLst/>
              <a:latin typeface="Cambria" panose="02040503050406030204" pitchFamily="18" charset="0"/>
              <a:ea typeface="Cambria" panose="02040503050406030204" pitchFamily="18" charset="0"/>
              <a:cs typeface="+mn-cs"/>
            </a:rPr>
            <a:t>mutually commit to resolve needs</a:t>
          </a:r>
        </a:p>
        <a:p>
          <a:r>
            <a:rPr lang="en-US" sz="1000">
              <a:solidFill>
                <a:schemeClr val="dk1"/>
              </a:solidFill>
              <a:effectLst/>
              <a:latin typeface="Cambria" panose="02040503050406030204" pitchFamily="18" charset="0"/>
              <a:ea typeface="Cambria" panose="02040503050406030204" pitchFamily="18" charset="0"/>
              <a:cs typeface="+mn-cs"/>
            </a:rPr>
            <a:t>invest in better outcomes</a:t>
          </a:r>
        </a:p>
        <a:p>
          <a:r>
            <a:rPr lang="en-US" sz="1000">
              <a:solidFill>
                <a:schemeClr val="dk1"/>
              </a:solidFill>
              <a:effectLst/>
              <a:latin typeface="Cambria" panose="02040503050406030204" pitchFamily="18" charset="0"/>
              <a:ea typeface="Cambria" panose="02040503050406030204" pitchFamily="18" charset="0"/>
              <a:cs typeface="+mn-cs"/>
            </a:rPr>
            <a:t>invest in positive impacts</a:t>
          </a:r>
        </a:p>
        <a:p>
          <a:endParaRPr lang="en-US" sz="1050" baseline="0">
            <a:latin typeface="Cambria" panose="02040503050406030204" pitchFamily="18" charset="0"/>
            <a:ea typeface="Cambria" panose="02040503050406030204" pitchFamily="18" charset="0"/>
          </a:endParaRPr>
        </a:p>
      </xdr:txBody>
    </xdr:sp>
    <xdr:clientData/>
  </xdr:twoCellAnchor>
  <xdr:twoCellAnchor>
    <xdr:from>
      <xdr:col>1</xdr:col>
      <xdr:colOff>23900</xdr:colOff>
      <xdr:row>926</xdr:row>
      <xdr:rowOff>149412</xdr:rowOff>
    </xdr:from>
    <xdr:to>
      <xdr:col>13</xdr:col>
      <xdr:colOff>52587</xdr:colOff>
      <xdr:row>928</xdr:row>
      <xdr:rowOff>119529</xdr:rowOff>
    </xdr:to>
    <xdr:sp macro="" textlink="">
      <xdr:nvSpPr>
        <xdr:cNvPr id="132" name="TextBox 131">
          <a:extLst>
            <a:ext uri="{FF2B5EF4-FFF2-40B4-BE49-F238E27FC236}">
              <a16:creationId xmlns:a16="http://schemas.microsoft.com/office/drawing/2014/main" id="{00000000-0008-0000-0000-000084000000}"/>
            </a:ext>
          </a:extLst>
        </xdr:cNvPr>
        <xdr:cNvSpPr txBox="1"/>
      </xdr:nvSpPr>
      <xdr:spPr>
        <a:xfrm>
          <a:off x="135959" y="221174236"/>
          <a:ext cx="6035040" cy="4781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solidFill>
                <a:schemeClr val="dk1"/>
              </a:solidFill>
              <a:latin typeface="Cambria" panose="02040503050406030204" pitchFamily="18" charset="0"/>
              <a:ea typeface="Cambria" panose="02040503050406030204" pitchFamily="18" charset="0"/>
              <a:cs typeface="+mn-cs"/>
            </a:rPr>
            <a:t>If you segue into the optional enterprise phase, you will work with your team to draft a set of relating terms best fitting to that particular situation.</a:t>
          </a:r>
        </a:p>
      </xdr:txBody>
    </xdr:sp>
    <xdr:clientData/>
  </xdr:twoCellAnchor>
  <xdr:twoCellAnchor>
    <xdr:from>
      <xdr:col>23</xdr:col>
      <xdr:colOff>303810</xdr:colOff>
      <xdr:row>54</xdr:row>
      <xdr:rowOff>229558</xdr:rowOff>
    </xdr:from>
    <xdr:to>
      <xdr:col>26</xdr:col>
      <xdr:colOff>323862</xdr:colOff>
      <xdr:row>54</xdr:row>
      <xdr:rowOff>534145</xdr:rowOff>
    </xdr:to>
    <xdr:sp macro="" textlink="">
      <xdr:nvSpPr>
        <xdr:cNvPr id="135" name="Arrow: Left 134">
          <a:hlinkClick xmlns:r="http://schemas.openxmlformats.org/officeDocument/2006/relationships" r:id="rId2" tooltip="back to Harmony Politics tab"/>
          <a:extLst>
            <a:ext uri="{FF2B5EF4-FFF2-40B4-BE49-F238E27FC236}">
              <a16:creationId xmlns:a16="http://schemas.microsoft.com/office/drawing/2014/main" id="{00000000-0008-0000-0000-000087000000}"/>
            </a:ext>
          </a:extLst>
        </xdr:cNvPr>
        <xdr:cNvSpPr/>
      </xdr:nvSpPr>
      <xdr:spPr>
        <a:xfrm>
          <a:off x="6263640" y="17214538"/>
          <a:ext cx="0" cy="30458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164</xdr:row>
      <xdr:rowOff>62369</xdr:rowOff>
    </xdr:from>
    <xdr:to>
      <xdr:col>26</xdr:col>
      <xdr:colOff>488215</xdr:colOff>
      <xdr:row>164</xdr:row>
      <xdr:rowOff>302426</xdr:rowOff>
    </xdr:to>
    <xdr:sp macro="" textlink="">
      <xdr:nvSpPr>
        <xdr:cNvPr id="136" name="Arrow: Left 135">
          <a:hlinkClick xmlns:r="http://schemas.openxmlformats.org/officeDocument/2006/relationships" r:id="rId2" tooltip="back to Harmony Politics tab"/>
          <a:extLst>
            <a:ext uri="{FF2B5EF4-FFF2-40B4-BE49-F238E27FC236}">
              <a16:creationId xmlns:a16="http://schemas.microsoft.com/office/drawing/2014/main" id="{00000000-0008-0000-0000-000088000000}"/>
            </a:ext>
          </a:extLst>
        </xdr:cNvPr>
        <xdr:cNvSpPr/>
      </xdr:nvSpPr>
      <xdr:spPr>
        <a:xfrm>
          <a:off x="6263640" y="33971369"/>
          <a:ext cx="0"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409743</xdr:colOff>
      <xdr:row>421</xdr:row>
      <xdr:rowOff>83735</xdr:rowOff>
    </xdr:from>
    <xdr:to>
      <xdr:col>26</xdr:col>
      <xdr:colOff>429795</xdr:colOff>
      <xdr:row>421</xdr:row>
      <xdr:rowOff>323792</xdr:rowOff>
    </xdr:to>
    <xdr:sp macro="" textlink="">
      <xdr:nvSpPr>
        <xdr:cNvPr id="137" name="Arrow: Left 136">
          <a:hlinkClick xmlns:r="http://schemas.openxmlformats.org/officeDocument/2006/relationships" r:id="rId2" tooltip="back to Harmony Politics tab"/>
          <a:extLst>
            <a:ext uri="{FF2B5EF4-FFF2-40B4-BE49-F238E27FC236}">
              <a16:creationId xmlns:a16="http://schemas.microsoft.com/office/drawing/2014/main" id="{00000000-0008-0000-0000-000089000000}"/>
            </a:ext>
          </a:extLst>
        </xdr:cNvPr>
        <xdr:cNvSpPr/>
      </xdr:nvSpPr>
      <xdr:spPr>
        <a:xfrm>
          <a:off x="10811043" y="101452595"/>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480863</xdr:colOff>
      <xdr:row>461</xdr:row>
      <xdr:rowOff>60128</xdr:rowOff>
    </xdr:from>
    <xdr:to>
      <xdr:col>26</xdr:col>
      <xdr:colOff>500915</xdr:colOff>
      <xdr:row>461</xdr:row>
      <xdr:rowOff>300185</xdr:rowOff>
    </xdr:to>
    <xdr:sp macro="" textlink="">
      <xdr:nvSpPr>
        <xdr:cNvPr id="138" name="Arrow: Left 137">
          <a:hlinkClick xmlns:r="http://schemas.openxmlformats.org/officeDocument/2006/relationships" r:id="rId2" tooltip="back to Harmony Politics tab"/>
          <a:extLst>
            <a:ext uri="{FF2B5EF4-FFF2-40B4-BE49-F238E27FC236}">
              <a16:creationId xmlns:a16="http://schemas.microsoft.com/office/drawing/2014/main" id="{00000000-0008-0000-0000-00008A000000}"/>
            </a:ext>
          </a:extLst>
        </xdr:cNvPr>
        <xdr:cNvSpPr/>
      </xdr:nvSpPr>
      <xdr:spPr>
        <a:xfrm>
          <a:off x="6263640" y="51037928"/>
          <a:ext cx="0"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492</xdr:row>
      <xdr:rowOff>66104</xdr:rowOff>
    </xdr:from>
    <xdr:to>
      <xdr:col>26</xdr:col>
      <xdr:colOff>488215</xdr:colOff>
      <xdr:row>492</xdr:row>
      <xdr:rowOff>300185</xdr:rowOff>
    </xdr:to>
    <xdr:sp macro="" textlink="">
      <xdr:nvSpPr>
        <xdr:cNvPr id="139" name="Arrow: Left 138">
          <a:hlinkClick xmlns:r="http://schemas.openxmlformats.org/officeDocument/2006/relationships" r:id="rId2" tooltip="back to Harmony Politics tab"/>
          <a:extLst>
            <a:ext uri="{FF2B5EF4-FFF2-40B4-BE49-F238E27FC236}">
              <a16:creationId xmlns:a16="http://schemas.microsoft.com/office/drawing/2014/main" id="{00000000-0008-0000-0000-00008B000000}"/>
            </a:ext>
          </a:extLst>
        </xdr:cNvPr>
        <xdr:cNvSpPr/>
      </xdr:nvSpPr>
      <xdr:spPr>
        <a:xfrm>
          <a:off x="6263640" y="5957068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529</xdr:row>
      <xdr:rowOff>66104</xdr:rowOff>
    </xdr:from>
    <xdr:to>
      <xdr:col>26</xdr:col>
      <xdr:colOff>488215</xdr:colOff>
      <xdr:row>529</xdr:row>
      <xdr:rowOff>300185</xdr:rowOff>
    </xdr:to>
    <xdr:sp macro="" textlink="">
      <xdr:nvSpPr>
        <xdr:cNvPr id="140" name="Arrow: Left 139">
          <a:hlinkClick xmlns:r="http://schemas.openxmlformats.org/officeDocument/2006/relationships" r:id="rId2" tooltip="back to Harmony Politics tab"/>
          <a:extLst>
            <a:ext uri="{FF2B5EF4-FFF2-40B4-BE49-F238E27FC236}">
              <a16:creationId xmlns:a16="http://schemas.microsoft.com/office/drawing/2014/main" id="{00000000-0008-0000-0000-00008C000000}"/>
            </a:ext>
          </a:extLst>
        </xdr:cNvPr>
        <xdr:cNvSpPr/>
      </xdr:nvSpPr>
      <xdr:spPr>
        <a:xfrm>
          <a:off x="6263640" y="6790696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1</xdr:col>
      <xdr:colOff>60960</xdr:colOff>
      <xdr:row>2</xdr:row>
      <xdr:rowOff>182880</xdr:rowOff>
    </xdr:from>
    <xdr:ext cx="5943600" cy="2080260"/>
    <xdr:sp macro="" textlink="">
      <xdr:nvSpPr>
        <xdr:cNvPr id="141" name="Rectangle 140">
          <a:hlinkClick xmlns:r="http://schemas.openxmlformats.org/officeDocument/2006/relationships" r:id="rId10" tooltip="to next page down: table of contents"/>
          <a:extLst>
            <a:ext uri="{FF2B5EF4-FFF2-40B4-BE49-F238E27FC236}">
              <a16:creationId xmlns:a16="http://schemas.microsoft.com/office/drawing/2014/main" id="{00000000-0008-0000-0000-00008D000000}"/>
            </a:ext>
          </a:extLst>
        </xdr:cNvPr>
        <xdr:cNvSpPr/>
      </xdr:nvSpPr>
      <xdr:spPr>
        <a:xfrm>
          <a:off x="175260" y="876300"/>
          <a:ext cx="5943600" cy="2080260"/>
        </a:xfrm>
        <a:prstGeom prst="rect">
          <a:avLst/>
        </a:prstGeom>
        <a:noFill/>
      </xdr:spPr>
      <xdr:txBody>
        <a:bodyPr wrap="square" lIns="91440" tIns="45720" rIns="91440" bIns="45720" anchor="ctr">
          <a:noAutofit/>
        </a:bodyPr>
        <a:lstStyle/>
        <a:p>
          <a:pPr algn="ctr"/>
          <a:r>
            <a:rPr lang="en-US" sz="4800" b="0" cap="none" spc="0" baseline="0">
              <a:ln w="0"/>
              <a:solidFill>
                <a:srgbClr val="A5FFC8"/>
              </a:solidFill>
              <a:effectLst>
                <a:outerShdw blurRad="38100" dist="19050" dir="2700000" algn="tl" rotWithShape="0">
                  <a:schemeClr val="dk1">
                    <a:alpha val="40000"/>
                  </a:schemeClr>
                </a:outerShdw>
              </a:effectLst>
              <a:latin typeface="Arial Black" panose="020B0A04020102020204" pitchFamily="34" charset="0"/>
            </a:rPr>
            <a:t>Harmony</a:t>
          </a:r>
          <a:r>
            <a:rPr lang="en-US" sz="4800" b="0" cap="none" spc="0" baseline="0">
              <a:ln w="0"/>
              <a:solidFill>
                <a:srgbClr val="1E5A28"/>
              </a:solidFill>
              <a:effectLst>
                <a:outerShdw blurRad="38100" dist="19050" dir="2700000" algn="tl" rotWithShape="0">
                  <a:schemeClr val="dk1">
                    <a:alpha val="40000"/>
                  </a:schemeClr>
                </a:outerShdw>
              </a:effectLst>
              <a:latin typeface="Arial Black" panose="020B0A04020102020204" pitchFamily="34" charset="0"/>
            </a:rPr>
            <a:t> </a:t>
          </a:r>
          <a:r>
            <a:rPr lang="en-US" sz="4800" b="0" cap="none" spc="0" baseline="0">
              <a:ln w="0"/>
              <a:solidFill>
                <a:srgbClr val="FFCCFF"/>
              </a:solidFill>
              <a:effectLst>
                <a:outerShdw blurRad="38100" dist="19050" dir="2700000" algn="tl" rotWithShape="0">
                  <a:schemeClr val="dk1">
                    <a:alpha val="40000"/>
                  </a:schemeClr>
                </a:outerShdw>
              </a:effectLst>
              <a:latin typeface="Arial Black" panose="020B0A04020102020204" pitchFamily="34" charset="0"/>
            </a:rPr>
            <a:t>Politics</a:t>
          </a:r>
        </a:p>
        <a:p>
          <a:pPr algn="ctr"/>
          <a:r>
            <a:rPr lang="en-US" sz="5600" b="0" cap="none" spc="0" baseline="0">
              <a:ln w="0"/>
              <a:solidFill>
                <a:schemeClr val="bg1"/>
              </a:solidFill>
              <a:effectLst>
                <a:outerShdw blurRad="38100" dist="19050" dir="2700000" algn="tl" rotWithShape="0">
                  <a:schemeClr val="dk1">
                    <a:alpha val="40000"/>
                  </a:schemeClr>
                </a:outerShdw>
              </a:effectLst>
              <a:latin typeface="Arial Black" panose="020B0A04020102020204" pitchFamily="34" charset="0"/>
            </a:rPr>
            <a:t>advocacy</a:t>
          </a:r>
          <a:endParaRPr lang="en-US" sz="5600" b="0" cap="none" spc="0">
            <a:ln w="0"/>
            <a:solidFill>
              <a:schemeClr val="bg1"/>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oneCellAnchor>
    <xdr:from>
      <xdr:col>1</xdr:col>
      <xdr:colOff>236220</xdr:colOff>
      <xdr:row>9</xdr:row>
      <xdr:rowOff>350520</xdr:rowOff>
    </xdr:from>
    <xdr:ext cx="5650372" cy="587661"/>
    <xdr:sp macro="" textlink="">
      <xdr:nvSpPr>
        <xdr:cNvPr id="142" name="Rectangle 141">
          <a:hlinkClick xmlns:r="http://schemas.openxmlformats.org/officeDocument/2006/relationships" r:id="rId11" tooltip="to HP tab (generic presentation of Harmony Politics)"/>
          <a:extLst>
            <a:ext uri="{FF2B5EF4-FFF2-40B4-BE49-F238E27FC236}">
              <a16:creationId xmlns:a16="http://schemas.microsoft.com/office/drawing/2014/main" id="{00000000-0008-0000-0000-00008E000000}"/>
            </a:ext>
          </a:extLst>
        </xdr:cNvPr>
        <xdr:cNvSpPr/>
      </xdr:nvSpPr>
      <xdr:spPr>
        <a:xfrm>
          <a:off x="350520" y="3710940"/>
          <a:ext cx="5650372" cy="587661"/>
        </a:xfrm>
        <a:prstGeom prst="rect">
          <a:avLst/>
        </a:prstGeom>
        <a:noFill/>
      </xdr:spPr>
      <xdr:txBody>
        <a:bodyPr wrap="square" lIns="91440" tIns="45720" rIns="91440" bIns="45720">
          <a:spAutoFit/>
        </a:bodyPr>
        <a:lstStyle/>
        <a:p>
          <a:pPr algn="l"/>
          <a:r>
            <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With</a:t>
          </a:r>
          <a:r>
            <a:rPr lang="en-US" sz="32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Harmony Politics,</a:t>
          </a:r>
          <a:endPar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2</xdr:col>
      <xdr:colOff>224932</xdr:colOff>
      <xdr:row>11</xdr:row>
      <xdr:rowOff>358140</xdr:rowOff>
    </xdr:from>
    <xdr:ext cx="5120640" cy="835229"/>
    <xdr:sp macro="" textlink="">
      <xdr:nvSpPr>
        <xdr:cNvPr id="143" name="Rectangle 142">
          <a:extLst>
            <a:ext uri="{FF2B5EF4-FFF2-40B4-BE49-F238E27FC236}">
              <a16:creationId xmlns:a16="http://schemas.microsoft.com/office/drawing/2014/main" id="{00000000-0008-0000-0000-00008F000000}"/>
            </a:ext>
          </a:extLst>
        </xdr:cNvPr>
        <xdr:cNvSpPr/>
      </xdr:nvSpPr>
      <xdr:spPr>
        <a:xfrm>
          <a:off x="842152" y="4480560"/>
          <a:ext cx="5120640" cy="835229"/>
        </a:xfrm>
        <a:prstGeom prst="rect">
          <a:avLst/>
        </a:prstGeom>
        <a:noFill/>
      </xdr:spPr>
      <xdr:txBody>
        <a:bodyPr wrap="square" lIns="91440" tIns="45720" rIns="91440" bIns="45720">
          <a:spAutoFit/>
        </a:bodyPr>
        <a:lstStyle/>
        <a:p>
          <a:pPr algn="l"/>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you</a:t>
          </a:r>
          <a:r>
            <a:rPr lang="en-US" sz="24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can address your politicized need with support to resolve it</a:t>
          </a:r>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oneCellAnchor>
  <xdr:twoCellAnchor>
    <xdr:from>
      <xdr:col>14</xdr:col>
      <xdr:colOff>0</xdr:colOff>
      <xdr:row>1046</xdr:row>
      <xdr:rowOff>119427</xdr:rowOff>
    </xdr:from>
    <xdr:to>
      <xdr:col>14</xdr:col>
      <xdr:colOff>0</xdr:colOff>
      <xdr:row>1061</xdr:row>
      <xdr:rowOff>2725</xdr:rowOff>
    </xdr:to>
    <xdr:grpSp>
      <xdr:nvGrpSpPr>
        <xdr:cNvPr id="175" name="Group 174">
          <a:extLst>
            <a:ext uri="{FF2B5EF4-FFF2-40B4-BE49-F238E27FC236}">
              <a16:creationId xmlns:a16="http://schemas.microsoft.com/office/drawing/2014/main" id="{00000000-0008-0000-0000-0000AF000000}"/>
            </a:ext>
          </a:extLst>
        </xdr:cNvPr>
        <xdr:cNvGrpSpPr/>
      </xdr:nvGrpSpPr>
      <xdr:grpSpPr>
        <a:xfrm>
          <a:off x="6263640" y="246077787"/>
          <a:ext cx="0" cy="3266578"/>
          <a:chOff x="6392386" y="162716830"/>
          <a:chExt cx="5979249" cy="3289887"/>
        </a:xfrm>
      </xdr:grpSpPr>
      <xdr:pic>
        <xdr:nvPicPr>
          <xdr:cNvPr id="176" name="Picture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397052" y="163855054"/>
            <a:ext cx="1000502" cy="1013017"/>
          </a:xfrm>
          <a:prstGeom prst="rect">
            <a:avLst/>
          </a:prstGeom>
        </xdr:spPr>
      </xdr:pic>
      <xdr:pic>
        <xdr:nvPicPr>
          <xdr:cNvPr id="177" name="Picture 176">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394666" y="162716830"/>
            <a:ext cx="1000502" cy="1013017"/>
          </a:xfrm>
          <a:prstGeom prst="rect">
            <a:avLst/>
          </a:prstGeom>
        </xdr:spPr>
      </xdr:pic>
      <xdr:pic>
        <xdr:nvPicPr>
          <xdr:cNvPr id="178" name="Picture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392386" y="164993700"/>
            <a:ext cx="1000502" cy="1013017"/>
          </a:xfrm>
          <a:prstGeom prst="rect">
            <a:avLst/>
          </a:prstGeom>
        </xdr:spPr>
      </xdr:pic>
      <xdr:pic>
        <xdr:nvPicPr>
          <xdr:cNvPr id="179" name="Picture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9398978" y="163855477"/>
            <a:ext cx="1000502" cy="1013017"/>
          </a:xfrm>
          <a:prstGeom prst="rect">
            <a:avLst/>
          </a:prstGeom>
        </xdr:spPr>
      </xdr:pic>
      <xdr:pic>
        <xdr:nvPicPr>
          <xdr:cNvPr id="180" name="Picture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396591" y="164988866"/>
            <a:ext cx="1000502" cy="1013017"/>
          </a:xfrm>
          <a:prstGeom prst="rect">
            <a:avLst/>
          </a:prstGeom>
        </xdr:spPr>
      </xdr:pic>
      <xdr:pic>
        <xdr:nvPicPr>
          <xdr:cNvPr id="181" name="Picture 180">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9398559" y="162719247"/>
            <a:ext cx="1000502" cy="1013017"/>
          </a:xfrm>
          <a:prstGeom prst="rect">
            <a:avLst/>
          </a:prstGeom>
        </xdr:spPr>
      </xdr:pic>
      <xdr:sp macro="" textlink="">
        <xdr:nvSpPr>
          <xdr:cNvPr id="182" name="TextBox 181">
            <a:extLst>
              <a:ext uri="{FF2B5EF4-FFF2-40B4-BE49-F238E27FC236}">
                <a16:creationId xmlns:a16="http://schemas.microsoft.com/office/drawing/2014/main" id="{00000000-0008-0000-0000-0000B6000000}"/>
              </a:ext>
            </a:extLst>
          </xdr:cNvPr>
          <xdr:cNvSpPr txBox="1"/>
        </xdr:nvSpPr>
        <xdr:spPr>
          <a:xfrm>
            <a:off x="7405352" y="165013883"/>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Exaction Invoice</a:t>
            </a:r>
          </a:p>
          <a:p>
            <a:r>
              <a:rPr lang="en-US" sz="1000" baseline="0">
                <a:solidFill>
                  <a:schemeClr val="dk1"/>
                </a:solidFill>
                <a:latin typeface="Cambria" panose="02040503050406030204" pitchFamily="18" charset="0"/>
                <a:ea typeface="Cambria" panose="02040503050406030204" pitchFamily="18" charset="0"/>
                <a:cs typeface="+mn-cs"/>
              </a:rPr>
              <a:t>Identify and report hidden costs of  coerced compliance. Put a price on power's negative influence on you. Hold power accountable.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3" name="TextBox 182">
            <a:extLst>
              <a:ext uri="{FF2B5EF4-FFF2-40B4-BE49-F238E27FC236}">
                <a16:creationId xmlns:a16="http://schemas.microsoft.com/office/drawing/2014/main" id="{00000000-0008-0000-0000-0000B7000000}"/>
              </a:ext>
            </a:extLst>
          </xdr:cNvPr>
          <xdr:cNvSpPr txBox="1"/>
        </xdr:nvSpPr>
        <xdr:spPr>
          <a:xfrm>
            <a:off x="7405352" y="162765237"/>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Harmony Politics</a:t>
            </a:r>
          </a:p>
          <a:p>
            <a:r>
              <a:rPr lang="en-US" sz="1000" baseline="0">
                <a:solidFill>
                  <a:schemeClr val="dk1"/>
                </a:solidFill>
                <a:latin typeface="Cambria" panose="02040503050406030204" pitchFamily="18" charset="0"/>
                <a:ea typeface="Cambria" panose="02040503050406030204" pitchFamily="18" charset="0"/>
                <a:cs typeface="+mn-cs"/>
              </a:rPr>
              <a:t>Link your political outlook to your psychosocial and other publicly affected needs. Empathize fully with both politcal sides.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4" name="TextBox 183">
            <a:extLst>
              <a:ext uri="{FF2B5EF4-FFF2-40B4-BE49-F238E27FC236}">
                <a16:creationId xmlns:a16="http://schemas.microsoft.com/office/drawing/2014/main" id="{00000000-0008-0000-0000-0000B8000000}"/>
              </a:ext>
            </a:extLst>
          </xdr:cNvPr>
          <xdr:cNvSpPr txBox="1"/>
        </xdr:nvSpPr>
        <xdr:spPr>
          <a:xfrm>
            <a:off x="10408528" y="162720414"/>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Grow Resilience</a:t>
            </a:r>
          </a:p>
          <a:p>
            <a:r>
              <a:rPr lang="en-US" sz="1000" baseline="0">
                <a:solidFill>
                  <a:schemeClr val="dk1"/>
                </a:solidFill>
                <a:latin typeface="Cambria" panose="02040503050406030204" pitchFamily="18" charset="0"/>
                <a:ea typeface="Cambria" panose="02040503050406030204" pitchFamily="18" charset="0"/>
                <a:cs typeface="+mn-cs"/>
              </a:rPr>
              <a:t>Expand your comfort zone. Help your client grow out of their stifling comfort zone. Resolve more needs. Reach more potential.</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5" name="TextBox 184">
            <a:extLst>
              <a:ext uri="{FF2B5EF4-FFF2-40B4-BE49-F238E27FC236}">
                <a16:creationId xmlns:a16="http://schemas.microsoft.com/office/drawing/2014/main" id="{00000000-0008-0000-0000-0000B9000000}"/>
              </a:ext>
            </a:extLst>
          </xdr:cNvPr>
          <xdr:cNvSpPr txBox="1"/>
        </xdr:nvSpPr>
        <xdr:spPr>
          <a:xfrm>
            <a:off x="10408528"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Legitimacy Audit</a:t>
            </a:r>
          </a:p>
          <a:p>
            <a:r>
              <a:rPr lang="en-US" sz="1000" baseline="0">
                <a:solidFill>
                  <a:schemeClr val="dk1"/>
                </a:solidFill>
                <a:latin typeface="Cambria" panose="02040503050406030204" pitchFamily="18" charset="0"/>
                <a:ea typeface="Cambria" panose="02040503050406030204" pitchFamily="18" charset="0"/>
                <a:cs typeface="+mn-cs"/>
              </a:rPr>
              <a:t>Check various authority's level of responsiveness to entrusted needs. Link that gaged responsiveness to how willingly involved in your life.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6" name="TextBox 185">
            <a:extLst>
              <a:ext uri="{FF2B5EF4-FFF2-40B4-BE49-F238E27FC236}">
                <a16:creationId xmlns:a16="http://schemas.microsoft.com/office/drawing/2014/main" id="{00000000-0008-0000-0000-0000BA000000}"/>
              </a:ext>
            </a:extLst>
          </xdr:cNvPr>
          <xdr:cNvSpPr txBox="1"/>
        </xdr:nvSpPr>
        <xdr:spPr>
          <a:xfrm>
            <a:off x="7405351"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Four Seasons</a:t>
            </a:r>
          </a:p>
          <a:p>
            <a:r>
              <a:rPr lang="en-US" sz="1000" baseline="0">
                <a:solidFill>
                  <a:schemeClr val="dk1"/>
                </a:solidFill>
                <a:latin typeface="Cambria" panose="02040503050406030204" pitchFamily="18" charset="0"/>
                <a:ea typeface="Cambria" panose="02040503050406030204" pitchFamily="18" charset="0"/>
                <a:cs typeface="+mn-cs"/>
              </a:rPr>
              <a:t>Enter your birthdate and see your life's seasonal patterns. See how your affected psychosocial needs shapes your political outtlook.</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7" name="TextBox 186">
            <a:extLst>
              <a:ext uri="{FF2B5EF4-FFF2-40B4-BE49-F238E27FC236}">
                <a16:creationId xmlns:a16="http://schemas.microsoft.com/office/drawing/2014/main" id="{00000000-0008-0000-0000-0000BB000000}"/>
              </a:ext>
            </a:extLst>
          </xdr:cNvPr>
          <xdr:cNvSpPr txBox="1"/>
        </xdr:nvSpPr>
        <xdr:spPr>
          <a:xfrm>
            <a:off x="10408528" y="16500641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Liberty Avowal</a:t>
            </a:r>
          </a:p>
          <a:p>
            <a:r>
              <a:rPr lang="en-US" sz="1000" baseline="0">
                <a:solidFill>
                  <a:schemeClr val="dk1"/>
                </a:solidFill>
                <a:latin typeface="Cambria" panose="02040503050406030204" pitchFamily="18" charset="0"/>
                <a:ea typeface="Cambria" panose="02040503050406030204" pitchFamily="18" charset="0"/>
                <a:cs typeface="+mn-cs"/>
              </a:rPr>
              <a:t>Declare your liberty resolve needs. Replace alienation of impersonal norms with a loving passion to resolve each other's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8" name="TextBox 187">
            <a:extLst>
              <a:ext uri="{FF2B5EF4-FFF2-40B4-BE49-F238E27FC236}">
                <a16:creationId xmlns:a16="http://schemas.microsoft.com/office/drawing/2014/main" id="{00000000-0008-0000-0000-0000BC000000}"/>
              </a:ext>
            </a:extLst>
          </xdr:cNvPr>
          <xdr:cNvSpPr txBox="1"/>
        </xdr:nvSpPr>
        <xdr:spPr>
          <a:xfrm>
            <a:off x="10400944" y="16273576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Innocence Validity</a:t>
            </a:r>
          </a:p>
          <a:p>
            <a:r>
              <a:rPr lang="en-US" sz="1000" baseline="0">
                <a:solidFill>
                  <a:schemeClr val="dk1"/>
                </a:solidFill>
                <a:latin typeface="Cambria" panose="02040503050406030204" pitchFamily="18" charset="0"/>
                <a:ea typeface="Cambria" panose="02040503050406030204" pitchFamily="18" charset="0"/>
                <a:cs typeface="+mn-cs"/>
              </a:rPr>
              <a:t>For the countless wrongly convicted who are not yet exonerated. Enter case details, and share its calculated estimate of innocence with others.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grpSp>
    <xdr:clientData/>
  </xdr:twoCellAnchor>
  <xdr:twoCellAnchor>
    <xdr:from>
      <xdr:col>1</xdr:col>
      <xdr:colOff>11071</xdr:colOff>
      <xdr:row>1074</xdr:row>
      <xdr:rowOff>13593</xdr:rowOff>
    </xdr:from>
    <xdr:to>
      <xdr:col>13</xdr:col>
      <xdr:colOff>12326</xdr:colOff>
      <xdr:row>1077</xdr:row>
      <xdr:rowOff>113101</xdr:rowOff>
    </xdr:to>
    <xdr:sp macro="" textlink="">
      <xdr:nvSpPr>
        <xdr:cNvPr id="190" name="TextBox 189">
          <a:hlinkClick xmlns:r="http://schemas.openxmlformats.org/officeDocument/2006/relationships" r:id="rId18" tooltip="go to Value Relating website"/>
          <a:extLst>
            <a:ext uri="{FF2B5EF4-FFF2-40B4-BE49-F238E27FC236}">
              <a16:creationId xmlns:a16="http://schemas.microsoft.com/office/drawing/2014/main" id="{00000000-0008-0000-0000-0000BE000000}"/>
            </a:ext>
          </a:extLst>
        </xdr:cNvPr>
        <xdr:cNvSpPr txBox="1"/>
      </xdr:nvSpPr>
      <xdr:spPr>
        <a:xfrm>
          <a:off x="125371" y="168933753"/>
          <a:ext cx="6036295" cy="510988"/>
        </a:xfrm>
        <a:prstGeom prst="rect">
          <a:avLst/>
        </a:prstGeom>
        <a:gradFill flip="none" rotWithShape="1">
          <a:gsLst>
            <a:gs pos="35000">
              <a:srgbClr val="E1FFEB"/>
            </a:gs>
            <a:gs pos="0">
              <a:srgbClr val="E1FFEB"/>
            </a:gs>
            <a:gs pos="75000">
              <a:srgbClr val="64FFA5">
                <a:shade val="67500"/>
                <a:satMod val="115000"/>
              </a:srgbClr>
            </a:gs>
            <a:gs pos="100000">
              <a:srgbClr val="64FFA5">
                <a:shade val="100000"/>
                <a:satMod val="115000"/>
              </a:srgbClr>
            </a:gs>
          </a:gsLst>
          <a:path path="circle">
            <a:fillToRect l="50000" t="50000" r="50000" b="50000"/>
          </a:path>
          <a:tileRect/>
        </a:gradFill>
        <a:ln w="12700" cmpd="sng">
          <a:solidFill>
            <a:srgbClr val="A0FFCD"/>
          </a:solidFill>
        </a:ln>
        <a:effectLst>
          <a:glow rad="25400">
            <a:srgbClr val="E1FFEB"/>
          </a:glow>
        </a:effectLst>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ctr"/>
        <a:lstStyle/>
        <a:p>
          <a:pPr algn="ctr"/>
          <a:r>
            <a:rPr lang="en-US" sz="2000" b="1">
              <a:ln>
                <a:solidFill>
                  <a:srgbClr val="004623"/>
                </a:solidFill>
              </a:ln>
              <a:solidFill>
                <a:srgbClr val="00C864"/>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Value</a:t>
          </a:r>
          <a:r>
            <a:rPr lang="en-US" sz="2000" b="1">
              <a:solidFill>
                <a:srgbClr val="2D143C"/>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 </a:t>
          </a:r>
          <a:r>
            <a:rPr lang="en-US" sz="2000" b="1">
              <a:ln>
                <a:solidFill>
                  <a:srgbClr val="2D143C"/>
                </a:solidFill>
              </a:ln>
              <a:solidFill>
                <a:srgbClr val="7030A0"/>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Relating</a:t>
          </a:r>
        </a:p>
        <a:p>
          <a:pPr algn="ctr"/>
          <a:r>
            <a:rPr lang="en-US" sz="100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solving problems by resolving</a:t>
          </a:r>
          <a:r>
            <a:rPr lang="en-US" sz="1000" b="1" spc="-20" baseline="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 needs</a:t>
          </a:r>
          <a:endParaRPr lang="en-US" sz="105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endParaRPr>
        </a:p>
      </xdr:txBody>
    </xdr:sp>
    <xdr:clientData/>
  </xdr:twoCellAnchor>
  <xdr:twoCellAnchor>
    <xdr:from>
      <xdr:col>0</xdr:col>
      <xdr:colOff>107452</xdr:colOff>
      <xdr:row>1071</xdr:row>
      <xdr:rowOff>255050</xdr:rowOff>
    </xdr:from>
    <xdr:to>
      <xdr:col>12</xdr:col>
      <xdr:colOff>497178</xdr:colOff>
      <xdr:row>1073</xdr:row>
      <xdr:rowOff>407450</xdr:rowOff>
    </xdr:to>
    <xdr:grpSp>
      <xdr:nvGrpSpPr>
        <xdr:cNvPr id="202" name="Group 201">
          <a:extLst>
            <a:ext uri="{FF2B5EF4-FFF2-40B4-BE49-F238E27FC236}">
              <a16:creationId xmlns:a16="http://schemas.microsoft.com/office/drawing/2014/main" id="{00000000-0008-0000-0000-0000CA000000}"/>
            </a:ext>
          </a:extLst>
        </xdr:cNvPr>
        <xdr:cNvGrpSpPr/>
      </xdr:nvGrpSpPr>
      <xdr:grpSpPr>
        <a:xfrm>
          <a:off x="107452" y="251981750"/>
          <a:ext cx="6036146" cy="906780"/>
          <a:chOff x="99981" y="169615972"/>
          <a:chExt cx="6007608" cy="914400"/>
        </a:xfrm>
      </xdr:grpSpPr>
      <xdr:sp macro="" textlink="">
        <xdr:nvSpPr>
          <xdr:cNvPr id="203" name="TextBox 202">
            <a:extLst>
              <a:ext uri="{FF2B5EF4-FFF2-40B4-BE49-F238E27FC236}">
                <a16:creationId xmlns:a16="http://schemas.microsoft.com/office/drawing/2014/main" id="{00000000-0008-0000-0000-0000CB000000}"/>
              </a:ext>
            </a:extLst>
          </xdr:cNvPr>
          <xdr:cNvSpPr txBox="1"/>
        </xdr:nvSpPr>
        <xdr:spPr>
          <a:xfrm>
            <a:off x="99981" y="169615972"/>
            <a:ext cx="6007608" cy="914400"/>
          </a:xfrm>
          <a:prstGeom prst="rect">
            <a:avLst/>
          </a:prstGeom>
          <a:solidFill>
            <a:srgbClr val="00823C"/>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Ins="914400" rtlCol="0" anchor="t"/>
          <a:lstStyle/>
          <a:p>
            <a:r>
              <a:rPr lang="en-US" sz="1000" b="1">
                <a:solidFill>
                  <a:srgbClr val="E1FFEB"/>
                </a:solidFill>
                <a:latin typeface="Tahoma" panose="020B0604030504040204" pitchFamily="34" charset="0"/>
                <a:ea typeface="Tahoma" panose="020B0604030504040204" pitchFamily="34" charset="0"/>
                <a:cs typeface="Tahoma" panose="020B0604030504040204" pitchFamily="34" charset="0"/>
              </a:rPr>
              <a:t>Steph Turner </a:t>
            </a:r>
            <a:r>
              <a:rPr lang="en-US" sz="1000">
                <a:solidFill>
                  <a:srgbClr val="E1FFEB"/>
                </a:solidFill>
                <a:latin typeface="Tahoma" panose="020B0604030504040204" pitchFamily="34" charset="0"/>
                <a:ea typeface="Tahoma" panose="020B0604030504040204" pitchFamily="34" charset="0"/>
                <a:cs typeface="Tahoma" panose="020B0604030504040204" pitchFamily="34" charset="0"/>
              </a:rPr>
              <a:t>is neither liberal nor conservative,</a:t>
            </a:r>
            <a:r>
              <a:rPr lang="en-US" sz="1000" baseline="0">
                <a:solidFill>
                  <a:srgbClr val="E1FFEB"/>
                </a:solidFill>
                <a:latin typeface="Tahoma" panose="020B0604030504040204" pitchFamily="34" charset="0"/>
                <a:ea typeface="Tahoma" panose="020B0604030504040204" pitchFamily="34" charset="0"/>
                <a:cs typeface="Tahoma" panose="020B0604030504040204" pitchFamily="34" charset="0"/>
              </a:rPr>
              <a:t> but "transpolitical." Steph identifies as a "transspirit" who is spiritually compelled to transcend divisive categories, to integrate complementary sides into a resolving whole. That includes transcending the generalized political left-rigth binary and transcending the generalized politial populace-elite binary. </a:t>
            </a:r>
            <a:endParaRPr lang="en-US" sz="1000">
              <a:solidFill>
                <a:srgbClr val="E1FFEB"/>
              </a:solidFill>
              <a:latin typeface="Tahoma" panose="020B0604030504040204" pitchFamily="34" charset="0"/>
              <a:ea typeface="Tahoma" panose="020B0604030504040204" pitchFamily="34" charset="0"/>
              <a:cs typeface="Tahoma" panose="020B0604030504040204" pitchFamily="34" charset="0"/>
            </a:endParaRPr>
          </a:p>
        </xdr:txBody>
      </xdr:sp>
      <xdr:pic>
        <xdr:nvPicPr>
          <xdr:cNvPr id="204" name="Picture 203">
            <a:hlinkClick xmlns:r="http://schemas.openxmlformats.org/officeDocument/2006/relationships" r:id="rId19" tooltip="to About page at Value Relating"/>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277251" y="169664528"/>
            <a:ext cx="774756" cy="772467"/>
          </a:xfrm>
          <a:prstGeom prst="rect">
            <a:avLst/>
          </a:prstGeom>
          <a:effectLst>
            <a:outerShdw blurRad="63500" sx="102000" sy="102000" algn="ctr" rotWithShape="0">
              <a:prstClr val="black">
                <a:alpha val="40000"/>
              </a:prstClr>
            </a:outerShdw>
            <a:softEdge rad="31750"/>
          </a:effectLst>
        </xdr:spPr>
      </xdr:pic>
    </xdr:grpSp>
    <xdr:clientData/>
  </xdr:twoCellAnchor>
  <xdr:twoCellAnchor>
    <xdr:from>
      <xdr:col>0</xdr:col>
      <xdr:colOff>112058</xdr:colOff>
      <xdr:row>1067</xdr:row>
      <xdr:rowOff>140075</xdr:rowOff>
    </xdr:from>
    <xdr:to>
      <xdr:col>13</xdr:col>
      <xdr:colOff>1254</xdr:colOff>
      <xdr:row>1071</xdr:row>
      <xdr:rowOff>201944</xdr:rowOff>
    </xdr:to>
    <xdr:grpSp>
      <xdr:nvGrpSpPr>
        <xdr:cNvPr id="205" name="Group 204">
          <a:extLst>
            <a:ext uri="{FF2B5EF4-FFF2-40B4-BE49-F238E27FC236}">
              <a16:creationId xmlns:a16="http://schemas.microsoft.com/office/drawing/2014/main" id="{00000000-0008-0000-0000-0000CD000000}"/>
            </a:ext>
          </a:extLst>
        </xdr:cNvPr>
        <xdr:cNvGrpSpPr/>
      </xdr:nvGrpSpPr>
      <xdr:grpSpPr>
        <a:xfrm>
          <a:off x="112058" y="250860935"/>
          <a:ext cx="6038536" cy="1067709"/>
          <a:chOff x="112058" y="166022096"/>
          <a:chExt cx="6007608" cy="1072939"/>
        </a:xfrm>
      </xdr:grpSpPr>
      <xdr:sp macro="" textlink="">
        <xdr:nvSpPr>
          <xdr:cNvPr id="206" name="Text Box 1">
            <a:hlinkClick xmlns:r="http://schemas.openxmlformats.org/officeDocument/2006/relationships" r:id="rId21"/>
            <a:extLst>
              <a:ext uri="{FF2B5EF4-FFF2-40B4-BE49-F238E27FC236}">
                <a16:creationId xmlns:a16="http://schemas.microsoft.com/office/drawing/2014/main" id="{00000000-0008-0000-0000-0000CE000000}"/>
              </a:ext>
            </a:extLst>
          </xdr:cNvPr>
          <xdr:cNvSpPr txBox="1"/>
        </xdr:nvSpPr>
        <xdr:spPr>
          <a:xfrm>
            <a:off x="112058" y="166133979"/>
            <a:ext cx="6007608" cy="833697"/>
          </a:xfrm>
          <a:prstGeom prst="rect">
            <a:avLst/>
          </a:prstGeom>
          <a:solidFill>
            <a:srgbClr val="E29BFF"/>
          </a:solidFill>
          <a:ln w="6350">
            <a:noFill/>
          </a:ln>
          <a:effectLst/>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2400" b="1" spc="100" baseline="0">
                <a:solidFill>
                  <a:srgbClr val="281437"/>
                </a:solidFill>
                <a:effectLst/>
                <a:latin typeface="Tahoma" panose="020B0604030504040204" pitchFamily="34" charset="0"/>
                <a:ea typeface="Tahoma" panose="020B0604030504040204" pitchFamily="34" charset="0"/>
                <a:cs typeface="Tahoma" panose="020B0604030504040204" pitchFamily="34" charset="0"/>
              </a:rPr>
              <a:t>You NEED This</a:t>
            </a:r>
          </a:p>
          <a:p>
            <a:pPr marL="0" marR="0" algn="r">
              <a:spcBef>
                <a:spcPts val="0"/>
              </a:spcBef>
              <a:spcAft>
                <a:spcPts val="0"/>
              </a:spcAft>
            </a:pPr>
            <a:r>
              <a:rPr lang="en-US" sz="1200" b="1">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Introducing</a:t>
            </a:r>
            <a:r>
              <a:rPr lang="en-US" sz="1200" b="1" baseline="0">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 Anankelogy, the study of need</a:t>
            </a:r>
            <a:endParaRPr lang="en-US" sz="1200">
              <a:solidFill>
                <a:srgbClr val="281437"/>
              </a:solidFill>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r">
              <a:spcBef>
                <a:spcPts val="0"/>
              </a:spcBef>
              <a:spcAft>
                <a:spcPts val="0"/>
              </a:spcAft>
            </a:pPr>
            <a:r>
              <a:rPr lang="en-US" sz="900">
                <a:effectLst/>
                <a:latin typeface="Tahoma" panose="020B0604030504040204" pitchFamily="34" charset="0"/>
                <a:ea typeface="Tahoma" panose="020B0604030504040204" pitchFamily="34" charset="0"/>
                <a:cs typeface="Tahoma" panose="020B0604030504040204" pitchFamily="34" charset="0"/>
              </a:rPr>
              <a:t>Set for</a:t>
            </a:r>
            <a:r>
              <a:rPr lang="en-US" sz="900" baseline="0">
                <a:effectLst/>
                <a:latin typeface="Tahoma" panose="020B0604030504040204" pitchFamily="34" charset="0"/>
                <a:ea typeface="Tahoma" panose="020B0604030504040204" pitchFamily="34" charset="0"/>
                <a:cs typeface="Tahoma" panose="020B0604030504040204" pitchFamily="34" charset="0"/>
              </a:rPr>
              <a:t> publication on June 20, 2021.</a:t>
            </a:r>
            <a:endParaRPr lang="en-US" sz="900">
              <a:effectLst/>
              <a:latin typeface="Tahoma" panose="020B0604030504040204" pitchFamily="34" charset="0"/>
              <a:ea typeface="Tahoma" panose="020B0604030504040204" pitchFamily="34" charset="0"/>
              <a:cs typeface="Tahoma" panose="020B0604030504040204" pitchFamily="34" charset="0"/>
            </a:endParaRPr>
          </a:p>
        </xdr:txBody>
      </xdr:sp>
      <xdr:pic>
        <xdr:nvPicPr>
          <xdr:cNvPr id="207" name="Picture 206">
            <a:hlinkClick xmlns:r="http://schemas.openxmlformats.org/officeDocument/2006/relationships" r:id="rId21"/>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22"/>
          <a:stretch>
            <a:fillRect/>
          </a:stretch>
        </xdr:blipFill>
        <xdr:spPr>
          <a:xfrm rot="295834">
            <a:off x="247342" y="166022096"/>
            <a:ext cx="713748" cy="1072939"/>
          </a:xfrm>
          <a:prstGeom prst="rect">
            <a:avLst/>
          </a:prstGeom>
          <a:effectLst>
            <a:outerShdw blurRad="50800" dist="38100" dir="2700000" algn="tl" rotWithShape="0">
              <a:prstClr val="black">
                <a:alpha val="40000"/>
              </a:prstClr>
            </a:outerShdw>
          </a:effectLst>
        </xdr:spPr>
      </xdr:pic>
      <xdr:sp macro="" textlink="">
        <xdr:nvSpPr>
          <xdr:cNvPr id="208" name="Rectangle: Rounded Corners 207">
            <a:hlinkClick xmlns:r="http://schemas.openxmlformats.org/officeDocument/2006/relationships" r:id="rId21"/>
            <a:extLst>
              <a:ext uri="{FF2B5EF4-FFF2-40B4-BE49-F238E27FC236}">
                <a16:creationId xmlns:a16="http://schemas.microsoft.com/office/drawing/2014/main" id="{00000000-0008-0000-0000-0000D0000000}"/>
              </a:ext>
            </a:extLst>
          </xdr:cNvPr>
          <xdr:cNvSpPr/>
        </xdr:nvSpPr>
        <xdr:spPr>
          <a:xfrm>
            <a:off x="1172883" y="166190707"/>
            <a:ext cx="1576295" cy="724647"/>
          </a:xfrm>
          <a:prstGeom prst="roundRect">
            <a:avLst>
              <a:gd name="adj" fmla="val 50000"/>
            </a:avLst>
          </a:prstGeom>
          <a:solidFill>
            <a:srgbClr val="78FFB4"/>
          </a:solidFill>
          <a:ln w="57150">
            <a:solidFill>
              <a:schemeClr val="bg1"/>
            </a:solidFill>
          </a:ln>
          <a:effectLst>
            <a:innerShdw blurRad="114300">
              <a:prstClr val="black"/>
            </a:innerShdw>
          </a:effectLst>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000">
                <a:effectLst/>
                <a:latin typeface="Tahoma" panose="020B0604030504040204" pitchFamily="34" charset="0"/>
                <a:ea typeface="Tahoma" panose="020B0604030504040204" pitchFamily="34" charset="0"/>
                <a:cs typeface="Tahoma" panose="020B0604030504040204" pitchFamily="34" charset="0"/>
              </a:rPr>
              <a:t>Steph is also the author of the forthcoming</a:t>
            </a:r>
            <a:r>
              <a:rPr lang="en-US" sz="1000" baseline="0">
                <a:effectLst/>
                <a:latin typeface="Tahoma" panose="020B0604030504040204" pitchFamily="34" charset="0"/>
                <a:ea typeface="Tahoma" panose="020B0604030504040204" pitchFamily="34" charset="0"/>
                <a:cs typeface="Tahoma" panose="020B0604030504040204" pitchFamily="34" charset="0"/>
              </a:rPr>
              <a:t> book </a:t>
            </a:r>
            <a:r>
              <a:rPr lang="en-US" sz="1000" b="1" i="1" baseline="0">
                <a:effectLst/>
                <a:latin typeface="Tahoma" panose="020B0604030504040204" pitchFamily="34" charset="0"/>
                <a:ea typeface="Tahoma" panose="020B0604030504040204" pitchFamily="34" charset="0"/>
                <a:cs typeface="Tahoma" panose="020B0604030504040204" pitchFamily="34" charset="0"/>
              </a:rPr>
              <a:t>You NEED This</a:t>
            </a:r>
            <a:r>
              <a:rPr lang="en-US" sz="1000" baseline="0">
                <a:effectLst/>
                <a:latin typeface="Tahoma" panose="020B0604030504040204" pitchFamily="34" charset="0"/>
                <a:ea typeface="Tahoma" panose="020B0604030504040204" pitchFamily="34" charset="0"/>
                <a:cs typeface="Tahoma" panose="020B0604030504040204" pitchFamily="34" charset="0"/>
              </a:rPr>
              <a:t>. </a:t>
            </a:r>
            <a:endParaRPr lang="en-US" sz="6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23</xdr:col>
      <xdr:colOff>468163</xdr:colOff>
      <xdr:row>567</xdr:row>
      <xdr:rowOff>66104</xdr:rowOff>
    </xdr:from>
    <xdr:to>
      <xdr:col>26</xdr:col>
      <xdr:colOff>488215</xdr:colOff>
      <xdr:row>567</xdr:row>
      <xdr:rowOff>300185</xdr:rowOff>
    </xdr:to>
    <xdr:sp macro="" textlink="">
      <xdr:nvSpPr>
        <xdr:cNvPr id="210" name="Arrow: Left 209">
          <a:hlinkClick xmlns:r="http://schemas.openxmlformats.org/officeDocument/2006/relationships" r:id="rId2" tooltip="back to Harmony Politics tab"/>
          <a:extLst>
            <a:ext uri="{FF2B5EF4-FFF2-40B4-BE49-F238E27FC236}">
              <a16:creationId xmlns:a16="http://schemas.microsoft.com/office/drawing/2014/main" id="{00000000-0008-0000-0000-0000D2000000}"/>
            </a:ext>
          </a:extLst>
        </xdr:cNvPr>
        <xdr:cNvSpPr/>
      </xdr:nvSpPr>
      <xdr:spPr>
        <a:xfrm>
          <a:off x="6263640" y="7644136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748</xdr:row>
      <xdr:rowOff>66104</xdr:rowOff>
    </xdr:from>
    <xdr:to>
      <xdr:col>26</xdr:col>
      <xdr:colOff>488215</xdr:colOff>
      <xdr:row>748</xdr:row>
      <xdr:rowOff>300185</xdr:rowOff>
    </xdr:to>
    <xdr:sp macro="" textlink="">
      <xdr:nvSpPr>
        <xdr:cNvPr id="211" name="Arrow: Left 210">
          <a:hlinkClick xmlns:r="http://schemas.openxmlformats.org/officeDocument/2006/relationships" r:id="rId2" tooltip="back to Harmony Politics tab"/>
          <a:extLst>
            <a:ext uri="{FF2B5EF4-FFF2-40B4-BE49-F238E27FC236}">
              <a16:creationId xmlns:a16="http://schemas.microsoft.com/office/drawing/2014/main" id="{00000000-0008-0000-0000-0000D3000000}"/>
            </a:ext>
          </a:extLst>
        </xdr:cNvPr>
        <xdr:cNvSpPr/>
      </xdr:nvSpPr>
      <xdr:spPr>
        <a:xfrm>
          <a:off x="6263640" y="8496052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782</xdr:row>
      <xdr:rowOff>66104</xdr:rowOff>
    </xdr:from>
    <xdr:to>
      <xdr:col>26</xdr:col>
      <xdr:colOff>488215</xdr:colOff>
      <xdr:row>782</xdr:row>
      <xdr:rowOff>300185</xdr:rowOff>
    </xdr:to>
    <xdr:sp macro="" textlink="">
      <xdr:nvSpPr>
        <xdr:cNvPr id="212" name="Arrow: Left 211">
          <a:hlinkClick xmlns:r="http://schemas.openxmlformats.org/officeDocument/2006/relationships" r:id="rId2" tooltip="back to Harmony Politics tab"/>
          <a:extLst>
            <a:ext uri="{FF2B5EF4-FFF2-40B4-BE49-F238E27FC236}">
              <a16:creationId xmlns:a16="http://schemas.microsoft.com/office/drawing/2014/main" id="{00000000-0008-0000-0000-0000D4000000}"/>
            </a:ext>
          </a:extLst>
        </xdr:cNvPr>
        <xdr:cNvSpPr/>
      </xdr:nvSpPr>
      <xdr:spPr>
        <a:xfrm>
          <a:off x="6263640" y="10180072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818</xdr:row>
      <xdr:rowOff>66104</xdr:rowOff>
    </xdr:from>
    <xdr:to>
      <xdr:col>26</xdr:col>
      <xdr:colOff>488215</xdr:colOff>
      <xdr:row>818</xdr:row>
      <xdr:rowOff>300185</xdr:rowOff>
    </xdr:to>
    <xdr:sp macro="" textlink="">
      <xdr:nvSpPr>
        <xdr:cNvPr id="213" name="Arrow: Left 212">
          <a:hlinkClick xmlns:r="http://schemas.openxmlformats.org/officeDocument/2006/relationships" r:id="rId2" tooltip="back to Harmony Politics tab"/>
          <a:extLst>
            <a:ext uri="{FF2B5EF4-FFF2-40B4-BE49-F238E27FC236}">
              <a16:creationId xmlns:a16="http://schemas.microsoft.com/office/drawing/2014/main" id="{00000000-0008-0000-0000-0000D5000000}"/>
            </a:ext>
          </a:extLst>
        </xdr:cNvPr>
        <xdr:cNvSpPr/>
      </xdr:nvSpPr>
      <xdr:spPr>
        <a:xfrm>
          <a:off x="6263640" y="11022082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853</xdr:row>
      <xdr:rowOff>66104</xdr:rowOff>
    </xdr:from>
    <xdr:to>
      <xdr:col>26</xdr:col>
      <xdr:colOff>488215</xdr:colOff>
      <xdr:row>853</xdr:row>
      <xdr:rowOff>300185</xdr:rowOff>
    </xdr:to>
    <xdr:sp macro="" textlink="">
      <xdr:nvSpPr>
        <xdr:cNvPr id="214" name="Arrow: Left 213">
          <a:hlinkClick xmlns:r="http://schemas.openxmlformats.org/officeDocument/2006/relationships" r:id="rId2" tooltip="back to Harmony Politics tab"/>
          <a:extLst>
            <a:ext uri="{FF2B5EF4-FFF2-40B4-BE49-F238E27FC236}">
              <a16:creationId xmlns:a16="http://schemas.microsoft.com/office/drawing/2014/main" id="{00000000-0008-0000-0000-0000D6000000}"/>
            </a:ext>
          </a:extLst>
        </xdr:cNvPr>
        <xdr:cNvSpPr/>
      </xdr:nvSpPr>
      <xdr:spPr>
        <a:xfrm>
          <a:off x="6263640" y="1186104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892</xdr:row>
      <xdr:rowOff>66104</xdr:rowOff>
    </xdr:from>
    <xdr:to>
      <xdr:col>26</xdr:col>
      <xdr:colOff>488215</xdr:colOff>
      <xdr:row>892</xdr:row>
      <xdr:rowOff>300185</xdr:rowOff>
    </xdr:to>
    <xdr:sp macro="" textlink="">
      <xdr:nvSpPr>
        <xdr:cNvPr id="215" name="Arrow: Left 214">
          <a:hlinkClick xmlns:r="http://schemas.openxmlformats.org/officeDocument/2006/relationships" r:id="rId2" tooltip="back to Harmony Politics tab"/>
          <a:extLst>
            <a:ext uri="{FF2B5EF4-FFF2-40B4-BE49-F238E27FC236}">
              <a16:creationId xmlns:a16="http://schemas.microsoft.com/office/drawing/2014/main" id="{00000000-0008-0000-0000-0000D7000000}"/>
            </a:ext>
          </a:extLst>
        </xdr:cNvPr>
        <xdr:cNvSpPr/>
      </xdr:nvSpPr>
      <xdr:spPr>
        <a:xfrm>
          <a:off x="6263640" y="1271448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965</xdr:row>
      <xdr:rowOff>66104</xdr:rowOff>
    </xdr:from>
    <xdr:to>
      <xdr:col>26</xdr:col>
      <xdr:colOff>488215</xdr:colOff>
      <xdr:row>965</xdr:row>
      <xdr:rowOff>300185</xdr:rowOff>
    </xdr:to>
    <xdr:sp macro="" textlink="">
      <xdr:nvSpPr>
        <xdr:cNvPr id="216" name="Arrow: Left 215">
          <a:hlinkClick xmlns:r="http://schemas.openxmlformats.org/officeDocument/2006/relationships" r:id="rId2" tooltip="back to Harmony Politics tab"/>
          <a:extLst>
            <a:ext uri="{FF2B5EF4-FFF2-40B4-BE49-F238E27FC236}">
              <a16:creationId xmlns:a16="http://schemas.microsoft.com/office/drawing/2014/main" id="{00000000-0008-0000-0000-0000D8000000}"/>
            </a:ext>
          </a:extLst>
        </xdr:cNvPr>
        <xdr:cNvSpPr/>
      </xdr:nvSpPr>
      <xdr:spPr>
        <a:xfrm>
          <a:off x="6263640" y="1356792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1008</xdr:row>
      <xdr:rowOff>66104</xdr:rowOff>
    </xdr:from>
    <xdr:to>
      <xdr:col>26</xdr:col>
      <xdr:colOff>488215</xdr:colOff>
      <xdr:row>1008</xdr:row>
      <xdr:rowOff>300185</xdr:rowOff>
    </xdr:to>
    <xdr:sp macro="" textlink="">
      <xdr:nvSpPr>
        <xdr:cNvPr id="217" name="Arrow: Left 216">
          <a:hlinkClick xmlns:r="http://schemas.openxmlformats.org/officeDocument/2006/relationships" r:id="rId2" tooltip="back to Harmony Politics tab"/>
          <a:extLst>
            <a:ext uri="{FF2B5EF4-FFF2-40B4-BE49-F238E27FC236}">
              <a16:creationId xmlns:a16="http://schemas.microsoft.com/office/drawing/2014/main" id="{00000000-0008-0000-0000-0000D9000000}"/>
            </a:ext>
          </a:extLst>
        </xdr:cNvPr>
        <xdr:cNvSpPr/>
      </xdr:nvSpPr>
      <xdr:spPr>
        <a:xfrm>
          <a:off x="6263640" y="14419078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930</xdr:row>
      <xdr:rowOff>66104</xdr:rowOff>
    </xdr:from>
    <xdr:to>
      <xdr:col>26</xdr:col>
      <xdr:colOff>488215</xdr:colOff>
      <xdr:row>930</xdr:row>
      <xdr:rowOff>300185</xdr:rowOff>
    </xdr:to>
    <xdr:sp macro="" textlink="">
      <xdr:nvSpPr>
        <xdr:cNvPr id="218" name="Arrow: Left 217">
          <a:hlinkClick xmlns:r="http://schemas.openxmlformats.org/officeDocument/2006/relationships" r:id="rId2" tooltip="back to Harmony Politics tab"/>
          <a:extLst>
            <a:ext uri="{FF2B5EF4-FFF2-40B4-BE49-F238E27FC236}">
              <a16:creationId xmlns:a16="http://schemas.microsoft.com/office/drawing/2014/main" id="{00000000-0008-0000-0000-0000DA000000}"/>
            </a:ext>
          </a:extLst>
        </xdr:cNvPr>
        <xdr:cNvSpPr/>
      </xdr:nvSpPr>
      <xdr:spPr>
        <a:xfrm>
          <a:off x="6263640" y="1526718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1043</xdr:row>
      <xdr:rowOff>66104</xdr:rowOff>
    </xdr:from>
    <xdr:to>
      <xdr:col>26</xdr:col>
      <xdr:colOff>488215</xdr:colOff>
      <xdr:row>1043</xdr:row>
      <xdr:rowOff>300185</xdr:rowOff>
    </xdr:to>
    <xdr:sp macro="" textlink="">
      <xdr:nvSpPr>
        <xdr:cNvPr id="219" name="Arrow: Left 218">
          <a:hlinkClick xmlns:r="http://schemas.openxmlformats.org/officeDocument/2006/relationships" r:id="rId2" tooltip="back to Harmony Politics tab"/>
          <a:extLst>
            <a:ext uri="{FF2B5EF4-FFF2-40B4-BE49-F238E27FC236}">
              <a16:creationId xmlns:a16="http://schemas.microsoft.com/office/drawing/2014/main" id="{00000000-0008-0000-0000-0000DB000000}"/>
            </a:ext>
          </a:extLst>
        </xdr:cNvPr>
        <xdr:cNvSpPr/>
      </xdr:nvSpPr>
      <xdr:spPr>
        <a:xfrm>
          <a:off x="6263640" y="16115290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1</xdr:col>
      <xdr:colOff>7620</xdr:colOff>
      <xdr:row>57</xdr:row>
      <xdr:rowOff>106680</xdr:rowOff>
    </xdr:from>
    <xdr:ext cx="6035040" cy="1371600"/>
    <xdr:sp macro="" textlink="">
      <xdr:nvSpPr>
        <xdr:cNvPr id="229" name="Rectangle 228">
          <a:extLst>
            <a:ext uri="{FF2B5EF4-FFF2-40B4-BE49-F238E27FC236}">
              <a16:creationId xmlns:a16="http://schemas.microsoft.com/office/drawing/2014/main" id="{00000000-0008-0000-0000-0000E5000000}"/>
            </a:ext>
          </a:extLst>
        </xdr:cNvPr>
        <xdr:cNvSpPr/>
      </xdr:nvSpPr>
      <xdr:spPr>
        <a:xfrm>
          <a:off x="121920" y="17907000"/>
          <a:ext cx="6035040" cy="1371600"/>
        </a:xfrm>
        <a:prstGeom prst="rect">
          <a:avLst/>
        </a:prstGeom>
        <a:noFill/>
      </xdr:spPr>
      <xdr:txBody>
        <a:bodyPr wrap="square" lIns="0" tIns="0" rIns="0" bIns="0">
          <a:noAutofit/>
        </a:bodyPr>
        <a:lstStyle/>
        <a:p>
          <a:pPr algn="l">
            <a:spcAft>
              <a:spcPts val="600"/>
            </a:spcAft>
          </a:pPr>
          <a:r>
            <a:rPr lang="en-US" sz="18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Why Harmony Politics?</a:t>
          </a:r>
        </a:p>
        <a:p>
          <a:pPr algn="l"/>
          <a:r>
            <a:rPr lang="en-US" sz="1600" b="0" cap="none" spc="-4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The important difference is not between liberalism and conservatism, n</a:t>
          </a:r>
          <a:r>
            <a:rPr lang="en-US" sz="1600" b="0"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or between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populism</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and the establishment. It exists between overgeneralizing on either side and addressing specific needs of each affected person.</a:t>
          </a:r>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0</xdr:col>
      <xdr:colOff>98013</xdr:colOff>
      <xdr:row>785</xdr:row>
      <xdr:rowOff>99505</xdr:rowOff>
    </xdr:from>
    <xdr:to>
      <xdr:col>13</xdr:col>
      <xdr:colOff>14641</xdr:colOff>
      <xdr:row>812</xdr:row>
      <xdr:rowOff>7471</xdr:rowOff>
    </xdr:to>
    <xdr:sp macro="" textlink="">
      <xdr:nvSpPr>
        <xdr:cNvPr id="236" name="TextBox 235">
          <a:extLst>
            <a:ext uri="{FF2B5EF4-FFF2-40B4-BE49-F238E27FC236}">
              <a16:creationId xmlns:a16="http://schemas.microsoft.com/office/drawing/2014/main" id="{00000000-0008-0000-0000-0000EC000000}"/>
            </a:ext>
          </a:extLst>
        </xdr:cNvPr>
        <xdr:cNvSpPr txBox="1"/>
      </xdr:nvSpPr>
      <xdr:spPr>
        <a:xfrm>
          <a:off x="98013" y="187954917"/>
          <a:ext cx="6035040" cy="66314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As you grow your team, you ideally assemble a mixed bag of political outlooks. As you show the world the more loving way to address each other's publicly affected needs, you naturally entice more supporters and cosponsors to join you and invest in your cause. </a:t>
          </a:r>
        </a:p>
        <a:p>
          <a:pPr marL="0" marR="0" lvl="0" indent="0" defTabSz="914400" eaLnBrk="1" fontAlgn="auto" latinLnBrk="0" hangingPunct="1">
            <a:lnSpc>
              <a:spcPct val="100000"/>
            </a:lnSpc>
            <a:spcBef>
              <a:spcPts val="1200"/>
            </a:spcBef>
            <a:spcAft>
              <a:spcPts val="600"/>
            </a:spcAft>
            <a:buClrTx/>
            <a:buSzTx/>
            <a:buFontTx/>
            <a:buNone/>
            <a:tabLst/>
            <a:defRPr/>
          </a:pP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Growth</a:t>
          </a:r>
          <a:r>
            <a:rPr lang="en-US" sz="1400" b="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phase milestones</a:t>
          </a:r>
          <a:endParaRPr lang="en-US" sz="1400" b="1">
            <a:effectLst/>
            <a:latin typeface="Tahoma" panose="020B0604030504040204" pitchFamily="34" charset="0"/>
            <a:ea typeface="Tahoma" panose="020B0604030504040204" pitchFamily="34" charset="0"/>
            <a:cs typeface="Tahoma" panose="020B0604030504040204" pitchFamily="34" charset="0"/>
          </a:endParaRPr>
        </a:p>
        <a:p>
          <a:pPr marL="0" indent="0"/>
          <a:r>
            <a:rPr lang="en-US" sz="1200" b="1" baseline="0">
              <a:solidFill>
                <a:schemeClr val="dk1"/>
              </a:solidFill>
              <a:latin typeface="Cambria" panose="02040503050406030204" pitchFamily="18" charset="0"/>
              <a:ea typeface="Cambria" panose="02040503050406030204" pitchFamily="18" charset="0"/>
              <a:cs typeface="+mn-cs"/>
            </a:rPr>
            <a:t>Need-response</a:t>
          </a:r>
          <a:r>
            <a:rPr lang="en-US" sz="1200" baseline="0">
              <a:solidFill>
                <a:schemeClr val="dk1"/>
              </a:solidFill>
              <a:latin typeface="Cambria" panose="02040503050406030204" pitchFamily="18" charset="0"/>
              <a:ea typeface="Cambria" panose="02040503050406030204" pitchFamily="18" charset="0"/>
              <a:cs typeface="+mn-cs"/>
            </a:rPr>
            <a:t> gives you several milestones in this love-empowering process. The first one, </a:t>
          </a:r>
          <a:r>
            <a:rPr lang="en-US" sz="1200" b="1" baseline="0">
              <a:solidFill>
                <a:schemeClr val="dk1"/>
              </a:solidFill>
              <a:latin typeface="Cambria" panose="02040503050406030204" pitchFamily="18" charset="0"/>
              <a:ea typeface="Cambria" panose="02040503050406030204" pitchFamily="18" charset="0"/>
              <a:cs typeface="+mn-cs"/>
            </a:rPr>
            <a:t>announce</a:t>
          </a:r>
          <a:r>
            <a:rPr lang="en-US" sz="1200" baseline="0">
              <a:solidFill>
                <a:schemeClr val="dk1"/>
              </a:solidFill>
              <a:latin typeface="Cambria" panose="02040503050406030204" pitchFamily="18" charset="0"/>
              <a:ea typeface="Cambria" panose="02040503050406030204" pitchFamily="18" charset="0"/>
              <a:cs typeface="+mn-cs"/>
            </a:rPr>
            <a:t>, actually starts at the launch phase. The second, </a:t>
          </a:r>
          <a:r>
            <a:rPr lang="en-US" sz="1200" b="1" baseline="0">
              <a:solidFill>
                <a:schemeClr val="dk1"/>
              </a:solidFill>
              <a:latin typeface="Cambria" panose="02040503050406030204" pitchFamily="18" charset="0"/>
              <a:ea typeface="Cambria" panose="02040503050406030204" pitchFamily="18" charset="0"/>
              <a:cs typeface="+mn-cs"/>
            </a:rPr>
            <a:t>assess</a:t>
          </a:r>
          <a:r>
            <a:rPr lang="en-US" sz="1200" baseline="0">
              <a:solidFill>
                <a:schemeClr val="dk1"/>
              </a:solidFill>
              <a:latin typeface="Cambria" panose="02040503050406030204" pitchFamily="18" charset="0"/>
              <a:ea typeface="Cambria" panose="02040503050406030204" pitchFamily="18" charset="0"/>
              <a:cs typeface="+mn-cs"/>
            </a:rPr>
            <a:t>, can begin during the base phase, when you focus on your growing your support team. Your support team helps rate the responsiveness of potential cosponsors you invite to your campaign.</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1. Announce</a:t>
          </a:r>
        </a:p>
        <a:p>
          <a:pPr marL="0" indent="0"/>
          <a:r>
            <a:rPr lang="en-US" sz="1200" spc="-10" baseline="0">
              <a:solidFill>
                <a:schemeClr val="dk1"/>
              </a:solidFill>
              <a:latin typeface="Cambria" panose="02040503050406030204" pitchFamily="18" charset="0"/>
              <a:ea typeface="Cambria" panose="02040503050406030204" pitchFamily="18" charset="0"/>
              <a:cs typeface="+mn-cs"/>
            </a:rPr>
            <a:t>You announce your passionate cause to mutually resolve needs affected by a politicized issue</a:t>
          </a:r>
          <a:r>
            <a:rPr lang="en-US" sz="1200" baseline="0">
              <a:solidFill>
                <a:schemeClr val="dk1"/>
              </a:solidFill>
              <a:latin typeface="Cambria" panose="02040503050406030204" pitchFamily="18" charset="0"/>
              <a:ea typeface="Cambria" panose="02040503050406030204" pitchFamily="18" charset="0"/>
              <a:cs typeface="+mn-cs"/>
            </a:rPr>
            <a:t>. You invite supporters of equal standing to join your team. You inform others of your Relating Terms of Interaction (see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2. Assess</a:t>
          </a:r>
        </a:p>
        <a:p>
          <a:pPr marL="0" indent="0"/>
          <a:r>
            <a:rPr lang="en-US" sz="1200" baseline="0">
              <a:solidFill>
                <a:schemeClr val="dk1"/>
              </a:solidFill>
              <a:latin typeface="Cambria" panose="02040503050406030204" pitchFamily="18" charset="0"/>
              <a:ea typeface="Cambria" panose="02040503050406030204" pitchFamily="18" charset="0"/>
              <a:cs typeface="+mn-cs"/>
            </a:rPr>
            <a:t>You invite those with means to take note of your campaign. You incentivize them to join. You rate their responsiveness to your needs. You add your Relating Terms of Exchange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3. Audit</a:t>
          </a:r>
        </a:p>
        <a:p>
          <a:pPr marL="0" indent="0"/>
          <a:r>
            <a:rPr lang="en-US" sz="1200" baseline="0">
              <a:solidFill>
                <a:schemeClr val="dk1"/>
              </a:solidFill>
              <a:latin typeface="Cambria" panose="02040503050406030204" pitchFamily="18" charset="0"/>
              <a:ea typeface="Cambria" panose="02040503050406030204" pitchFamily="18" charset="0"/>
              <a:cs typeface="+mn-cs"/>
            </a:rPr>
            <a:t>You rate their impact on your needs. And on others similarly situated. You entice them with your love-based focus on mutually respecting needs. You establish your Relating Terms of Engagement (see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4. Avow</a:t>
          </a:r>
        </a:p>
        <a:p>
          <a:pPr marL="0" indent="0"/>
          <a:r>
            <a:rPr lang="en-US" sz="1200" baseline="0">
              <a:solidFill>
                <a:schemeClr val="dk1"/>
              </a:solidFill>
              <a:latin typeface="Cambria" panose="02040503050406030204" pitchFamily="18" charset="0"/>
              <a:ea typeface="Cambria" panose="02040503050406030204" pitchFamily="18" charset="0"/>
              <a:cs typeface="+mn-cs"/>
            </a:rPr>
            <a:t>You inform all contacted Impactors your commitment to address these politically affected needs with or without their support. You leverage your conciliatory approach, as preferable to your adversarial options. You publicize your Relating Terms of Results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5. Acclaim</a:t>
          </a:r>
        </a:p>
        <a:p>
          <a:pPr marL="0" indent="0"/>
          <a:r>
            <a:rPr lang="en-US" sz="1200" baseline="0">
              <a:solidFill>
                <a:schemeClr val="dk1"/>
              </a:solidFill>
              <a:latin typeface="Cambria" panose="02040503050406030204" pitchFamily="18" charset="0"/>
              <a:ea typeface="Cambria" panose="02040503050406030204" pitchFamily="18" charset="0"/>
              <a:cs typeface="+mn-cs"/>
            </a:rPr>
            <a:t>You assert your emerging authority as a need-resolver. You hold all Impactors accountable, or negate their relation with you. You reward those most responsive to needs. You notify the world of your Relating Terms of Use (samples below).</a:t>
          </a:r>
        </a:p>
        <a:p>
          <a:pPr marL="0" indent="0"/>
          <a:endParaRPr lang="en-US" sz="1200" baseline="0">
            <a:solidFill>
              <a:schemeClr val="dk1"/>
            </a:solidFill>
            <a:latin typeface="Cambria" panose="02040503050406030204" pitchFamily="18" charset="0"/>
            <a:ea typeface="Cambria" panose="02040503050406030204" pitchFamily="18" charset="0"/>
            <a:cs typeface="+mn-cs"/>
          </a:endParaRPr>
        </a:p>
        <a:p>
          <a:pPr marL="0" indent="0"/>
          <a:r>
            <a:rPr lang="en-US" sz="1200" baseline="0">
              <a:solidFill>
                <a:schemeClr val="dk1"/>
              </a:solidFill>
              <a:latin typeface="Cambria" panose="02040503050406030204" pitchFamily="18" charset="0"/>
              <a:ea typeface="Cambria" panose="02040503050406030204" pitchFamily="18" charset="0"/>
              <a:cs typeface="+mn-cs"/>
            </a:rPr>
            <a:t>You first reach out to journalists. Then to public servants. And finally to elected official. What do you expect will be the reply from each?</a:t>
          </a:r>
        </a:p>
      </xdr:txBody>
    </xdr:sp>
    <xdr:clientData/>
  </xdr:twoCellAnchor>
  <xdr:oneCellAnchor>
    <xdr:from>
      <xdr:col>6</xdr:col>
      <xdr:colOff>266700</xdr:colOff>
      <xdr:row>54</xdr:row>
      <xdr:rowOff>95772</xdr:rowOff>
    </xdr:from>
    <xdr:ext cx="3200400" cy="587725"/>
    <xdr:sp macro="" textlink="">
      <xdr:nvSpPr>
        <xdr:cNvPr id="248" name="Identifying affected needs">
          <a:hlinkClick xmlns:r="http://schemas.openxmlformats.org/officeDocument/2006/relationships" r:id="rId23" tooltip="to next page header"/>
          <a:extLst>
            <a:ext uri="{FF2B5EF4-FFF2-40B4-BE49-F238E27FC236}">
              <a16:creationId xmlns:a16="http://schemas.microsoft.com/office/drawing/2014/main" id="{00000000-0008-0000-0000-0000F8000000}"/>
            </a:ext>
          </a:extLst>
        </xdr:cNvPr>
        <xdr:cNvSpPr/>
      </xdr:nvSpPr>
      <xdr:spPr>
        <a:xfrm>
          <a:off x="2895600" y="16958832"/>
          <a:ext cx="3200400" cy="587725"/>
        </a:xfrm>
        <a:prstGeom prst="rect">
          <a:avLst/>
        </a:prstGeom>
        <a:noFill/>
      </xdr:spPr>
      <xdr:txBody>
        <a:bodyPr wrap="square" lIns="91440" tIns="45720" rIns="91440" bIns="45720" anchor="ctr">
          <a:spAutoFit/>
        </a:bodyPr>
        <a:lstStyle/>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Replace </a:t>
          </a:r>
          <a:r>
            <a:rPr lang="en-US" sz="1600" b="1" cap="all" baseline="0">
              <a:ln>
                <a:solidFill>
                  <a:schemeClr val="accent4">
                    <a:lumMod val="20000"/>
                    <a:lumOff val="80000"/>
                  </a:schemeClr>
                </a:solidFill>
              </a:ln>
              <a:solidFill>
                <a:schemeClr val="accent4">
                  <a:lumMod val="20000"/>
                  <a:lumOff val="80000"/>
                </a:schemeClr>
              </a:solidFill>
              <a:effectLst/>
              <a:latin typeface="Tahoma" panose="020B0604030504040204" pitchFamily="34" charset="0"/>
              <a:ea typeface="Tahoma" panose="020B0604030504040204" pitchFamily="34" charset="0"/>
              <a:cs typeface="Tahoma" panose="020B0604030504040204" pitchFamily="34" charset="0"/>
            </a:rPr>
            <a:t>debating</a:t>
          </a:r>
        </a:p>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with </a:t>
          </a:r>
          <a:r>
            <a:rPr lang="en-US" sz="1600" b="1" cap="all" spc="20" baseline="0">
              <a:ln>
                <a:solidFill>
                  <a:srgbClr val="D2FFE1"/>
                </a:solidFill>
              </a:ln>
              <a:solidFill>
                <a:srgbClr val="D2FFE1"/>
              </a:solidFill>
              <a:effectLst/>
              <a:latin typeface="Tahoma" panose="020B0604030504040204" pitchFamily="34" charset="0"/>
              <a:ea typeface="Tahoma" panose="020B0604030504040204" pitchFamily="34" charset="0"/>
              <a:cs typeface="Tahoma" panose="020B0604030504040204" pitchFamily="34" charset="0"/>
            </a:rPr>
            <a:t>relating</a:t>
          </a: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 </a:t>
          </a:r>
        </a:p>
      </xdr:txBody>
    </xdr:sp>
    <xdr:clientData/>
  </xdr:oneCellAnchor>
  <xdr:oneCellAnchor>
    <xdr:from>
      <xdr:col>0</xdr:col>
      <xdr:colOff>106680</xdr:colOff>
      <xdr:row>1073</xdr:row>
      <xdr:rowOff>129540</xdr:rowOff>
    </xdr:from>
    <xdr:ext cx="5285934" cy="262572"/>
    <xdr:sp macro="" textlink="">
      <xdr:nvSpPr>
        <xdr:cNvPr id="249" name="Identifying affected needs">
          <a:hlinkClick xmlns:r="http://schemas.openxmlformats.org/officeDocument/2006/relationships" r:id="rId24"/>
          <a:extLst>
            <a:ext uri="{FF2B5EF4-FFF2-40B4-BE49-F238E27FC236}">
              <a16:creationId xmlns:a16="http://schemas.microsoft.com/office/drawing/2014/main" id="{00000000-0008-0000-0000-0000F9000000}"/>
            </a:ext>
          </a:extLst>
        </xdr:cNvPr>
        <xdr:cNvSpPr/>
      </xdr:nvSpPr>
      <xdr:spPr>
        <a:xfrm>
          <a:off x="106680" y="252610620"/>
          <a:ext cx="5285934" cy="262572"/>
        </a:xfrm>
        <a:prstGeom prst="rect">
          <a:avLst/>
        </a:prstGeom>
        <a:noFill/>
      </xdr:spPr>
      <xdr:txBody>
        <a:bodyPr wrap="none" lIns="91440" tIns="45720" rIns="91440" bIns="45720">
          <a:spAutoFit/>
        </a:bodyPr>
        <a:lstStyle/>
        <a:p>
          <a:pPr algn="l"/>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Contact me and let me know</a:t>
          </a:r>
          <a:r>
            <a:rPr lang="en-US" sz="1100" baseline="0">
              <a:solidFill>
                <a:srgbClr val="FFFF00"/>
              </a:solidFill>
              <a:effectLst/>
              <a:latin typeface="Tahoma" panose="020B0604030504040204" pitchFamily="34" charset="0"/>
              <a:ea typeface="Tahoma" panose="020B0604030504040204" pitchFamily="34" charset="0"/>
              <a:cs typeface="Tahoma" panose="020B0604030504040204" pitchFamily="34" charset="0"/>
            </a:rPr>
            <a:t> h</a:t>
          </a:r>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ow can I improve this for you? What am I missing?</a:t>
          </a:r>
          <a:endParaRPr lang="en-US" sz="1100" b="0" cap="none" spc="0">
            <a:ln w="10160">
              <a:solidFill>
                <a:srgbClr val="7030A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twoCellAnchor>
    <xdr:from>
      <xdr:col>11</xdr:col>
      <xdr:colOff>60961</xdr:colOff>
      <xdr:row>1074</xdr:row>
      <xdr:rowOff>55632</xdr:rowOff>
    </xdr:from>
    <xdr:to>
      <xdr:col>12</xdr:col>
      <xdr:colOff>487681</xdr:colOff>
      <xdr:row>1077</xdr:row>
      <xdr:rowOff>101352</xdr:rowOff>
    </xdr:to>
    <xdr:sp macro="" textlink="">
      <xdr:nvSpPr>
        <xdr:cNvPr id="250" name="TextBox 249">
          <a:extLst>
            <a:ext uri="{FF2B5EF4-FFF2-40B4-BE49-F238E27FC236}">
              <a16:creationId xmlns:a16="http://schemas.microsoft.com/office/drawing/2014/main" id="{00000000-0008-0000-0000-0000FA000000}"/>
            </a:ext>
          </a:extLst>
        </xdr:cNvPr>
        <xdr:cNvSpPr txBox="1"/>
      </xdr:nvSpPr>
      <xdr:spPr>
        <a:xfrm>
          <a:off x="5204461" y="168975792"/>
          <a:ext cx="9296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45720" bIns="0" rtlCol="0" anchor="t"/>
        <a:lstStyle/>
        <a:p>
          <a:pPr algn="r"/>
          <a:r>
            <a:rPr lang="en-US" sz="900" b="1"/>
            <a:t>Thank you for this opportunity to serve</a:t>
          </a:r>
          <a:r>
            <a:rPr lang="en-US" sz="900" b="1" baseline="0"/>
            <a:t> your needs.</a:t>
          </a:r>
          <a:endParaRPr lang="en-US" sz="900" b="1"/>
        </a:p>
      </xdr:txBody>
    </xdr:sp>
    <xdr:clientData/>
  </xdr:twoCellAnchor>
  <xdr:twoCellAnchor>
    <xdr:from>
      <xdr:col>1</xdr:col>
      <xdr:colOff>30728</xdr:colOff>
      <xdr:row>1074</xdr:row>
      <xdr:rowOff>48012</xdr:rowOff>
    </xdr:from>
    <xdr:to>
      <xdr:col>3</xdr:col>
      <xdr:colOff>30728</xdr:colOff>
      <xdr:row>1077</xdr:row>
      <xdr:rowOff>93732</xdr:rowOff>
    </xdr:to>
    <xdr:sp macro="" textlink="">
      <xdr:nvSpPr>
        <xdr:cNvPr id="251" name="TextBox 250">
          <a:extLst>
            <a:ext uri="{FF2B5EF4-FFF2-40B4-BE49-F238E27FC236}">
              <a16:creationId xmlns:a16="http://schemas.microsoft.com/office/drawing/2014/main" id="{00000000-0008-0000-0000-0000FB000000}"/>
            </a:ext>
          </a:extLst>
        </xdr:cNvPr>
        <xdr:cNvSpPr txBox="1"/>
      </xdr:nvSpPr>
      <xdr:spPr>
        <a:xfrm>
          <a:off x="145028" y="168968172"/>
          <a:ext cx="10058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45720" bIns="0" rtlCol="0" anchor="t"/>
        <a:lstStyle/>
        <a:p>
          <a:pPr algn="l"/>
          <a:r>
            <a:rPr lang="en-US" sz="900" b="1"/>
            <a:t>Thank you for trying out this spreadsheet tool.</a:t>
          </a:r>
        </a:p>
      </xdr:txBody>
    </xdr:sp>
    <xdr:clientData/>
  </xdr:twoCellAnchor>
  <xdr:oneCellAnchor>
    <xdr:from>
      <xdr:col>2</xdr:col>
      <xdr:colOff>53340</xdr:colOff>
      <xdr:row>19</xdr:row>
      <xdr:rowOff>5810</xdr:rowOff>
    </xdr:from>
    <xdr:ext cx="5029200" cy="726481"/>
    <xdr:sp macro="" textlink="">
      <xdr:nvSpPr>
        <xdr:cNvPr id="254" name="Rectangle 253">
          <a:hlinkClick xmlns:r="http://schemas.openxmlformats.org/officeDocument/2006/relationships" r:id="rId18"/>
          <a:extLst>
            <a:ext uri="{FF2B5EF4-FFF2-40B4-BE49-F238E27FC236}">
              <a16:creationId xmlns:a16="http://schemas.microsoft.com/office/drawing/2014/main" id="{00000000-0008-0000-0000-0000FE000000}"/>
            </a:ext>
          </a:extLst>
        </xdr:cNvPr>
        <xdr:cNvSpPr/>
      </xdr:nvSpPr>
      <xdr:spPr>
        <a:xfrm>
          <a:off x="670560" y="7176230"/>
          <a:ext cx="5029200" cy="726481"/>
        </a:xfrm>
        <a:prstGeom prst="rect">
          <a:avLst/>
        </a:prstGeom>
        <a:solidFill>
          <a:srgbClr val="7030A0"/>
        </a:solidFill>
      </xdr:spPr>
      <xdr:txBody>
        <a:bodyPr wrap="square" lIns="91440" tIns="45720" rIns="91440" bIns="45720" anchor="ctr">
          <a:spAutoFit/>
        </a:bodyPr>
        <a:lstStyle/>
        <a:p>
          <a:pPr algn="ctr">
            <a:spcAft>
              <a:spcPts val="600"/>
            </a:spcAft>
          </a:pPr>
          <a:r>
            <a:rPr lang="en-US" sz="2400" b="1" cap="none" spc="50" baseline="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A5FFC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Value</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Relating</a:t>
          </a:r>
        </a:p>
        <a:p>
          <a:pPr algn="ctr"/>
          <a:r>
            <a:rPr lang="en-US" sz="1200" b="1" cap="none" spc="0">
              <a:ln w="0"/>
              <a:solidFill>
                <a:srgbClr val="64FF9B"/>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solving problems </a:t>
          </a:r>
          <a:r>
            <a:rPr lang="en-US" sz="1200" b="1" cap="none" spc="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1200" b="1" cap="none" spc="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200" b="1" cap="none" spc="0">
              <a:ln w="0"/>
              <a:solidFill>
                <a:srgbClr val="FF00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resolving needs</a:t>
          </a:r>
        </a:p>
      </xdr:txBody>
    </xdr:sp>
    <xdr:clientData/>
  </xdr:oneCellAnchor>
  <xdr:twoCellAnchor>
    <xdr:from>
      <xdr:col>14</xdr:col>
      <xdr:colOff>106680</xdr:colOff>
      <xdr:row>637</xdr:row>
      <xdr:rowOff>1</xdr:rowOff>
    </xdr:from>
    <xdr:to>
      <xdr:col>26</xdr:col>
      <xdr:colOff>431492</xdr:colOff>
      <xdr:row>674</xdr:row>
      <xdr:rowOff>106681</xdr:rowOff>
    </xdr:to>
    <xdr:sp macro="" textlink="">
      <xdr:nvSpPr>
        <xdr:cNvPr id="278" name="Text Box 1">
          <a:extLst>
            <a:ext uri="{FF2B5EF4-FFF2-40B4-BE49-F238E27FC236}">
              <a16:creationId xmlns:a16="http://schemas.microsoft.com/office/drawing/2014/main" id="{00000000-0008-0000-0000-000016010000}"/>
            </a:ext>
          </a:extLst>
        </xdr:cNvPr>
        <xdr:cNvSpPr txBox="1"/>
      </xdr:nvSpPr>
      <xdr:spPr>
        <a:xfrm>
          <a:off x="6370320" y="152727661"/>
          <a:ext cx="5971232" cy="7894320"/>
        </a:xfrm>
        <a:prstGeom prst="rect">
          <a:avLst/>
        </a:prstGeom>
        <a:solidFill>
          <a:srgbClr val="FFE1FF"/>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tabLst>
              <a:tab pos="1143000" algn="l"/>
            </a:tabLs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LAUNCH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(initializing phase) Client</a:t>
          </a:r>
          <a:r>
            <a:rPr lang="en-US" sz="1200" baseline="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set amount at $10/weekly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Client =	$10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30 Followers = 	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Supporters =	100</a:t>
          </a:r>
        </a:p>
        <a:p>
          <a:pPr marL="0" marR="0">
            <a:spcBef>
              <a:spcPts val="0"/>
            </a:spcBef>
            <a:spcAft>
              <a:spcPts val="0"/>
            </a:spcAft>
            <a:tabLst>
              <a:tab pos="1371600" algn="r"/>
              <a:tab pos="3200400" algn="r"/>
            </a:tabLst>
          </a:pPr>
          <a:r>
            <a:rPr lang="en-US" sz="1100" b="1">
              <a:effectLst/>
              <a:latin typeface="Cambria Math" panose="02040503050406030204" pitchFamily="18" charset="0"/>
              <a:ea typeface="Calibri" panose="020F0502020204030204" pitchFamily="34" charset="0"/>
              <a:cs typeface="Times New Roman" panose="02020603050405020304" pitchFamily="18" charset="0"/>
            </a:rPr>
            <a:t>TOTAL:	$110</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20574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to [Saybackr] platform =	$11	$110 – 11 = $99</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of remainder to VR advocate =	$49.50/weekly</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of remainder to counselor ally =	$49.50/weekly</a:t>
          </a:r>
        </a:p>
        <a:p>
          <a:pPr marL="0" marR="0">
            <a:spcBef>
              <a:spcPts val="0"/>
            </a:spcBef>
            <a:spcAft>
              <a:spcPts val="0"/>
            </a:spcAft>
            <a:tabLst>
              <a:tab pos="18288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8288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(Counselor-ally oversees budget, guides pace, does how much can do at each price point)</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971550" algn="l"/>
            </a:tabLs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BASE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(1</a:t>
          </a:r>
          <a:r>
            <a:rPr lang="en-US" sz="1200" baseline="300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st</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milestone) Weekly amount reset</a:t>
          </a:r>
          <a:r>
            <a:rPr lang="en-US" sz="1200" baseline="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to $20/weekly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Contact AI political journalists with HP vision</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Weekly pledge doubles (e.g., from $10 to $20), as cosponsors to client’s need-resolving “cause” by transcending political binary, etc.</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Client =	$10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Followers = 	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16 Supporters =	160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4 Cosponsors = 	80</a:t>
          </a:r>
        </a:p>
        <a:p>
          <a:pPr marL="0" marR="0">
            <a:spcBef>
              <a:spcPts val="0"/>
            </a:spcBef>
            <a:spcAft>
              <a:spcPts val="0"/>
            </a:spcAft>
            <a:tabLst>
              <a:tab pos="1371600" algn="r"/>
              <a:tab pos="3200400" algn="r"/>
            </a:tabLst>
          </a:pPr>
          <a:r>
            <a:rPr lang="en-US" sz="1100" b="1">
              <a:effectLst/>
              <a:latin typeface="Cambria Math" panose="02040503050406030204" pitchFamily="18" charset="0"/>
              <a:ea typeface="Calibri" panose="020F0502020204030204" pitchFamily="34" charset="0"/>
              <a:cs typeface="Times New Roman" panose="02020603050405020304" pitchFamily="18" charset="0"/>
            </a:rPr>
            <a:t>TOTAL:	$250</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20574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to [Saybackr] platform =	$25	$250 – 25 = $225</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of remainder to VR advocate =	$112.50/weekly</a:t>
          </a:r>
        </a:p>
        <a:p>
          <a:pPr marL="0" marR="0">
            <a:spcBef>
              <a:spcPts val="0"/>
            </a:spcBef>
            <a:spcAft>
              <a:spcPts val="0"/>
            </a:spcAft>
            <a:tabLst>
              <a:tab pos="3200400" algn="r"/>
            </a:tabLst>
          </a:pPr>
          <a:r>
            <a:rPr lang="en-US" sz="1100" spc="-10">
              <a:effectLst/>
              <a:latin typeface="Cambria Math" panose="02040503050406030204" pitchFamily="18" charset="0"/>
              <a:ea typeface="Calibri" panose="020F0502020204030204" pitchFamily="34" charset="0"/>
              <a:cs typeface="Times New Roman" panose="02020603050405020304" pitchFamily="18" charset="0"/>
            </a:rPr>
            <a:t>50% of remainder to counselor ally =	$112.50/weekly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200150" algn="l"/>
            </a:tabLs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GROWTH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(GOTB) Weekly amount raises to $40/weekly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Contact higher chain journalists, administrators, politicians, and other AI political actors.</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Client =	$10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70 Followers = 	0	losing 10 followers	gain</a:t>
          </a:r>
          <a:r>
            <a:rPr lang="en-US" sz="1100" baseline="0">
              <a:effectLst/>
              <a:latin typeface="Cambria Math" panose="02040503050406030204" pitchFamily="18" charset="0"/>
              <a:ea typeface="Calibri" panose="020F0502020204030204" pitchFamily="34" charset="0"/>
              <a:cs typeface="Times New Roman" panose="02020603050405020304" pitchFamily="18" charset="0"/>
            </a:rPr>
            <a:t> 40 more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12 Supporters =	120	losing</a:t>
          </a:r>
          <a:r>
            <a:rPr lang="en-US" sz="1100" baseline="0">
              <a:effectLst/>
              <a:latin typeface="Cambria Math" panose="02040503050406030204" pitchFamily="18" charset="0"/>
              <a:ea typeface="Calibri" panose="020F0502020204030204" pitchFamily="34" charset="0"/>
              <a:cs typeface="Times New Roman" panose="02020603050405020304" pitchFamily="18" charset="0"/>
            </a:rPr>
            <a:t> 6 supporters	gain 2 more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3 B Cosponsors = 	60	lose one Base CS</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2 G Cosponsors = 	80	gain 2 Growth CS</a:t>
          </a:r>
        </a:p>
        <a:p>
          <a:pPr marL="0" marR="0">
            <a:spcBef>
              <a:spcPts val="0"/>
            </a:spcBef>
            <a:spcAft>
              <a:spcPts val="0"/>
            </a:spcAft>
            <a:tabLst>
              <a:tab pos="1371600" algn="r"/>
              <a:tab pos="3200400" algn="r"/>
            </a:tabLst>
          </a:pPr>
          <a:r>
            <a:rPr lang="en-US" sz="1100" b="1">
              <a:effectLst/>
              <a:latin typeface="Cambria Math" panose="02040503050406030204" pitchFamily="18" charset="0"/>
              <a:ea typeface="Calibri" panose="020F0502020204030204" pitchFamily="34" charset="0"/>
              <a:cs typeface="Times New Roman" panose="02020603050405020304" pitchFamily="18" charset="0"/>
            </a:rPr>
            <a:t>TOTAL:	$260</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20574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to [Saybackr] platform =	$26	$260 – 26 = $234</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25% of remainder to VR advocate =	$65.00/weekly</a:t>
          </a:r>
        </a:p>
        <a:p>
          <a:pPr marL="0" marR="0">
            <a:spcBef>
              <a:spcPts val="0"/>
            </a:spcBef>
            <a:spcAft>
              <a:spcPts val="0"/>
            </a:spcAft>
            <a:tabLst>
              <a:tab pos="3200400" algn="r"/>
            </a:tabLst>
          </a:pPr>
          <a:r>
            <a:rPr lang="en-US" sz="1100" spc="-10">
              <a:effectLst/>
              <a:latin typeface="Cambria Math" panose="02040503050406030204" pitchFamily="18" charset="0"/>
              <a:ea typeface="Calibri" panose="020F0502020204030204" pitchFamily="34" charset="0"/>
              <a:cs typeface="Times New Roman" panose="02020603050405020304" pitchFamily="18" charset="0"/>
            </a:rPr>
            <a:t>75% of remainder to counselor ally, managed budget =	$195.00/weekly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EXECUTION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(earned autonomy) Weekly amt at</a:t>
          </a:r>
          <a:r>
            <a:rPr lang="en-US" sz="1200" baseline="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$80/weekly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Enterprise (nonprofit, for profit, hybrid, social entrepreneur) [Skoll Foundation, etc.]</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Adds Patrons who match weekly 2x = $160, or elects to grant larger amounts, for agreed upon ROI.  This can segue into the next stage of your development, if you choose to remain with us.</a:t>
          </a:r>
        </a:p>
      </xdr:txBody>
    </xdr:sp>
    <xdr:clientData/>
  </xdr:twoCellAnchor>
  <xdr:twoCellAnchor>
    <xdr:from>
      <xdr:col>0</xdr:col>
      <xdr:colOff>38634</xdr:colOff>
      <xdr:row>502</xdr:row>
      <xdr:rowOff>95295</xdr:rowOff>
    </xdr:from>
    <xdr:to>
      <xdr:col>13</xdr:col>
      <xdr:colOff>68580</xdr:colOff>
      <xdr:row>516</xdr:row>
      <xdr:rowOff>86793</xdr:rowOff>
    </xdr:to>
    <xdr:grpSp>
      <xdr:nvGrpSpPr>
        <xdr:cNvPr id="2" name="Group 1">
          <a:extLst>
            <a:ext uri="{FF2B5EF4-FFF2-40B4-BE49-F238E27FC236}">
              <a16:creationId xmlns:a16="http://schemas.microsoft.com/office/drawing/2014/main" id="{00000000-0008-0000-0000-000002000000}"/>
            </a:ext>
          </a:extLst>
        </xdr:cNvPr>
        <xdr:cNvGrpSpPr>
          <a:grpSpLocks noChangeAspect="1"/>
        </xdr:cNvGrpSpPr>
      </xdr:nvGrpSpPr>
      <xdr:grpSpPr>
        <a:xfrm>
          <a:off x="38634" y="120666555"/>
          <a:ext cx="6179286" cy="3321438"/>
          <a:chOff x="234729" y="60050347"/>
          <a:chExt cx="5879329" cy="3142313"/>
        </a:xfrm>
      </xdr:grpSpPr>
      <xdr:pic>
        <xdr:nvPicPr>
          <xdr:cNvPr id="285" name="Picture 284">
            <a:extLst>
              <a:ext uri="{FF2B5EF4-FFF2-40B4-BE49-F238E27FC236}">
                <a16:creationId xmlns:a16="http://schemas.microsoft.com/office/drawing/2014/main" id="{00000000-0008-0000-0000-00001D010000}"/>
              </a:ext>
            </a:extLst>
          </xdr:cNvPr>
          <xdr:cNvPicPr>
            <a:picLocks noChangeAspect="1"/>
          </xdr:cNvPicPr>
        </xdr:nvPicPr>
        <xdr:blipFill rotWithShape="1">
          <a:blip xmlns:r="http://schemas.openxmlformats.org/officeDocument/2006/relationships" r:embed="rId25" cstate="print">
            <a:extLst>
              <a:ext uri="{BEBA8EAE-BF5A-486C-A8C5-ECC9F3942E4B}">
                <a14:imgProps xmlns:a14="http://schemas.microsoft.com/office/drawing/2010/main">
                  <a14:imgLayer r:embed="rId26">
                    <a14:imgEffect>
                      <a14:brightnessContrast contrast="-20000"/>
                    </a14:imgEffect>
                  </a14:imgLayer>
                </a14:imgProps>
              </a:ext>
              <a:ext uri="{28A0092B-C50C-407E-A947-70E740481C1C}">
                <a14:useLocalDpi xmlns:a14="http://schemas.microsoft.com/office/drawing/2010/main" val="0"/>
              </a:ext>
            </a:extLst>
          </a:blip>
          <a:srcRect l="5989"/>
          <a:stretch/>
        </xdr:blipFill>
        <xdr:spPr>
          <a:xfrm>
            <a:off x="785230" y="60319920"/>
            <a:ext cx="4785070" cy="2872740"/>
          </a:xfrm>
          <a:prstGeom prst="rect">
            <a:avLst/>
          </a:prstGeom>
          <a:effectLst>
            <a:glow rad="63500">
              <a:srgbClr val="A5FFC8">
                <a:alpha val="25000"/>
              </a:srgbClr>
            </a:glow>
            <a:softEdge rad="88900"/>
          </a:effectLst>
        </xdr:spPr>
      </xdr:pic>
      <xdr:sp macro="" textlink="">
        <xdr:nvSpPr>
          <xdr:cNvPr id="266" name="Rectangle 265">
            <a:extLst>
              <a:ext uri="{FF2B5EF4-FFF2-40B4-BE49-F238E27FC236}">
                <a16:creationId xmlns:a16="http://schemas.microsoft.com/office/drawing/2014/main" id="{00000000-0008-0000-0000-00000A010000}"/>
              </a:ext>
            </a:extLst>
          </xdr:cNvPr>
          <xdr:cNvSpPr/>
        </xdr:nvSpPr>
        <xdr:spPr>
          <a:xfrm>
            <a:off x="4590291" y="60432427"/>
            <a:ext cx="1523767" cy="717258"/>
          </a:xfrm>
          <a:prstGeom prst="rect">
            <a:avLst/>
          </a:prstGeom>
          <a:noFill/>
        </xdr:spPr>
        <xdr:txBody>
          <a:bodyPr wrap="none" lIns="91440" tIns="45720" rIns="91440" bIns="45720">
            <a:noAutofit/>
          </a:bodyPr>
          <a:lstStyle/>
          <a:p>
            <a:pPr algn="r"/>
            <a:r>
              <a:rPr lang="en-US" sz="48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LTTI</a:t>
            </a:r>
            <a:endParaRPr lang="en-US" sz="40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68" name="Rectangle 267">
            <a:extLst>
              <a:ext uri="{FF2B5EF4-FFF2-40B4-BE49-F238E27FC236}">
                <a16:creationId xmlns:a16="http://schemas.microsoft.com/office/drawing/2014/main" id="{00000000-0008-0000-0000-00000C010000}"/>
              </a:ext>
            </a:extLst>
          </xdr:cNvPr>
          <xdr:cNvSpPr/>
        </xdr:nvSpPr>
        <xdr:spPr>
          <a:xfrm>
            <a:off x="234729" y="60432428"/>
            <a:ext cx="1601766" cy="695630"/>
          </a:xfrm>
          <a:prstGeom prst="rect">
            <a:avLst/>
          </a:prstGeom>
          <a:noFill/>
        </xdr:spPr>
        <xdr:txBody>
          <a:bodyPr wrap="none" lIns="91440" tIns="45720" rIns="91440" bIns="45720">
            <a:noAutofit/>
          </a:bodyPr>
          <a:lstStyle/>
          <a:p>
            <a:pPr algn="l"/>
            <a:r>
              <a:rPr lang="en-US" sz="4800" b="1" cap="none" spc="0">
                <a:ln w="10160">
                  <a:solidFill>
                    <a:srgbClr val="009646"/>
                  </a:solidFill>
                  <a:prstDash val="solid"/>
                </a:ln>
                <a:solidFill>
                  <a:srgbClr val="0AFA96"/>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STTP</a:t>
            </a:r>
          </a:p>
        </xdr:txBody>
      </xdr:sp>
      <xdr:sp macro="" textlink="">
        <xdr:nvSpPr>
          <xdr:cNvPr id="515" name="'AI'" hidden="1">
            <a:extLst>
              <a:ext uri="{FF2B5EF4-FFF2-40B4-BE49-F238E27FC236}">
                <a16:creationId xmlns:a16="http://schemas.microsoft.com/office/drawing/2014/main" id="{00000000-0008-0000-0000-000003020000}"/>
              </a:ext>
            </a:extLst>
          </xdr:cNvPr>
          <xdr:cNvSpPr/>
        </xdr:nvSpPr>
        <xdr:spPr>
          <a:xfrm>
            <a:off x="4996297" y="62033620"/>
            <a:ext cx="1049476" cy="1028226"/>
          </a:xfrm>
          <a:prstGeom prst="rect">
            <a:avLst/>
          </a:prstGeom>
          <a:noFill/>
        </xdr:spPr>
        <xdr:txBody>
          <a:bodyPr wrap="none" lIns="91440" tIns="45720" rIns="91440" bIns="45720">
            <a:noAutofit/>
          </a:bodyPr>
          <a:lstStyle/>
          <a:p>
            <a:pPr algn="ctr"/>
            <a:r>
              <a:rPr lang="en-US" sz="7200" b="0" cap="none" spc="0">
                <a:ln w="10160">
                  <a:solidFill>
                    <a:srgbClr val="7030A0"/>
                  </a:solidFill>
                  <a:prstDash val="solid"/>
                </a:ln>
                <a:solidFill>
                  <a:srgbClr val="FF99FF"/>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rPr>
              <a:t>AI</a:t>
            </a:r>
            <a:endParaRPr lang="en-US" sz="3200" b="0" cap="none" spc="0">
              <a:ln w="10160">
                <a:solidFill>
                  <a:srgbClr val="7030A0"/>
                </a:solidFill>
                <a:prstDash val="solid"/>
              </a:ln>
              <a:solidFill>
                <a:srgbClr val="FF99FF"/>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endParaRPr>
          </a:p>
        </xdr:txBody>
      </xdr:sp>
      <xdr:sp macro="" textlink="">
        <xdr:nvSpPr>
          <xdr:cNvPr id="516" name="'RI'" hidden="1">
            <a:extLst>
              <a:ext uri="{FF2B5EF4-FFF2-40B4-BE49-F238E27FC236}">
                <a16:creationId xmlns:a16="http://schemas.microsoft.com/office/drawing/2014/main" id="{00000000-0008-0000-0000-000004020000}"/>
              </a:ext>
            </a:extLst>
          </xdr:cNvPr>
          <xdr:cNvSpPr/>
        </xdr:nvSpPr>
        <xdr:spPr>
          <a:xfrm>
            <a:off x="306243" y="62030095"/>
            <a:ext cx="1049476" cy="1028226"/>
          </a:xfrm>
          <a:prstGeom prst="rect">
            <a:avLst/>
          </a:prstGeom>
          <a:noFill/>
        </xdr:spPr>
        <xdr:txBody>
          <a:bodyPr wrap="none" lIns="91440" tIns="45720" rIns="91440" bIns="45720">
            <a:noAutofit/>
          </a:bodyPr>
          <a:lstStyle/>
          <a:p>
            <a:pPr algn="ctr"/>
            <a:r>
              <a:rPr lang="en-US" sz="7200" b="0" cap="none" spc="0">
                <a:ln w="10160">
                  <a:solidFill>
                    <a:srgbClr val="009646"/>
                  </a:solidFill>
                  <a:prstDash val="solid"/>
                </a:ln>
                <a:solidFill>
                  <a:srgbClr val="0AFA96"/>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rPr>
              <a:t>RI</a:t>
            </a:r>
            <a:endParaRPr lang="en-US" sz="4400" b="0" cap="none" spc="0">
              <a:ln w="10160">
                <a:solidFill>
                  <a:srgbClr val="009646"/>
                </a:solidFill>
                <a:prstDash val="solid"/>
              </a:ln>
              <a:solidFill>
                <a:srgbClr val="0AFA96"/>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endParaRPr>
          </a:p>
        </xdr:txBody>
      </xdr:sp>
      <xdr:sp macro="" textlink="">
        <xdr:nvSpPr>
          <xdr:cNvPr id="693" name="STTP" hidden="1">
            <a:extLst>
              <a:ext uri="{FF2B5EF4-FFF2-40B4-BE49-F238E27FC236}">
                <a16:creationId xmlns:a16="http://schemas.microsoft.com/office/drawing/2014/main" id="{00000000-0008-0000-0000-0000B5020000}"/>
              </a:ext>
            </a:extLst>
          </xdr:cNvPr>
          <xdr:cNvSpPr/>
        </xdr:nvSpPr>
        <xdr:spPr>
          <a:xfrm>
            <a:off x="357980" y="60050348"/>
            <a:ext cx="2610039" cy="259526"/>
          </a:xfrm>
          <a:prstGeom prst="rect">
            <a:avLst/>
          </a:prstGeom>
          <a:noFill/>
        </xdr:spPr>
        <xdr:txBody>
          <a:bodyPr wrap="none" lIns="0" tIns="0" rIns="0" bIns="0">
            <a:noAutofit/>
          </a:bodyPr>
          <a:lstStyle/>
          <a:p>
            <a:pPr algn="l"/>
            <a:r>
              <a:rPr lang="en-US" sz="1600" b="1" cap="none" spc="0">
                <a:ln w="10160">
                  <a:solidFill>
                    <a:srgbClr val="009646"/>
                  </a:solidFill>
                  <a:prstDash val="solid"/>
                </a:ln>
                <a:solidFill>
                  <a:srgbClr val="00823C"/>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SPEAK TRUTH TO POWER</a:t>
            </a:r>
          </a:p>
        </xdr:txBody>
      </xdr:sp>
      <xdr:sp macro="" textlink="">
        <xdr:nvSpPr>
          <xdr:cNvPr id="694" name="LTTI" hidden="1">
            <a:extLst>
              <a:ext uri="{FF2B5EF4-FFF2-40B4-BE49-F238E27FC236}">
                <a16:creationId xmlns:a16="http://schemas.microsoft.com/office/drawing/2014/main" id="{00000000-0008-0000-0000-0000B6020000}"/>
              </a:ext>
            </a:extLst>
          </xdr:cNvPr>
          <xdr:cNvSpPr/>
        </xdr:nvSpPr>
        <xdr:spPr>
          <a:xfrm>
            <a:off x="3183769" y="60050347"/>
            <a:ext cx="2865038" cy="259526"/>
          </a:xfrm>
          <a:prstGeom prst="rect">
            <a:avLst/>
          </a:prstGeom>
          <a:noFill/>
        </xdr:spPr>
        <xdr:txBody>
          <a:bodyPr wrap="none" lIns="0" tIns="0" rIns="0" bIns="0">
            <a:noAutofit/>
          </a:bodyPr>
          <a:lstStyle/>
          <a:p>
            <a:pPr algn="r"/>
            <a:r>
              <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LISTEN</a:t>
            </a:r>
            <a:r>
              <a:rPr lang="en-US" sz="1600" b="1" cap="none" spc="-30" baseline="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 TO THOSE IMPACTED</a:t>
            </a:r>
            <a:endPar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2</xdr:col>
      <xdr:colOff>349653</xdr:colOff>
      <xdr:row>468</xdr:row>
      <xdr:rowOff>182879</xdr:rowOff>
    </xdr:from>
    <xdr:to>
      <xdr:col>12</xdr:col>
      <xdr:colOff>152123</xdr:colOff>
      <xdr:row>478</xdr:row>
      <xdr:rowOff>210185</xdr:rowOff>
    </xdr:to>
    <xdr:grpSp>
      <xdr:nvGrpSpPr>
        <xdr:cNvPr id="287" name="Group 286">
          <a:extLst>
            <a:ext uri="{FF2B5EF4-FFF2-40B4-BE49-F238E27FC236}">
              <a16:creationId xmlns:a16="http://schemas.microsoft.com/office/drawing/2014/main" id="{00000000-0008-0000-0000-00001F010000}"/>
            </a:ext>
          </a:extLst>
        </xdr:cNvPr>
        <xdr:cNvGrpSpPr/>
      </xdr:nvGrpSpPr>
      <xdr:grpSpPr>
        <a:xfrm>
          <a:off x="966873" y="111716819"/>
          <a:ext cx="4831670" cy="2541906"/>
          <a:chOff x="308500" y="-253097"/>
          <a:chExt cx="4719869" cy="2440642"/>
        </a:xfrm>
      </xdr:grpSpPr>
      <xdr:sp macro="" textlink="">
        <xdr:nvSpPr>
          <xdr:cNvPr id="288" name="Oval 287">
            <a:extLst>
              <a:ext uri="{FF2B5EF4-FFF2-40B4-BE49-F238E27FC236}">
                <a16:creationId xmlns:a16="http://schemas.microsoft.com/office/drawing/2014/main" id="{00000000-0008-0000-0000-000020010000}"/>
              </a:ext>
            </a:extLst>
          </xdr:cNvPr>
          <xdr:cNvSpPr>
            <a:spLocks noChangeAspect="1"/>
          </xdr:cNvSpPr>
        </xdr:nvSpPr>
        <xdr:spPr>
          <a:xfrm>
            <a:off x="3003958" y="-253097"/>
            <a:ext cx="2024411" cy="1995201"/>
          </a:xfrm>
          <a:prstGeom prst="ellipse">
            <a:avLst/>
          </a:prstGeom>
          <a:gradFill flip="none" rotWithShape="1">
            <a:gsLst>
              <a:gs pos="67000">
                <a:srgbClr val="CC66FF"/>
              </a:gs>
              <a:gs pos="45000">
                <a:srgbClr val="CC99FF"/>
              </a:gs>
              <a:gs pos="0">
                <a:srgbClr val="CC66FF"/>
              </a:gs>
            </a:gsLst>
            <a:path path="circle">
              <a:fillToRect l="50000" t="50000" r="50000" b="50000"/>
            </a:path>
            <a:tileRect/>
          </a:gradFill>
          <a:ln w="28575">
            <a:solidFill>
              <a:srgbClr val="EBDCFF"/>
            </a:solidFill>
          </a:ln>
          <a:effectLst>
            <a:glow rad="63500">
              <a:schemeClr val="accent6">
                <a:satMod val="175000"/>
                <a:alpha val="40000"/>
              </a:schemeClr>
            </a:glow>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pPr marL="0" marR="0" algn="ctr">
              <a:spcBef>
                <a:spcPts val="0"/>
              </a:spcBef>
              <a:spcAft>
                <a:spcPts val="0"/>
              </a:spcAft>
            </a:pPr>
            <a:r>
              <a:rPr lang="en-US" sz="240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ASCRIBED</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lgn="ctr">
              <a:spcBef>
                <a:spcPts val="0"/>
              </a:spcBef>
              <a:spcAft>
                <a:spcPts val="0"/>
              </a:spcAft>
            </a:pPr>
            <a:r>
              <a:rPr lang="en-US" sz="240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IMPACTOR</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sp macro="" textlink="">
        <xdr:nvSpPr>
          <xdr:cNvPr id="289" name="Oval 288">
            <a:extLst>
              <a:ext uri="{FF2B5EF4-FFF2-40B4-BE49-F238E27FC236}">
                <a16:creationId xmlns:a16="http://schemas.microsoft.com/office/drawing/2014/main" id="{00000000-0008-0000-0000-000021010000}"/>
              </a:ext>
            </a:extLst>
          </xdr:cNvPr>
          <xdr:cNvSpPr>
            <a:spLocks noChangeAspect="1"/>
          </xdr:cNvSpPr>
        </xdr:nvSpPr>
        <xdr:spPr>
          <a:xfrm>
            <a:off x="308500" y="-117181"/>
            <a:ext cx="1430653" cy="1404607"/>
          </a:xfrm>
          <a:prstGeom prst="ellipse">
            <a:avLst/>
          </a:prstGeom>
          <a:gradFill flip="none" rotWithShape="1">
            <a:gsLst>
              <a:gs pos="70000">
                <a:srgbClr val="00B050"/>
              </a:gs>
              <a:gs pos="20000">
                <a:srgbClr val="00F587"/>
              </a:gs>
              <a:gs pos="0">
                <a:srgbClr val="E1FFEB"/>
              </a:gs>
            </a:gsLst>
            <a:path path="circle">
              <a:fillToRect l="50000" t="50000" r="50000" b="50000"/>
            </a:path>
            <a:tileRect/>
          </a:gradFill>
          <a:ln w="19050">
            <a:solidFill>
              <a:srgbClr val="A0FFCD"/>
            </a:solidFill>
          </a:ln>
          <a:effectLst>
            <a:glow rad="63500">
              <a:schemeClr val="accent6">
                <a:satMod val="175000"/>
                <a:alpha val="40000"/>
              </a:schemeClr>
            </a:glow>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pPr marL="0" marR="0" algn="ctr">
              <a:spcBef>
                <a:spcPts val="0"/>
              </a:spcBef>
              <a:spcAft>
                <a:spcPts val="0"/>
              </a:spcAft>
            </a:pPr>
            <a:r>
              <a:rPr lang="en-US" sz="1600" spc="-5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REPORTING</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lgn="ctr">
              <a:spcBef>
                <a:spcPts val="0"/>
              </a:spcBef>
              <a:spcAft>
                <a:spcPts val="0"/>
              </a:spcAft>
            </a:pPr>
            <a:r>
              <a:rPr lang="en-US" sz="160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IMPACTEE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sp macro="" textlink="">
        <xdr:nvSpPr>
          <xdr:cNvPr id="290" name="Right Brace 289">
            <a:extLst>
              <a:ext uri="{FF2B5EF4-FFF2-40B4-BE49-F238E27FC236}">
                <a16:creationId xmlns:a16="http://schemas.microsoft.com/office/drawing/2014/main" id="{00000000-0008-0000-0000-000022010000}"/>
              </a:ext>
            </a:extLst>
          </xdr:cNvPr>
          <xdr:cNvSpPr/>
        </xdr:nvSpPr>
        <xdr:spPr>
          <a:xfrm rot="16809231" flipH="1">
            <a:off x="2326064" y="214256"/>
            <a:ext cx="314158" cy="3041316"/>
          </a:xfrm>
          <a:prstGeom prst="rightBrace">
            <a:avLst>
              <a:gd name="adj1" fmla="val 55142"/>
              <a:gd name="adj2" fmla="val 49780"/>
            </a:avLst>
          </a:prstGeom>
          <a:ln w="38100">
            <a:solidFill>
              <a:srgbClr val="50236E"/>
            </a:solidFill>
          </a:ln>
          <a:effectLst>
            <a:outerShdw blurRad="50800" dist="38100" dir="5400000" algn="t" rotWithShape="0">
              <a:prstClr val="black">
                <a:alpha val="40000"/>
              </a:prstClr>
            </a:outerShdw>
          </a:effectLst>
        </xdr:spPr>
        <xdr:style>
          <a:lnRef idx="1">
            <a:schemeClr val="accent1"/>
          </a:lnRef>
          <a:fillRef idx="0">
            <a:schemeClr val="accent1"/>
          </a:fillRef>
          <a:effectRef idx="0">
            <a:schemeClr val="accent1"/>
          </a:effectRef>
          <a:fontRef idx="minor">
            <a:schemeClr val="tx1"/>
          </a:fontRef>
        </xdr:style>
        <xdr:txBody>
          <a:bodyPr wrap="square" rtlCol="0" anchor="t"/>
          <a:lstStyle/>
          <a:p>
            <a:endParaRPr lang="en-US"/>
          </a:p>
        </xdr:txBody>
      </xdr:sp>
      <xdr:sp macro="" textlink="">
        <xdr:nvSpPr>
          <xdr:cNvPr id="291" name="Right Bracket 290">
            <a:extLst>
              <a:ext uri="{FF2B5EF4-FFF2-40B4-BE49-F238E27FC236}">
                <a16:creationId xmlns:a16="http://schemas.microsoft.com/office/drawing/2014/main" id="{00000000-0008-0000-0000-000023010000}"/>
              </a:ext>
            </a:extLst>
          </xdr:cNvPr>
          <xdr:cNvSpPr/>
        </xdr:nvSpPr>
        <xdr:spPr>
          <a:xfrm rot="5400000">
            <a:off x="928681" y="788085"/>
            <a:ext cx="182880" cy="914400"/>
          </a:xfrm>
          <a:prstGeom prst="rightBracket">
            <a:avLst>
              <a:gd name="adj" fmla="val 78333"/>
            </a:avLst>
          </a:prstGeom>
          <a:ln w="38100">
            <a:solidFill>
              <a:srgbClr val="50236E"/>
            </a:solidFill>
          </a:ln>
          <a:effectLst>
            <a:outerShdw blurRad="50800" dist="38100" dir="5400000" algn="t" rotWithShape="0">
              <a:prstClr val="black">
                <a:alpha val="40000"/>
              </a:prstClr>
            </a:outerShdw>
          </a:effectLst>
        </xdr:spPr>
        <xdr:style>
          <a:lnRef idx="1">
            <a:schemeClr val="accent1"/>
          </a:lnRef>
          <a:fillRef idx="0">
            <a:schemeClr val="accent1"/>
          </a:fillRef>
          <a:effectRef idx="0">
            <a:schemeClr val="accent1"/>
          </a:effectRef>
          <a:fontRef idx="minor">
            <a:schemeClr val="tx1"/>
          </a:fontRef>
        </xdr:style>
        <xdr:txBody>
          <a:bodyPr wrap="square" rtlCol="0" anchor="t"/>
          <a:lstStyle/>
          <a:p>
            <a:endParaRPr lang="en-US"/>
          </a:p>
        </xdr:txBody>
      </xdr:sp>
      <xdr:sp macro="" textlink="">
        <xdr:nvSpPr>
          <xdr:cNvPr id="292" name="Right Bracket 291">
            <a:extLst>
              <a:ext uri="{FF2B5EF4-FFF2-40B4-BE49-F238E27FC236}">
                <a16:creationId xmlns:a16="http://schemas.microsoft.com/office/drawing/2014/main" id="{00000000-0008-0000-0000-000024010000}"/>
              </a:ext>
            </a:extLst>
          </xdr:cNvPr>
          <xdr:cNvSpPr/>
        </xdr:nvSpPr>
        <xdr:spPr>
          <a:xfrm rot="5400000">
            <a:off x="3912877" y="1282437"/>
            <a:ext cx="182880" cy="914400"/>
          </a:xfrm>
          <a:prstGeom prst="rightBracket">
            <a:avLst>
              <a:gd name="adj" fmla="val 78333"/>
            </a:avLst>
          </a:prstGeom>
          <a:ln w="38100">
            <a:solidFill>
              <a:srgbClr val="50236E"/>
            </a:solidFill>
          </a:ln>
          <a:effectLst>
            <a:outerShdw blurRad="50800" dist="38100" dir="5400000" algn="t" rotWithShape="0">
              <a:prstClr val="black">
                <a:alpha val="40000"/>
              </a:prstClr>
            </a:outerShdw>
          </a:effectLst>
        </xdr:spPr>
        <xdr:style>
          <a:lnRef idx="1">
            <a:schemeClr val="accent1"/>
          </a:lnRef>
          <a:fillRef idx="0">
            <a:schemeClr val="accent1"/>
          </a:fillRef>
          <a:effectRef idx="0">
            <a:schemeClr val="accent1"/>
          </a:effectRef>
          <a:fontRef idx="minor">
            <a:schemeClr val="tx1"/>
          </a:fontRef>
        </xdr:style>
        <xdr:txBody>
          <a:bodyPr wrap="square" rtlCol="0" anchor="t"/>
          <a:lstStyle/>
          <a:p>
            <a:endParaRPr lang="en-US"/>
          </a:p>
        </xdr:txBody>
      </xdr:sp>
      <xdr:sp macro="" textlink="">
        <xdr:nvSpPr>
          <xdr:cNvPr id="293" name="Flowchart: Delay 292">
            <a:extLst>
              <a:ext uri="{FF2B5EF4-FFF2-40B4-BE49-F238E27FC236}">
                <a16:creationId xmlns:a16="http://schemas.microsoft.com/office/drawing/2014/main" id="{00000000-0008-0000-0000-000025010000}"/>
              </a:ext>
            </a:extLst>
          </xdr:cNvPr>
          <xdr:cNvSpPr/>
        </xdr:nvSpPr>
        <xdr:spPr>
          <a:xfrm rot="16200000">
            <a:off x="2319840" y="1756413"/>
            <a:ext cx="173790" cy="688474"/>
          </a:xfrm>
          <a:prstGeom prst="flowChartDelay">
            <a:avLst/>
          </a:prstGeom>
          <a:solidFill>
            <a:srgbClr val="50236E"/>
          </a:solidFill>
          <a:ln>
            <a:solidFill>
              <a:srgbClr val="50236E"/>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p>
            <a:endParaRPr lang="en-US"/>
          </a:p>
        </xdr:txBody>
      </xdr:sp>
    </xdr:grpSp>
    <xdr:clientData/>
  </xdr:twoCellAnchor>
  <xdr:oneCellAnchor>
    <xdr:from>
      <xdr:col>14</xdr:col>
      <xdr:colOff>110067</xdr:colOff>
      <xdr:row>230</xdr:row>
      <xdr:rowOff>8467</xdr:rowOff>
    </xdr:from>
    <xdr:ext cx="6047584" cy="1507029"/>
    <xdr:pic>
      <xdr:nvPicPr>
        <xdr:cNvPr id="310" name="Picture 309" hidden="1">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38900947"/>
          <a:ext cx="6047584" cy="1507029"/>
        </a:xfrm>
        <a:prstGeom prst="rect">
          <a:avLst/>
        </a:prstGeom>
      </xdr:spPr>
    </xdr:pic>
    <xdr:clientData/>
  </xdr:oneCellAnchor>
  <xdr:twoCellAnchor>
    <xdr:from>
      <xdr:col>19</xdr:col>
      <xdr:colOff>331670</xdr:colOff>
      <xdr:row>201</xdr:row>
      <xdr:rowOff>91574</xdr:rowOff>
    </xdr:from>
    <xdr:to>
      <xdr:col>22</xdr:col>
      <xdr:colOff>351722</xdr:colOff>
      <xdr:row>201</xdr:row>
      <xdr:rowOff>287555</xdr:rowOff>
    </xdr:to>
    <xdr:sp macro="" textlink="">
      <xdr:nvSpPr>
        <xdr:cNvPr id="311" name="Arrow: Left 310">
          <a:hlinkClick xmlns:r="http://schemas.openxmlformats.org/officeDocument/2006/relationships" r:id="rId3" tooltip="back to Harmony Politics tab"/>
          <a:extLst>
            <a:ext uri="{FF2B5EF4-FFF2-40B4-BE49-F238E27FC236}">
              <a16:creationId xmlns:a16="http://schemas.microsoft.com/office/drawing/2014/main" id="{00000000-0008-0000-0000-000037010000}"/>
            </a:ext>
          </a:extLst>
        </xdr:cNvPr>
        <xdr:cNvSpPr/>
      </xdr:nvSpPr>
      <xdr:spPr>
        <a:xfrm>
          <a:off x="8721290" y="4249687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222</xdr:row>
      <xdr:rowOff>5348</xdr:rowOff>
    </xdr:from>
    <xdr:to>
      <xdr:col>27</xdr:col>
      <xdr:colOff>118976</xdr:colOff>
      <xdr:row>222</xdr:row>
      <xdr:rowOff>105611</xdr:rowOff>
    </xdr:to>
    <xdr:sp macro="" textlink="">
      <xdr:nvSpPr>
        <xdr:cNvPr id="312" name="Right Triangle 311">
          <a:extLst>
            <a:ext uri="{FF2B5EF4-FFF2-40B4-BE49-F238E27FC236}">
              <a16:creationId xmlns:a16="http://schemas.microsoft.com/office/drawing/2014/main" id="{00000000-0008-0000-0000-000038010000}"/>
            </a:ext>
          </a:extLst>
        </xdr:cNvPr>
        <xdr:cNvSpPr/>
      </xdr:nvSpPr>
      <xdr:spPr>
        <a:xfrm flipH="1" flipV="1">
          <a:off x="12458429" y="3682518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201</xdr:row>
      <xdr:rowOff>62369</xdr:rowOff>
    </xdr:from>
    <xdr:to>
      <xdr:col>26</xdr:col>
      <xdr:colOff>488215</xdr:colOff>
      <xdr:row>201</xdr:row>
      <xdr:rowOff>302426</xdr:rowOff>
    </xdr:to>
    <xdr:sp macro="" textlink="">
      <xdr:nvSpPr>
        <xdr:cNvPr id="314" name="Arrow: Left 313">
          <a:hlinkClick xmlns:r="http://schemas.openxmlformats.org/officeDocument/2006/relationships" r:id="rId2" tooltip="back to Harmony Politics tab"/>
          <a:extLst>
            <a:ext uri="{FF2B5EF4-FFF2-40B4-BE49-F238E27FC236}">
              <a16:creationId xmlns:a16="http://schemas.microsoft.com/office/drawing/2014/main" id="{00000000-0008-0000-0000-00003A010000}"/>
            </a:ext>
          </a:extLst>
        </xdr:cNvPr>
        <xdr:cNvSpPr/>
      </xdr:nvSpPr>
      <xdr:spPr>
        <a:xfrm>
          <a:off x="10869463" y="3399422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15</xdr:col>
      <xdr:colOff>30480</xdr:colOff>
      <xdr:row>166</xdr:row>
      <xdr:rowOff>182880</xdr:rowOff>
    </xdr:from>
    <xdr:to>
      <xdr:col>26</xdr:col>
      <xdr:colOff>441960</xdr:colOff>
      <xdr:row>183</xdr:row>
      <xdr:rowOff>129540</xdr:rowOff>
    </xdr:to>
    <xdr:sp macro="" textlink="">
      <xdr:nvSpPr>
        <xdr:cNvPr id="315" name="TextBox 314">
          <a:extLst>
            <a:ext uri="{FF2B5EF4-FFF2-40B4-BE49-F238E27FC236}">
              <a16:creationId xmlns:a16="http://schemas.microsoft.com/office/drawing/2014/main" id="{00000000-0008-0000-0000-00003B010000}"/>
            </a:ext>
          </a:extLst>
        </xdr:cNvPr>
        <xdr:cNvSpPr txBox="1"/>
      </xdr:nvSpPr>
      <xdr:spPr>
        <a:xfrm>
          <a:off x="6408420" y="42854880"/>
          <a:ext cx="5943600" cy="38938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Needs come first</a:t>
          </a:r>
        </a:p>
        <a:p>
          <a:r>
            <a:rPr lang="en-US" sz="1050" baseline="0">
              <a:solidFill>
                <a:schemeClr val="dk1"/>
              </a:solidFill>
              <a:latin typeface="Arial Narrow" panose="020B0606020202030204" pitchFamily="34" charset="0"/>
              <a:ea typeface="+mn-ea"/>
              <a:cs typeface="+mn-cs"/>
            </a:rPr>
            <a:t>When it comes to [ISSUE], you need to focus more on [FOCUS] for [NEED]. Your situation in life proritizes your need for [FOCUS]. So you gravitate toward a [STANCE] position. Your needs come first. They prioritize your political reasoning, for their relief. </a:t>
          </a:r>
        </a:p>
        <a:p>
          <a:r>
            <a:rPr lang="en-US" sz="1050" baseline="0">
              <a:solidFill>
                <a:srgbClr val="780091"/>
              </a:solidFill>
              <a:latin typeface="Arial Narrow" panose="020B0606020202030204" pitchFamily="34" charset="0"/>
              <a:ea typeface="+mn-ea"/>
              <a:cs typeface="+mn-cs"/>
            </a:rPr>
            <a:t>When it comes to politics, you need to focus more on what impacts your needs. Your situation in life creates a clashing priority of needs than experienced by those of the other political side. Your needs come first. They prioritize your political reasoning, for their relief.</a:t>
          </a:r>
        </a:p>
        <a:p>
          <a:endParaRPr lang="en-US" sz="1050" baseline="0">
            <a:solidFill>
              <a:schemeClr val="dk1"/>
            </a:solidFill>
            <a:latin typeface="Arial Narrow" panose="020B0606020202030204" pitchFamily="34" charset="0"/>
            <a:ea typeface="+mn-ea"/>
            <a:cs typeface="+mn-cs"/>
          </a:endParaRPr>
        </a:p>
        <a:p>
          <a:r>
            <a:rPr lang="en-US" sz="1050" baseline="0">
              <a:solidFill>
                <a:schemeClr val="dk1"/>
              </a:solidFill>
              <a:latin typeface="Arial Narrow" panose="020B0606020202030204" pitchFamily="34" charset="0"/>
              <a:ea typeface="+mn-ea"/>
              <a:cs typeface="+mn-cs"/>
            </a:rPr>
            <a:t>Others experience a strikingly different priority of needs. They need to focus more on [FOCUS] for [NEED].They tend to take a [STANCE] stance on [ISSUE]. Their reasoning can mount compelling arguments to support their side. They must, when their needs depend on it. Much like yours.</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a:t>
          </a:r>
          <a:r>
            <a:rPr lang="en-US" sz="1050" baseline="0">
              <a:solidFill>
                <a:srgbClr val="CC00CC"/>
              </a:solidFill>
              <a:latin typeface="Arial Narrow" panose="020B0606020202030204" pitchFamily="34" charset="0"/>
              <a:ea typeface="+mn-ea"/>
              <a:cs typeface="+mn-cs"/>
            </a:rPr>
            <a:t>.</a:t>
          </a:r>
        </a:p>
        <a:p>
          <a:endParaRPr lang="en-US" sz="1050" baseline="0">
            <a:solidFill>
              <a:schemeClr val="dk1"/>
            </a:solidFill>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a:p>
          <a:r>
            <a:rPr lang="en-US" sz="1050" baseline="0">
              <a:solidFill>
                <a:schemeClr val="dk1"/>
              </a:solidFill>
              <a:latin typeface="Arial Narrow" panose="020B0606020202030204" pitchFamily="34" charset="0"/>
              <a:ea typeface="+mn-ea"/>
              <a:cs typeface="+mn-cs"/>
            </a:rPr>
            <a:t>There is no good nor bad except for need. What appears bad for them seems bad to you. What seems good for them feels bad for you. The generalizing of divisive [ISSUE] politics easily abandons you here, in this painful zone of hostile differences. </a:t>
          </a:r>
        </a:p>
        <a:p>
          <a:endParaRPr lang="en-US" sz="1050" baseline="0">
            <a:solidFill>
              <a:schemeClr val="dk1"/>
            </a:solidFill>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xdr:txBody>
    </xdr:sp>
    <xdr:clientData/>
  </xdr:twoCellAnchor>
  <xdr:oneCellAnchor>
    <xdr:from>
      <xdr:col>14</xdr:col>
      <xdr:colOff>110067</xdr:colOff>
      <xdr:row>294</xdr:row>
      <xdr:rowOff>8467</xdr:rowOff>
    </xdr:from>
    <xdr:ext cx="6047584" cy="1507029"/>
    <xdr:pic>
      <xdr:nvPicPr>
        <xdr:cNvPr id="322" name="Picture 321" hidden="1">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47435347"/>
          <a:ext cx="6047584" cy="1507029"/>
        </a:xfrm>
        <a:prstGeom prst="rect">
          <a:avLst/>
        </a:prstGeom>
      </xdr:spPr>
    </xdr:pic>
    <xdr:clientData/>
  </xdr:oneCellAnchor>
  <xdr:twoCellAnchor>
    <xdr:from>
      <xdr:col>20</xdr:col>
      <xdr:colOff>285950</xdr:colOff>
      <xdr:row>274</xdr:row>
      <xdr:rowOff>99194</xdr:rowOff>
    </xdr:from>
    <xdr:to>
      <xdr:col>23</xdr:col>
      <xdr:colOff>306002</xdr:colOff>
      <xdr:row>274</xdr:row>
      <xdr:rowOff>295175</xdr:rowOff>
    </xdr:to>
    <xdr:sp macro="" textlink="">
      <xdr:nvSpPr>
        <xdr:cNvPr id="323" name="Arrow: Left 322">
          <a:hlinkClick xmlns:r="http://schemas.openxmlformats.org/officeDocument/2006/relationships" r:id="rId3" tooltip="back to Harmony Politics tab"/>
          <a:extLst>
            <a:ext uri="{FF2B5EF4-FFF2-40B4-BE49-F238E27FC236}">
              <a16:creationId xmlns:a16="http://schemas.microsoft.com/office/drawing/2014/main" id="{00000000-0008-0000-0000-000043010000}"/>
            </a:ext>
          </a:extLst>
        </xdr:cNvPr>
        <xdr:cNvSpPr/>
      </xdr:nvSpPr>
      <xdr:spPr>
        <a:xfrm>
          <a:off x="9178490" y="5091697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274</xdr:row>
      <xdr:rowOff>62369</xdr:rowOff>
    </xdr:from>
    <xdr:to>
      <xdr:col>26</xdr:col>
      <xdr:colOff>488215</xdr:colOff>
      <xdr:row>274</xdr:row>
      <xdr:rowOff>302426</xdr:rowOff>
    </xdr:to>
    <xdr:sp macro="" textlink="">
      <xdr:nvSpPr>
        <xdr:cNvPr id="326" name="Arrow: Left 325">
          <a:hlinkClick xmlns:r="http://schemas.openxmlformats.org/officeDocument/2006/relationships" r:id="rId2" tooltip="back to Harmony Politics tab"/>
          <a:extLst>
            <a:ext uri="{FF2B5EF4-FFF2-40B4-BE49-F238E27FC236}">
              <a16:creationId xmlns:a16="http://schemas.microsoft.com/office/drawing/2014/main" id="{00000000-0008-0000-0000-000046010000}"/>
            </a:ext>
          </a:extLst>
        </xdr:cNvPr>
        <xdr:cNvSpPr/>
      </xdr:nvSpPr>
      <xdr:spPr>
        <a:xfrm>
          <a:off x="10869463" y="4252862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15</xdr:col>
      <xdr:colOff>53033</xdr:colOff>
      <xdr:row>203</xdr:row>
      <xdr:rowOff>76124</xdr:rowOff>
    </xdr:from>
    <xdr:to>
      <xdr:col>26</xdr:col>
      <xdr:colOff>464513</xdr:colOff>
      <xdr:row>229</xdr:row>
      <xdr:rowOff>190500</xdr:rowOff>
    </xdr:to>
    <xdr:sp macro="" textlink="">
      <xdr:nvSpPr>
        <xdr:cNvPr id="327" name="TextBox 326">
          <a:extLst>
            <a:ext uri="{FF2B5EF4-FFF2-40B4-BE49-F238E27FC236}">
              <a16:creationId xmlns:a16="http://schemas.microsoft.com/office/drawing/2014/main" id="{00000000-0008-0000-0000-000047010000}"/>
            </a:ext>
          </a:extLst>
        </xdr:cNvPr>
        <xdr:cNvSpPr txBox="1"/>
      </xdr:nvSpPr>
      <xdr:spPr>
        <a:xfrm>
          <a:off x="6430973" y="51206324"/>
          <a:ext cx="5943600" cy="6080836"/>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DESCENDING INTO NEEDLESS BATTLE </a:t>
          </a:r>
          <a:r>
            <a:rPr lang="en-US" sz="1200" baseline="0">
              <a:solidFill>
                <a:srgbClr val="00823C"/>
              </a:solidFill>
              <a:latin typeface="Franklin Gothic Demi Cond" panose="020B0706030402020204" pitchFamily="34" charset="0"/>
              <a:ea typeface="+mn-ea"/>
              <a:cs typeface="+mn-cs"/>
            </a:rPr>
            <a:t>[LACK OF MORAL LEADERSHIP]</a:t>
          </a:r>
          <a:endParaRPr lang="en-US" sz="1050" baseline="0">
            <a:solidFill>
              <a:srgbClr val="00823C"/>
            </a:solidFill>
            <a:latin typeface="Franklin Gothic Demi Cond" panose="020B070603040202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a:p>
          <a:r>
            <a:rPr lang="en-US" sz="1100" b="1" baseline="0">
              <a:solidFill>
                <a:schemeClr val="dk1"/>
              </a:solidFill>
              <a:latin typeface="Arial Narrow" panose="020B0606020202030204" pitchFamily="34" charset="0"/>
              <a:ea typeface="+mn-ea"/>
              <a:cs typeface="+mn-cs"/>
            </a:rPr>
            <a:t>1. Void of moral leadership</a:t>
          </a:r>
        </a:p>
        <a:p>
          <a:r>
            <a:rPr lang="en-US" sz="1050" baseline="0">
              <a:solidFill>
                <a:schemeClr val="dk1"/>
              </a:solidFill>
              <a:latin typeface="Arial Narrow" panose="020B0606020202030204" pitchFamily="34" charset="0"/>
              <a:ea typeface="+mn-ea"/>
              <a:cs typeface="+mn-cs"/>
            </a:rPr>
            <a:t>Conventionally, the other side seems like a threat to your prioritized needs. The more you seek to [EASE], the more they seek to [EASE]. You both must serve your different priority of [ISSUE] affected needs. Political generalizing arrives after the fact. If it wasn't for your diverging priority of [ISSUE] needs, you likely wouldn't care about [ISSUE] politics.</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Conventionally, the other side seems like a threat to your prioritized needs. The more you try to ease your needs one way, the more they try to ease theirs the opposiste way. You both must serve a clashing  priority of publicly affected needs. Political generalizing arrives after the fact. If it wasn't for your diverging priority of politicized needs, you likely wouldn't care about politics.</a:t>
          </a:r>
        </a:p>
        <a:p>
          <a:endParaRPr lang="en-US" sz="1050" baseline="0">
            <a:solidFill>
              <a:schemeClr val="dk1"/>
            </a:solidFill>
            <a:latin typeface="Arial Narrow" panose="020B0606020202030204" pitchFamily="34" charset="0"/>
            <a:ea typeface="+mn-ea"/>
            <a:cs typeface="+mn-cs"/>
          </a:endParaRPr>
        </a:p>
        <a:p>
          <a:r>
            <a:rPr lang="en-US" sz="1050" b="1" baseline="0">
              <a:solidFill>
                <a:schemeClr val="dk1"/>
              </a:solidFill>
              <a:latin typeface="Arial Narrow" panose="020B0606020202030204" pitchFamily="34" charset="0"/>
              <a:ea typeface="+mn-ea"/>
              <a:cs typeface="+mn-cs"/>
            </a:rPr>
            <a:t>WIDE</a:t>
          </a:r>
          <a:r>
            <a:rPr lang="en-US" sz="1050" baseline="0">
              <a:solidFill>
                <a:schemeClr val="dk1"/>
              </a:solidFill>
              <a:latin typeface="Arial Narrow" panose="020B0606020202030204" pitchFamily="34" charset="0"/>
              <a:ea typeface="+mn-ea"/>
              <a:cs typeface="+mn-cs"/>
            </a:rPr>
            <a:t>: We must [W EASE] and [W OVERGEN].</a:t>
          </a:r>
        </a:p>
        <a:p>
          <a:r>
            <a:rPr lang="en-US" sz="1050" baseline="0">
              <a:solidFill>
                <a:srgbClr val="780091"/>
              </a:solidFill>
              <a:latin typeface="Arial Narrow" panose="020B0606020202030204" pitchFamily="34" charset="0"/>
              <a:ea typeface="+mn-ea"/>
              <a:cs typeface="+mn-cs"/>
            </a:rPr>
            <a:t>We must ensure everyone's needs are equally met through government oversight</a:t>
          </a:r>
          <a:r>
            <a:rPr lang="en-US" sz="1050" baseline="0">
              <a:solidFill>
                <a:srgbClr val="CC00CC"/>
              </a:solidFill>
              <a:latin typeface="Arial Narrow" panose="020B0606020202030204" pitchFamily="34" charset="0"/>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r>
            <a:rPr lang="en-US" sz="1050" b="1" baseline="0">
              <a:solidFill>
                <a:schemeClr val="dk1"/>
              </a:solidFill>
              <a:latin typeface="Arial Narrow" panose="020B0606020202030204" pitchFamily="34" charset="0"/>
              <a:ea typeface="+mn-ea"/>
              <a:cs typeface="+mn-cs"/>
            </a:rPr>
            <a:t>DEEP:</a:t>
          </a:r>
          <a:r>
            <a:rPr lang="en-US" sz="1050" baseline="0">
              <a:solidFill>
                <a:schemeClr val="dk1"/>
              </a:solidFill>
              <a:latin typeface="Arial Narrow" panose="020B0606020202030204" pitchFamily="34" charset="0"/>
              <a:ea typeface="+mn-ea"/>
              <a:cs typeface="+mn-cs"/>
            </a:rPr>
            <a:t> We must [D EASE] and [D OVERGEN].</a:t>
          </a:r>
        </a:p>
        <a:p>
          <a:pPr marL="0" indent="0"/>
          <a:r>
            <a:rPr lang="en-US" sz="1050" baseline="0">
              <a:solidFill>
                <a:srgbClr val="780091"/>
              </a:solidFill>
              <a:latin typeface="Arial Narrow" panose="020B0606020202030204" pitchFamily="34" charset="0"/>
              <a:ea typeface="+mn-ea"/>
              <a:cs typeface="+mn-cs"/>
            </a:rPr>
            <a:t>We must ensure everyone can freely live up to their full creative potential</a:t>
          </a:r>
          <a:r>
            <a:rPr lang="en-US" sz="1050" baseline="0">
              <a:solidFill>
                <a:srgbClr val="CC00CC"/>
              </a:solidFill>
              <a:latin typeface="Arial Narrow" panose="020B0606020202030204" pitchFamily="34" charset="0"/>
              <a:ea typeface="+mn-ea"/>
              <a:cs typeface="+mn-cs"/>
            </a:rPr>
            <a:t>.</a:t>
          </a:r>
        </a:p>
        <a:p>
          <a:endParaRPr lang="en-US" sz="1050" baseline="0">
            <a:solidFill>
              <a:schemeClr val="dk1"/>
            </a:solidFill>
            <a:latin typeface="Arial Narrow" panose="020B0606020202030204" pitchFamily="34" charset="0"/>
            <a:ea typeface="+mn-ea"/>
            <a:cs typeface="+mn-cs"/>
          </a:endParaRPr>
        </a:p>
        <a:p>
          <a:r>
            <a:rPr lang="en-US" sz="1100" b="1" baseline="0">
              <a:solidFill>
                <a:schemeClr val="dk1"/>
              </a:solidFill>
              <a:latin typeface="Arial Narrow" panose="020B0606020202030204" pitchFamily="34" charset="0"/>
              <a:ea typeface="+mn-ea"/>
              <a:cs typeface="+mn-cs"/>
            </a:rPr>
            <a:t>2. Exaggerating slips into extremes</a:t>
          </a:r>
        </a:p>
        <a:p>
          <a:r>
            <a:rPr lang="en-US" sz="1050" baseline="0">
              <a:solidFill>
                <a:schemeClr val="dk1"/>
              </a:solidFill>
              <a:latin typeface="Arial Narrow" panose="020B0606020202030204" pitchFamily="34" charset="0"/>
              <a:ea typeface="+mn-ea"/>
              <a:cs typeface="+mn-cs"/>
            </a:rPr>
            <a:t>In the absence of a bridge for mutual respect, each side entertains extreme [ISSUE] positions.You or someone on your </a:t>
          </a:r>
          <a:r>
            <a:rPr lang="en-US" sz="1050" spc="-10" baseline="0">
              <a:solidFill>
                <a:schemeClr val="dk1"/>
              </a:solidFill>
              <a:latin typeface="Arial Narrow" panose="020B0606020202030204" pitchFamily="34" charset="0"/>
              <a:ea typeface="+mn-ea"/>
              <a:cs typeface="+mn-cs"/>
            </a:rPr>
            <a:t>side likely insists we [OVERGEN]. That easily provokes extreme elements on the other side. They insist we [OVERGEN] </a:t>
          </a:r>
          <a:r>
            <a:rPr lang="en-US" sz="1050" baseline="0">
              <a:solidFill>
                <a:schemeClr val="dk1"/>
              </a:solidFill>
              <a:latin typeface="Arial Narrow" panose="020B0606020202030204" pitchFamily="34" charset="0"/>
              <a:ea typeface="+mn-ea"/>
              <a:cs typeface="+mn-cs"/>
            </a:rPr>
            <a:t>to serve their prioritized [ISSUE] needs.</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In the absence of a bridge for mutual respect, each side entertains extreme positions. You or someone on your side likely insists we go to one extreme. That easily provokes extreme elements on the other side. They insist we go in the opposite extreme, to serve their prioritized needs</a:t>
          </a:r>
          <a:r>
            <a:rPr lang="en-US" sz="1050" baseline="0">
              <a:solidFill>
                <a:srgbClr val="CC00CC"/>
              </a:solidFill>
              <a:latin typeface="Arial Narrow" panose="020B0606020202030204" pitchFamily="34" charset="0"/>
              <a:ea typeface="+mn-ea"/>
              <a:cs typeface="+mn-cs"/>
            </a:rPr>
            <a:t>.</a:t>
          </a:r>
        </a:p>
        <a:p>
          <a:endParaRPr lang="en-US" sz="1050" baseline="0">
            <a:solidFill>
              <a:schemeClr val="dk1"/>
            </a:solidFill>
            <a:latin typeface="Arial Narrow" panose="020B0606020202030204" pitchFamily="34" charset="0"/>
            <a:ea typeface="+mn-ea"/>
            <a:cs typeface="+mn-cs"/>
          </a:endParaRPr>
        </a:p>
        <a:p>
          <a:r>
            <a:rPr lang="en-US" sz="1100" b="1" baseline="0">
              <a:solidFill>
                <a:schemeClr val="dk1"/>
              </a:solidFill>
              <a:latin typeface="Arial Narrow" panose="020B0606020202030204" pitchFamily="34" charset="0"/>
              <a:ea typeface="+mn-ea"/>
              <a:cs typeface="+mn-cs"/>
            </a:rPr>
            <a:t>3. Erupting into hate</a:t>
          </a:r>
        </a:p>
        <a:p>
          <a:r>
            <a:rPr lang="en-US" sz="1050" baseline="0">
              <a:solidFill>
                <a:schemeClr val="dk1"/>
              </a:solidFill>
              <a:latin typeface="Arial Narrow" panose="020B0606020202030204" pitchFamily="34" charset="0"/>
              <a:ea typeface="+mn-ea"/>
              <a:cs typeface="+mn-cs"/>
            </a:rPr>
            <a:t>Soon, loud voices on your side </a:t>
          </a:r>
          <a:r>
            <a:rPr lang="en-US" sz="1050" baseline="0">
              <a:solidFill>
                <a:schemeClr val="dk1"/>
              </a:solidFill>
              <a:effectLst/>
              <a:latin typeface="Arial Narrow" panose="020B0606020202030204" pitchFamily="34" charset="0"/>
              <a:ea typeface="+mn-ea"/>
              <a:cs typeface="+mn-cs"/>
            </a:rPr>
            <a:t>denounces the other side as a bunch of [EPITH]. Their obnoxious voices likely denounce your side as full of [EPITH]. This descent into mean-spirited squabbling easly passes for political debate. You need an effective way to convey your [ISSUE] affected needs. Divisive politics fails you every time.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a:t>
          </a:r>
          <a:r>
            <a:rPr lang="en-US" sz="1050" baseline="0">
              <a:solidFill>
                <a:srgbClr val="CC00CC"/>
              </a:solidFill>
              <a:latin typeface="Arial Narrow" panose="020B0606020202030204" pitchFamily="34" charset="0"/>
              <a:ea typeface="+mn-ea"/>
              <a:cs typeface="+mn-cs"/>
            </a:rPr>
            <a:t>.</a:t>
          </a:r>
        </a:p>
        <a:p>
          <a:endParaRPr lang="en-US" sz="1050">
            <a:effectLst/>
            <a:latin typeface="Arial Narrow" panose="020B0606020202030204" pitchFamily="34" charset="0"/>
          </a:endParaRPr>
        </a:p>
        <a:p>
          <a:r>
            <a:rPr lang="en-US" sz="1050" b="1" baseline="0">
              <a:solidFill>
                <a:srgbClr val="CC00CC"/>
              </a:solidFill>
              <a:latin typeface="Arial Narrow" panose="020B0606020202030204" pitchFamily="34" charset="0"/>
              <a:ea typeface="+mn-ea"/>
              <a:cs typeface="+mn-cs"/>
            </a:rPr>
            <a:t>WIDE</a:t>
          </a:r>
          <a:r>
            <a:rPr lang="en-US" sz="1050" baseline="0">
              <a:solidFill>
                <a:srgbClr val="CC00CC"/>
              </a:solidFill>
              <a:latin typeface="Arial Narrow" panose="020B0606020202030204" pitchFamily="34" charset="0"/>
              <a:ea typeface="+mn-ea"/>
              <a:cs typeface="+mn-cs"/>
            </a:rPr>
            <a:t>: </a:t>
          </a:r>
          <a:r>
            <a:rPr lang="en-US" sz="1050" baseline="0">
              <a:solidFill>
                <a:srgbClr val="780091"/>
              </a:solidFill>
              <a:latin typeface="Arial Narrow" panose="020B0606020202030204" pitchFamily="34" charset="0"/>
              <a:ea typeface="+mn-ea"/>
              <a:cs typeface="+mn-cs"/>
            </a:rPr>
            <a:t>"bigot!" {'right-winger'}</a:t>
          </a:r>
        </a:p>
        <a:p>
          <a:r>
            <a:rPr lang="en-US" sz="1050" b="1" baseline="0">
              <a:solidFill>
                <a:srgbClr val="CC00CC"/>
              </a:solidFill>
              <a:latin typeface="Arial Narrow" panose="020B0606020202030204" pitchFamily="34" charset="0"/>
              <a:ea typeface="+mn-ea"/>
              <a:cs typeface="+mn-cs"/>
            </a:rPr>
            <a:t>DEEP</a:t>
          </a:r>
          <a:r>
            <a:rPr lang="en-US" sz="1050" baseline="0">
              <a:solidFill>
                <a:srgbClr val="CC00CC"/>
              </a:solidFill>
              <a:latin typeface="Arial Narrow" panose="020B0606020202030204" pitchFamily="34" charset="0"/>
              <a:ea typeface="+mn-ea"/>
              <a:cs typeface="+mn-cs"/>
            </a:rPr>
            <a:t>: </a:t>
          </a:r>
          <a:r>
            <a:rPr lang="en-US" sz="1050" baseline="0">
              <a:solidFill>
                <a:srgbClr val="780091"/>
              </a:solidFill>
              <a:latin typeface="Arial Narrow" panose="020B0606020202030204" pitchFamily="34" charset="0"/>
              <a:ea typeface="+mn-ea"/>
              <a:cs typeface="+mn-cs"/>
            </a:rPr>
            <a:t>"libtard!" {'left-winger'}</a:t>
          </a:r>
        </a:p>
      </xdr:txBody>
    </xdr:sp>
    <xdr:clientData/>
  </xdr:twoCellAnchor>
  <xdr:oneCellAnchor>
    <xdr:from>
      <xdr:col>14</xdr:col>
      <xdr:colOff>110067</xdr:colOff>
      <xdr:row>311</xdr:row>
      <xdr:rowOff>0</xdr:rowOff>
    </xdr:from>
    <xdr:ext cx="6047584" cy="1507029"/>
    <xdr:pic>
      <xdr:nvPicPr>
        <xdr:cNvPr id="328" name="Picture 327" hidden="1">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55969747"/>
          <a:ext cx="6047584" cy="1507029"/>
        </a:xfrm>
        <a:prstGeom prst="rect">
          <a:avLst/>
        </a:prstGeom>
      </xdr:spPr>
    </xdr:pic>
    <xdr:clientData/>
  </xdr:oneCellAnchor>
  <xdr:oneCellAnchor>
    <xdr:from>
      <xdr:col>14</xdr:col>
      <xdr:colOff>110067</xdr:colOff>
      <xdr:row>406</xdr:row>
      <xdr:rowOff>8467</xdr:rowOff>
    </xdr:from>
    <xdr:ext cx="6047584" cy="1507029"/>
    <xdr:pic>
      <xdr:nvPicPr>
        <xdr:cNvPr id="336" name="Picture 335" hidden="1">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64260307"/>
          <a:ext cx="6047584" cy="1507029"/>
        </a:xfrm>
        <a:prstGeom prst="rect">
          <a:avLst/>
        </a:prstGeom>
      </xdr:spPr>
    </xdr:pic>
    <xdr:clientData/>
  </xdr:oneCellAnchor>
  <xdr:twoCellAnchor>
    <xdr:from>
      <xdr:col>19</xdr:col>
      <xdr:colOff>476450</xdr:colOff>
      <xdr:row>384</xdr:row>
      <xdr:rowOff>106814</xdr:rowOff>
    </xdr:from>
    <xdr:to>
      <xdr:col>22</xdr:col>
      <xdr:colOff>496502</xdr:colOff>
      <xdr:row>384</xdr:row>
      <xdr:rowOff>302795</xdr:rowOff>
    </xdr:to>
    <xdr:sp macro="" textlink="">
      <xdr:nvSpPr>
        <xdr:cNvPr id="337" name="Arrow: Left 336">
          <a:hlinkClick xmlns:r="http://schemas.openxmlformats.org/officeDocument/2006/relationships" r:id="rId3" tooltip="back to Harmony Politics tab"/>
          <a:extLst>
            <a:ext uri="{FF2B5EF4-FFF2-40B4-BE49-F238E27FC236}">
              <a16:creationId xmlns:a16="http://schemas.microsoft.com/office/drawing/2014/main" id="{00000000-0008-0000-0000-000051010000}"/>
            </a:ext>
          </a:extLst>
        </xdr:cNvPr>
        <xdr:cNvSpPr/>
      </xdr:nvSpPr>
      <xdr:spPr>
        <a:xfrm>
          <a:off x="8866070" y="6793243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384</xdr:row>
      <xdr:rowOff>62369</xdr:rowOff>
    </xdr:from>
    <xdr:to>
      <xdr:col>26</xdr:col>
      <xdr:colOff>488215</xdr:colOff>
      <xdr:row>384</xdr:row>
      <xdr:rowOff>302426</xdr:rowOff>
    </xdr:to>
    <xdr:sp macro="" textlink="">
      <xdr:nvSpPr>
        <xdr:cNvPr id="340" name="Arrow: Left 339">
          <a:hlinkClick xmlns:r="http://schemas.openxmlformats.org/officeDocument/2006/relationships" r:id="rId2" tooltip="back to Harmony Politics tab"/>
          <a:extLst>
            <a:ext uri="{FF2B5EF4-FFF2-40B4-BE49-F238E27FC236}">
              <a16:creationId xmlns:a16="http://schemas.microsoft.com/office/drawing/2014/main" id="{00000000-0008-0000-0000-000054010000}"/>
            </a:ext>
          </a:extLst>
        </xdr:cNvPr>
        <xdr:cNvSpPr/>
      </xdr:nvSpPr>
      <xdr:spPr>
        <a:xfrm>
          <a:off x="10869463" y="5935358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17</xdr:col>
      <xdr:colOff>415490</xdr:colOff>
      <xdr:row>348</xdr:row>
      <xdr:rowOff>99194</xdr:rowOff>
    </xdr:from>
    <xdr:to>
      <xdr:col>20</xdr:col>
      <xdr:colOff>435542</xdr:colOff>
      <xdr:row>348</xdr:row>
      <xdr:rowOff>295175</xdr:rowOff>
    </xdr:to>
    <xdr:sp macro="" textlink="">
      <xdr:nvSpPr>
        <xdr:cNvPr id="348" name="Arrow: Left 347">
          <a:hlinkClick xmlns:r="http://schemas.openxmlformats.org/officeDocument/2006/relationships" r:id="rId3" tooltip="back to Harmony Politics tab"/>
          <a:extLst>
            <a:ext uri="{FF2B5EF4-FFF2-40B4-BE49-F238E27FC236}">
              <a16:creationId xmlns:a16="http://schemas.microsoft.com/office/drawing/2014/main" id="{00000000-0008-0000-0000-00005C010000}"/>
            </a:ext>
          </a:extLst>
        </xdr:cNvPr>
        <xdr:cNvSpPr/>
      </xdr:nvSpPr>
      <xdr:spPr>
        <a:xfrm>
          <a:off x="7799270" y="5939041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365</xdr:row>
      <xdr:rowOff>5348</xdr:rowOff>
    </xdr:from>
    <xdr:to>
      <xdr:col>27</xdr:col>
      <xdr:colOff>118976</xdr:colOff>
      <xdr:row>365</xdr:row>
      <xdr:rowOff>105611</xdr:rowOff>
    </xdr:to>
    <xdr:sp macro="" textlink="">
      <xdr:nvSpPr>
        <xdr:cNvPr id="349" name="Right Triangle 348">
          <a:extLst>
            <a:ext uri="{FF2B5EF4-FFF2-40B4-BE49-F238E27FC236}">
              <a16:creationId xmlns:a16="http://schemas.microsoft.com/office/drawing/2014/main" id="{00000000-0008-0000-0000-00005D010000}"/>
            </a:ext>
          </a:extLst>
        </xdr:cNvPr>
        <xdr:cNvSpPr/>
      </xdr:nvSpPr>
      <xdr:spPr>
        <a:xfrm flipH="1" flipV="1">
          <a:off x="12458429" y="6224550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348</xdr:row>
      <xdr:rowOff>62369</xdr:rowOff>
    </xdr:from>
    <xdr:to>
      <xdr:col>26</xdr:col>
      <xdr:colOff>488215</xdr:colOff>
      <xdr:row>348</xdr:row>
      <xdr:rowOff>302426</xdr:rowOff>
    </xdr:to>
    <xdr:sp macro="" textlink="">
      <xdr:nvSpPr>
        <xdr:cNvPr id="351" name="Arrow: Left 350">
          <a:hlinkClick xmlns:r="http://schemas.openxmlformats.org/officeDocument/2006/relationships" r:id="rId2" tooltip="back to Harmony Politics tab"/>
          <a:extLst>
            <a:ext uri="{FF2B5EF4-FFF2-40B4-BE49-F238E27FC236}">
              <a16:creationId xmlns:a16="http://schemas.microsoft.com/office/drawing/2014/main" id="{00000000-0008-0000-0000-00005F010000}"/>
            </a:ext>
          </a:extLst>
        </xdr:cNvPr>
        <xdr:cNvSpPr/>
      </xdr:nvSpPr>
      <xdr:spPr>
        <a:xfrm>
          <a:off x="10869463" y="5935358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83820</xdr:colOff>
      <xdr:row>358</xdr:row>
      <xdr:rowOff>68580</xdr:rowOff>
    </xdr:from>
    <xdr:to>
      <xdr:col>6</xdr:col>
      <xdr:colOff>499872</xdr:colOff>
      <xdr:row>361</xdr:row>
      <xdr:rowOff>228600</xdr:rowOff>
    </xdr:to>
    <xdr:sp macro="" textlink="">
      <xdr:nvSpPr>
        <xdr:cNvPr id="352" name="Listen W bubble">
          <a:extLst>
            <a:ext uri="{FF2B5EF4-FFF2-40B4-BE49-F238E27FC236}">
              <a16:creationId xmlns:a16="http://schemas.microsoft.com/office/drawing/2014/main" id="{00000000-0008-0000-0000-000060010000}"/>
            </a:ext>
          </a:extLst>
        </xdr:cNvPr>
        <xdr:cNvSpPr/>
      </xdr:nvSpPr>
      <xdr:spPr>
        <a:xfrm>
          <a:off x="83820" y="87043260"/>
          <a:ext cx="3044952" cy="914400"/>
        </a:xfrm>
        <a:prstGeom prst="wedgeRoundRectCallout">
          <a:avLst>
            <a:gd name="adj1" fmla="val -37843"/>
            <a:gd name="adj2" fmla="val -63031"/>
            <a:gd name="adj3" fmla="val 16667"/>
          </a:avLst>
        </a:prstGeom>
        <a:blipFill>
          <a:blip xmlns:r="http://schemas.openxmlformats.org/officeDocument/2006/relationships" r:embed="rId27">
            <a:alphaModFix amt="10000"/>
          </a:blip>
          <a:stretch>
            <a:fillRect/>
          </a:stretch>
        </a:blipFill>
        <a:ln w="28575">
          <a:solidFill>
            <a:srgbClr val="0096C8"/>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7620</xdr:colOff>
      <xdr:row>358</xdr:row>
      <xdr:rowOff>68580</xdr:rowOff>
    </xdr:from>
    <xdr:to>
      <xdr:col>13</xdr:col>
      <xdr:colOff>35052</xdr:colOff>
      <xdr:row>361</xdr:row>
      <xdr:rowOff>228600</xdr:rowOff>
    </xdr:to>
    <xdr:sp macro="" textlink="">
      <xdr:nvSpPr>
        <xdr:cNvPr id="353" name="Listen D bubble">
          <a:extLst>
            <a:ext uri="{FF2B5EF4-FFF2-40B4-BE49-F238E27FC236}">
              <a16:creationId xmlns:a16="http://schemas.microsoft.com/office/drawing/2014/main" id="{00000000-0008-0000-0000-000061010000}"/>
            </a:ext>
          </a:extLst>
        </xdr:cNvPr>
        <xdr:cNvSpPr/>
      </xdr:nvSpPr>
      <xdr:spPr>
        <a:xfrm>
          <a:off x="3139440" y="70104000"/>
          <a:ext cx="3044952" cy="914400"/>
        </a:xfrm>
        <a:prstGeom prst="wedgeRoundRectCallout">
          <a:avLst>
            <a:gd name="adj1" fmla="val 39219"/>
            <a:gd name="adj2" fmla="val -64095"/>
            <a:gd name="adj3" fmla="val 16667"/>
          </a:avLst>
        </a:prstGeom>
        <a:blipFill>
          <a:blip xmlns:r="http://schemas.openxmlformats.org/officeDocument/2006/relationships" r:embed="rId28">
            <a:alphaModFix amt="10000"/>
          </a:blip>
          <a:stretch>
            <a:fillRect/>
          </a:stretch>
        </a:blip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83820</xdr:colOff>
      <xdr:row>365</xdr:row>
      <xdr:rowOff>60960</xdr:rowOff>
    </xdr:from>
    <xdr:to>
      <xdr:col>6</xdr:col>
      <xdr:colOff>499872</xdr:colOff>
      <xdr:row>368</xdr:row>
      <xdr:rowOff>220980</xdr:rowOff>
    </xdr:to>
    <xdr:sp macro="" textlink="">
      <xdr:nvSpPr>
        <xdr:cNvPr id="354" name="Affirm W bubble">
          <a:extLst>
            <a:ext uri="{FF2B5EF4-FFF2-40B4-BE49-F238E27FC236}">
              <a16:creationId xmlns:a16="http://schemas.microsoft.com/office/drawing/2014/main" id="{00000000-0008-0000-0000-000062010000}"/>
            </a:ext>
          </a:extLst>
        </xdr:cNvPr>
        <xdr:cNvSpPr/>
      </xdr:nvSpPr>
      <xdr:spPr>
        <a:xfrm>
          <a:off x="83820" y="81202415"/>
          <a:ext cx="3033022" cy="922020"/>
        </a:xfrm>
        <a:prstGeom prst="wedgeRoundRectCallout">
          <a:avLst>
            <a:gd name="adj1" fmla="val -37843"/>
            <a:gd name="adj2" fmla="val -63031"/>
            <a:gd name="adj3" fmla="val 16667"/>
          </a:avLst>
        </a:prstGeom>
        <a:blipFill>
          <a:blip xmlns:r="http://schemas.openxmlformats.org/officeDocument/2006/relationships" r:embed="rId27">
            <a:alphaModFix amt="10000"/>
          </a:blip>
          <a:stretch>
            <a:fillRect/>
          </a:stretch>
        </a:blipFill>
        <a:ln w="28575">
          <a:solidFill>
            <a:srgbClr val="0096C8"/>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0</xdr:colOff>
      <xdr:row>365</xdr:row>
      <xdr:rowOff>60960</xdr:rowOff>
    </xdr:from>
    <xdr:to>
      <xdr:col>13</xdr:col>
      <xdr:colOff>27432</xdr:colOff>
      <xdr:row>368</xdr:row>
      <xdr:rowOff>220980</xdr:rowOff>
    </xdr:to>
    <xdr:sp macro="" textlink="">
      <xdr:nvSpPr>
        <xdr:cNvPr id="355" name="Affirm D bubble">
          <a:extLst>
            <a:ext uri="{FF2B5EF4-FFF2-40B4-BE49-F238E27FC236}">
              <a16:creationId xmlns:a16="http://schemas.microsoft.com/office/drawing/2014/main" id="{00000000-0008-0000-0000-000063010000}"/>
            </a:ext>
          </a:extLst>
        </xdr:cNvPr>
        <xdr:cNvSpPr/>
      </xdr:nvSpPr>
      <xdr:spPr>
        <a:xfrm>
          <a:off x="3131820" y="71856600"/>
          <a:ext cx="3044952" cy="914400"/>
        </a:xfrm>
        <a:prstGeom prst="wedgeRoundRectCallout">
          <a:avLst>
            <a:gd name="adj1" fmla="val 39219"/>
            <a:gd name="adj2" fmla="val -64095"/>
            <a:gd name="adj3" fmla="val 16667"/>
          </a:avLst>
        </a:prstGeom>
        <a:blipFill>
          <a:blip xmlns:r="http://schemas.openxmlformats.org/officeDocument/2006/relationships" r:embed="rId28">
            <a:alphaModFix amt="10000"/>
          </a:blip>
          <a:stretch>
            <a:fillRect/>
          </a:stretch>
        </a:blip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83820</xdr:colOff>
      <xdr:row>372</xdr:row>
      <xdr:rowOff>76200</xdr:rowOff>
    </xdr:from>
    <xdr:to>
      <xdr:col>6</xdr:col>
      <xdr:colOff>499872</xdr:colOff>
      <xdr:row>376</xdr:row>
      <xdr:rowOff>213360</xdr:rowOff>
    </xdr:to>
    <xdr:sp macro="" textlink="">
      <xdr:nvSpPr>
        <xdr:cNvPr id="356" name="Offer W bubble">
          <a:extLst>
            <a:ext uri="{FF2B5EF4-FFF2-40B4-BE49-F238E27FC236}">
              <a16:creationId xmlns:a16="http://schemas.microsoft.com/office/drawing/2014/main" id="{00000000-0008-0000-0000-000064010000}"/>
            </a:ext>
          </a:extLst>
        </xdr:cNvPr>
        <xdr:cNvSpPr/>
      </xdr:nvSpPr>
      <xdr:spPr>
        <a:xfrm>
          <a:off x="83820" y="73243440"/>
          <a:ext cx="3044952" cy="1143000"/>
        </a:xfrm>
        <a:prstGeom prst="wedgeRoundRectCallout">
          <a:avLst>
            <a:gd name="adj1" fmla="val -39905"/>
            <a:gd name="adj2" fmla="val -62122"/>
            <a:gd name="adj3" fmla="val 16667"/>
          </a:avLst>
        </a:prstGeom>
        <a:blipFill>
          <a:blip xmlns:r="http://schemas.openxmlformats.org/officeDocument/2006/relationships" r:embed="rId27">
            <a:alphaModFix amt="10000"/>
          </a:blip>
          <a:stretch>
            <a:fillRect/>
          </a:stretch>
        </a:blipFill>
        <a:ln w="28575">
          <a:solidFill>
            <a:srgbClr val="0096C8"/>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0</xdr:colOff>
      <xdr:row>372</xdr:row>
      <xdr:rowOff>76200</xdr:rowOff>
    </xdr:from>
    <xdr:to>
      <xdr:col>13</xdr:col>
      <xdr:colOff>27432</xdr:colOff>
      <xdr:row>376</xdr:row>
      <xdr:rowOff>213360</xdr:rowOff>
    </xdr:to>
    <xdr:sp macro="" textlink="">
      <xdr:nvSpPr>
        <xdr:cNvPr id="357" name="Offer D bubble">
          <a:extLst>
            <a:ext uri="{FF2B5EF4-FFF2-40B4-BE49-F238E27FC236}">
              <a16:creationId xmlns:a16="http://schemas.microsoft.com/office/drawing/2014/main" id="{00000000-0008-0000-0000-000065010000}"/>
            </a:ext>
          </a:extLst>
        </xdr:cNvPr>
        <xdr:cNvSpPr/>
      </xdr:nvSpPr>
      <xdr:spPr>
        <a:xfrm>
          <a:off x="3131820" y="73632060"/>
          <a:ext cx="3044952" cy="1143000"/>
        </a:xfrm>
        <a:prstGeom prst="wedgeRoundRectCallout">
          <a:avLst>
            <a:gd name="adj1" fmla="val 41023"/>
            <a:gd name="adj2" fmla="val -62050"/>
            <a:gd name="adj3" fmla="val 16667"/>
          </a:avLst>
        </a:prstGeom>
        <a:blipFill>
          <a:blip xmlns:r="http://schemas.openxmlformats.org/officeDocument/2006/relationships" r:embed="rId28">
            <a:alphaModFix amt="10000"/>
          </a:blip>
          <a:stretch>
            <a:fillRect/>
          </a:stretch>
        </a:blip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635</xdr:row>
      <xdr:rowOff>66104</xdr:rowOff>
    </xdr:from>
    <xdr:to>
      <xdr:col>26</xdr:col>
      <xdr:colOff>488215</xdr:colOff>
      <xdr:row>635</xdr:row>
      <xdr:rowOff>300185</xdr:rowOff>
    </xdr:to>
    <xdr:sp macro="" textlink="">
      <xdr:nvSpPr>
        <xdr:cNvPr id="370" name="Arrow: Left 369">
          <a:hlinkClick xmlns:r="http://schemas.openxmlformats.org/officeDocument/2006/relationships" r:id="rId2" tooltip="back to Harmony Politics tab"/>
          <a:extLst>
            <a:ext uri="{FF2B5EF4-FFF2-40B4-BE49-F238E27FC236}">
              <a16:creationId xmlns:a16="http://schemas.microsoft.com/office/drawing/2014/main" id="{00000000-0008-0000-0000-000072010000}"/>
            </a:ext>
          </a:extLst>
        </xdr:cNvPr>
        <xdr:cNvSpPr/>
      </xdr:nvSpPr>
      <xdr:spPr>
        <a:xfrm>
          <a:off x="10869463" y="130939604"/>
          <a:ext cx="152881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xdr:col>
      <xdr:colOff>43630</xdr:colOff>
      <xdr:row>516</xdr:row>
      <xdr:rowOff>109504</xdr:rowOff>
    </xdr:from>
    <xdr:to>
      <xdr:col>12</xdr:col>
      <xdr:colOff>455110</xdr:colOff>
      <xdr:row>518</xdr:row>
      <xdr:rowOff>114300</xdr:rowOff>
    </xdr:to>
    <xdr:sp macro="" textlink="">
      <xdr:nvSpPr>
        <xdr:cNvPr id="320" name="TextBox 319">
          <a:extLst>
            <a:ext uri="{FF2B5EF4-FFF2-40B4-BE49-F238E27FC236}">
              <a16:creationId xmlns:a16="http://schemas.microsoft.com/office/drawing/2014/main" id="{00000000-0008-0000-0000-000040010000}"/>
            </a:ext>
          </a:extLst>
        </xdr:cNvPr>
        <xdr:cNvSpPr txBox="1"/>
      </xdr:nvSpPr>
      <xdr:spPr>
        <a:xfrm>
          <a:off x="157930" y="124208824"/>
          <a:ext cx="5943600" cy="5077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 receive support to </a:t>
          </a:r>
          <a:r>
            <a:rPr lang="en-US" sz="1100" b="1" i="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i="0" baseline="0">
              <a:solidFill>
                <a:schemeClr val="dk1"/>
              </a:solidFill>
              <a:effectLst/>
              <a:latin typeface="Cambria" panose="02040503050406030204" pitchFamily="18" charset="0"/>
              <a:ea typeface="Cambria" panose="02040503050406030204" pitchFamily="18" charset="0"/>
              <a:cs typeface="+mn-cs"/>
            </a:rPr>
            <a:t>. The IPM incentives the AI to </a:t>
          </a:r>
          <a:r>
            <a:rPr lang="en-US" sz="1100" b="1" i="1" baseline="0">
              <a:solidFill>
                <a:schemeClr val="dk1"/>
              </a:solidFill>
              <a:effectLst/>
              <a:latin typeface="Cambria" panose="02040503050406030204" pitchFamily="18" charset="0"/>
              <a:ea typeface="Cambria" panose="02040503050406030204" pitchFamily="18" charset="0"/>
              <a:cs typeface="+mn-cs"/>
            </a:rPr>
            <a:t>listen to those impacted</a:t>
          </a:r>
          <a:r>
            <a:rPr lang="en-US" sz="1100" b="0" i="0" baseline="0">
              <a:solidFill>
                <a:schemeClr val="dk1"/>
              </a:solidFill>
              <a:effectLst/>
              <a:latin typeface="Cambria" panose="02040503050406030204" pitchFamily="18" charset="0"/>
              <a:ea typeface="Cambria" panose="02040503050406030204" pitchFamily="18" charset="0"/>
              <a:cs typeface="+mn-cs"/>
            </a:rPr>
            <a:t>. </a:t>
          </a:r>
          <a:r>
            <a:rPr lang="en-US" sz="1100" b="0" baseline="0">
              <a:solidFill>
                <a:schemeClr val="dk1"/>
              </a:solidFill>
              <a:effectLst/>
              <a:latin typeface="Cambria" panose="02040503050406030204" pitchFamily="18" charset="0"/>
              <a:ea typeface="Cambria" panose="02040503050406030204" pitchFamily="18" charset="0"/>
              <a:cs typeface="+mn-cs"/>
            </a:rPr>
            <a:t>The IPM incentivizes those in power to invest in those they impact with their power.</a:t>
          </a:r>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xdr:col>
      <xdr:colOff>7472</xdr:colOff>
      <xdr:row>488</xdr:row>
      <xdr:rowOff>190500</xdr:rowOff>
    </xdr:from>
    <xdr:to>
      <xdr:col>13</xdr:col>
      <xdr:colOff>7472</xdr:colOff>
      <xdr:row>491</xdr:row>
      <xdr:rowOff>60960</xdr:rowOff>
    </xdr:to>
    <xdr:sp macro="" textlink="">
      <xdr:nvSpPr>
        <xdr:cNvPr id="324" name="TextBox 323">
          <a:extLst>
            <a:ext uri="{FF2B5EF4-FFF2-40B4-BE49-F238E27FC236}">
              <a16:creationId xmlns:a16="http://schemas.microsoft.com/office/drawing/2014/main" id="{00000000-0008-0000-0000-000044010000}"/>
            </a:ext>
          </a:extLst>
        </xdr:cNvPr>
        <xdr:cNvSpPr txBox="1"/>
      </xdr:nvSpPr>
      <xdr:spPr>
        <a:xfrm>
          <a:off x="121772" y="117835680"/>
          <a:ext cx="6035040" cy="624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1" baseline="0">
              <a:solidFill>
                <a:schemeClr val="dk1"/>
              </a:solidFill>
              <a:effectLst/>
              <a:latin typeface="Cambria" panose="02040503050406030204" pitchFamily="18" charset="0"/>
              <a:ea typeface="Cambria" panose="02040503050406030204" pitchFamily="18" charset="0"/>
              <a:cs typeface="+mn-cs"/>
            </a:rPr>
            <a:t>Power relations </a:t>
          </a:r>
          <a:r>
            <a:rPr lang="en-US" sz="1200" b="0" baseline="0">
              <a:solidFill>
                <a:schemeClr val="dk1"/>
              </a:solidFill>
              <a:effectLst/>
              <a:latin typeface="Cambria" panose="02040503050406030204" pitchFamily="18" charset="0"/>
              <a:ea typeface="Cambria" panose="02040503050406030204" pitchFamily="18" charset="0"/>
              <a:cs typeface="+mn-cs"/>
            </a:rPr>
            <a:t>easily</a:t>
          </a:r>
          <a:r>
            <a:rPr lang="en-US" sz="1200" b="1" baseline="0">
              <a:solidFill>
                <a:schemeClr val="dk1"/>
              </a:solidFill>
              <a:effectLst/>
              <a:latin typeface="Cambria" panose="02040503050406030204" pitchFamily="18" charset="0"/>
              <a:ea typeface="Cambria" panose="02040503050406030204" pitchFamily="18" charset="0"/>
              <a:cs typeface="+mn-cs"/>
            </a:rPr>
            <a:t> </a:t>
          </a:r>
          <a:r>
            <a:rPr lang="en-US" sz="1200" b="0" baseline="0">
              <a:solidFill>
                <a:schemeClr val="dk1"/>
              </a:solidFill>
              <a:effectLst/>
              <a:latin typeface="Cambria" panose="02040503050406030204" pitchFamily="18" charset="0"/>
              <a:ea typeface="Cambria" panose="02040503050406030204" pitchFamily="18" charset="0"/>
              <a:cs typeface="+mn-cs"/>
            </a:rPr>
            <a:t>distort how well each side can resolve their needs. You both have needs not being met. The </a:t>
          </a:r>
          <a:r>
            <a:rPr lang="en-US" sz="1200" b="1" baseline="0">
              <a:solidFill>
                <a:schemeClr val="dk1"/>
              </a:solidFill>
              <a:effectLst/>
              <a:latin typeface="Cambria" panose="02040503050406030204" pitchFamily="18" charset="0"/>
              <a:ea typeface="Cambria" panose="02040503050406030204" pitchFamily="18" charset="0"/>
              <a:cs typeface="+mn-cs"/>
            </a:rPr>
            <a:t>impact parity model</a:t>
          </a:r>
          <a:r>
            <a:rPr lang="en-US" sz="1200" b="0" baseline="0">
              <a:solidFill>
                <a:schemeClr val="dk1"/>
              </a:solidFill>
              <a:effectLst/>
              <a:latin typeface="Cambria" panose="02040503050406030204" pitchFamily="18" charset="0"/>
              <a:ea typeface="Cambria" panose="02040503050406030204" pitchFamily="18" charset="0"/>
              <a:cs typeface="+mn-cs"/>
            </a:rPr>
            <a:t> mutually addresses each other's affected needs. It offers a concilatory process to accountably resolve each other's affected needs.</a:t>
          </a:r>
        </a:p>
      </xdr:txBody>
    </xdr:sp>
    <xdr:clientData/>
  </xdr:twoCellAnchor>
  <xdr:twoCellAnchor>
    <xdr:from>
      <xdr:col>1</xdr:col>
      <xdr:colOff>45572</xdr:colOff>
      <xdr:row>497</xdr:row>
      <xdr:rowOff>83820</xdr:rowOff>
    </xdr:from>
    <xdr:to>
      <xdr:col>6</xdr:col>
      <xdr:colOff>434339</xdr:colOff>
      <xdr:row>503</xdr:row>
      <xdr:rowOff>78441</xdr:rowOff>
    </xdr:to>
    <xdr:sp macro="" textlink="">
      <xdr:nvSpPr>
        <xdr:cNvPr id="364" name="TextBox 363">
          <a:extLst>
            <a:ext uri="{FF2B5EF4-FFF2-40B4-BE49-F238E27FC236}">
              <a16:creationId xmlns:a16="http://schemas.microsoft.com/office/drawing/2014/main" id="{00000000-0008-0000-0000-00006C010000}"/>
            </a:ext>
          </a:extLst>
        </xdr:cNvPr>
        <xdr:cNvSpPr txBox="1"/>
      </xdr:nvSpPr>
      <xdr:spPr>
        <a:xfrm>
          <a:off x="159872" y="119786400"/>
          <a:ext cx="2903367" cy="1312881"/>
        </a:xfrm>
        <a:prstGeom prst="rect">
          <a:avLst/>
        </a:prstGeom>
        <a:solidFill>
          <a:srgbClr val="F3FFF7"/>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 as the RI need to </a:t>
          </a:r>
          <a:r>
            <a:rPr lang="en-US" sz="1100" b="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baseline="0">
              <a:solidFill>
                <a:schemeClr val="dk1"/>
              </a:solidFill>
              <a:effectLst/>
              <a:latin typeface="Cambria" panose="02040503050406030204" pitchFamily="18" charset="0"/>
              <a:ea typeface="Cambria" panose="02040503050406030204" pitchFamily="18" charset="0"/>
              <a:cs typeface="+mn-cs"/>
            </a:rPr>
            <a:t>. You cannot function at full steam while coerced by powerful others. They likely don't even realize the harsh impact this power relation has on you, and on your politicized need. So you tell them. They need to know. For the right price. You have leverage here.</a:t>
          </a:r>
        </a:p>
      </xdr:txBody>
    </xdr:sp>
    <xdr:clientData/>
  </xdr:twoCellAnchor>
  <xdr:twoCellAnchor>
    <xdr:from>
      <xdr:col>7</xdr:col>
      <xdr:colOff>76052</xdr:colOff>
      <xdr:row>497</xdr:row>
      <xdr:rowOff>83820</xdr:rowOff>
    </xdr:from>
    <xdr:to>
      <xdr:col>12</xdr:col>
      <xdr:colOff>464819</xdr:colOff>
      <xdr:row>503</xdr:row>
      <xdr:rowOff>78441</xdr:rowOff>
    </xdr:to>
    <xdr:sp macro="" textlink="">
      <xdr:nvSpPr>
        <xdr:cNvPr id="373" name="TextBox 372">
          <a:extLst>
            <a:ext uri="{FF2B5EF4-FFF2-40B4-BE49-F238E27FC236}">
              <a16:creationId xmlns:a16="http://schemas.microsoft.com/office/drawing/2014/main" id="{00000000-0008-0000-0000-000075010000}"/>
            </a:ext>
          </a:extLst>
        </xdr:cNvPr>
        <xdr:cNvSpPr txBox="1"/>
      </xdr:nvSpPr>
      <xdr:spPr>
        <a:xfrm>
          <a:off x="3207872" y="119786400"/>
          <a:ext cx="2903367" cy="1312881"/>
        </a:xfrm>
        <a:prstGeom prst="rect">
          <a:avLst/>
        </a:prstGeom>
        <a:solidFill>
          <a:srgbClr val="FFF3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Each AI needs to </a:t>
          </a:r>
          <a:r>
            <a:rPr lang="en-US" sz="1100" b="1" baseline="0">
              <a:solidFill>
                <a:schemeClr val="dk1"/>
              </a:solidFill>
              <a:effectLst/>
              <a:latin typeface="Cambria" panose="02040503050406030204" pitchFamily="18" charset="0"/>
              <a:ea typeface="Cambria" panose="02040503050406030204" pitchFamily="18" charset="0"/>
              <a:cs typeface="+mn-cs"/>
            </a:rPr>
            <a:t>listen to those they impact</a:t>
          </a:r>
          <a:r>
            <a:rPr lang="en-US" sz="1100" b="0" baseline="0">
              <a:solidFill>
                <a:schemeClr val="dk1"/>
              </a:solidFill>
              <a:effectLst/>
              <a:latin typeface="Cambria" panose="02040503050406030204" pitchFamily="18" charset="0"/>
              <a:ea typeface="Cambria" panose="02040503050406030204" pitchFamily="18" charset="0"/>
              <a:cs typeface="+mn-cs"/>
            </a:rPr>
            <a:t>. </a:t>
          </a:r>
          <a:r>
            <a:rPr lang="en-US" sz="1100" b="0" spc="-20" baseline="0">
              <a:solidFill>
                <a:schemeClr val="dk1"/>
              </a:solidFill>
              <a:effectLst/>
              <a:latin typeface="Cambria" panose="02040503050406030204" pitchFamily="18" charset="0"/>
              <a:ea typeface="Cambria" panose="02040503050406030204" pitchFamily="18" charset="0"/>
              <a:cs typeface="+mn-cs"/>
            </a:rPr>
            <a:t>They require essential data to perform their role.</a:t>
          </a:r>
          <a:r>
            <a:rPr lang="en-US" sz="1100" b="0" baseline="0">
              <a:solidFill>
                <a:schemeClr val="dk1"/>
              </a:solidFill>
              <a:effectLst/>
              <a:latin typeface="Cambria" panose="02040503050406030204" pitchFamily="18" charset="0"/>
              <a:ea typeface="Cambria" panose="02040503050406030204" pitchFamily="18" charset="0"/>
              <a:cs typeface="+mn-cs"/>
            </a:rPr>
            <a:t> They require your data. And we will give it to them, for a price. It's </a:t>
          </a:r>
          <a:r>
            <a:rPr lang="en-US" sz="1100" b="0" i="1" baseline="0">
              <a:solidFill>
                <a:schemeClr val="dk1"/>
              </a:solidFill>
              <a:effectLst/>
              <a:latin typeface="Cambria" panose="02040503050406030204" pitchFamily="18" charset="0"/>
              <a:ea typeface="Cambria" panose="02040503050406030204" pitchFamily="18" charset="0"/>
              <a:cs typeface="+mn-cs"/>
            </a:rPr>
            <a:t>your </a:t>
          </a:r>
          <a:r>
            <a:rPr lang="en-US" sz="1100" b="0" i="0" baseline="0">
              <a:solidFill>
                <a:schemeClr val="dk1"/>
              </a:solidFill>
              <a:effectLst/>
              <a:latin typeface="Cambria" panose="02040503050406030204" pitchFamily="18" charset="0"/>
              <a:ea typeface="Cambria" panose="02040503050406030204" pitchFamily="18" charset="0"/>
              <a:cs typeface="+mn-cs"/>
            </a:rPr>
            <a:t>data. The more they know how to serve your specific needs, the more competitively advantaged over other AIs. You have leverage here, and we will use it.</a:t>
          </a:r>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20</xdr:col>
      <xdr:colOff>4010</xdr:colOff>
      <xdr:row>311</xdr:row>
      <xdr:rowOff>61094</xdr:rowOff>
    </xdr:from>
    <xdr:to>
      <xdr:col>23</xdr:col>
      <xdr:colOff>24062</xdr:colOff>
      <xdr:row>311</xdr:row>
      <xdr:rowOff>272315</xdr:rowOff>
    </xdr:to>
    <xdr:sp macro="" textlink="">
      <xdr:nvSpPr>
        <xdr:cNvPr id="375" name="Arrow: Left 374">
          <a:hlinkClick xmlns:r="http://schemas.openxmlformats.org/officeDocument/2006/relationships" r:id="rId3" tooltip="back to Harmony Politics tab"/>
          <a:extLst>
            <a:ext uri="{FF2B5EF4-FFF2-40B4-BE49-F238E27FC236}">
              <a16:creationId xmlns:a16="http://schemas.microsoft.com/office/drawing/2014/main" id="{00000000-0008-0000-0000-000077010000}"/>
            </a:ext>
          </a:extLst>
        </xdr:cNvPr>
        <xdr:cNvSpPr/>
      </xdr:nvSpPr>
      <xdr:spPr>
        <a:xfrm>
          <a:off x="8896550" y="94907234"/>
          <a:ext cx="1528812" cy="2112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327</xdr:row>
      <xdr:rowOff>5348</xdr:rowOff>
    </xdr:from>
    <xdr:to>
      <xdr:col>27</xdr:col>
      <xdr:colOff>118976</xdr:colOff>
      <xdr:row>327</xdr:row>
      <xdr:rowOff>105611</xdr:rowOff>
    </xdr:to>
    <xdr:sp macro="" textlink="">
      <xdr:nvSpPr>
        <xdr:cNvPr id="376" name="Right Triangle 375">
          <a:extLst>
            <a:ext uri="{FF2B5EF4-FFF2-40B4-BE49-F238E27FC236}">
              <a16:creationId xmlns:a16="http://schemas.microsoft.com/office/drawing/2014/main" id="{00000000-0008-0000-0000-000078010000}"/>
            </a:ext>
          </a:extLst>
        </xdr:cNvPr>
        <xdr:cNvSpPr/>
      </xdr:nvSpPr>
      <xdr:spPr>
        <a:xfrm flipH="1" flipV="1">
          <a:off x="12458429" y="9814332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455463</xdr:colOff>
      <xdr:row>311</xdr:row>
      <xdr:rowOff>60875</xdr:rowOff>
    </xdr:from>
    <xdr:to>
      <xdr:col>26</xdr:col>
      <xdr:colOff>475515</xdr:colOff>
      <xdr:row>311</xdr:row>
      <xdr:rowOff>300932</xdr:rowOff>
    </xdr:to>
    <xdr:sp macro="" textlink="">
      <xdr:nvSpPr>
        <xdr:cNvPr id="379" name="Arrow: Left 378">
          <a:hlinkClick xmlns:r="http://schemas.openxmlformats.org/officeDocument/2006/relationships" r:id="rId2" tooltip="back to Harmony Politics tab"/>
          <a:extLst>
            <a:ext uri="{FF2B5EF4-FFF2-40B4-BE49-F238E27FC236}">
              <a16:creationId xmlns:a16="http://schemas.microsoft.com/office/drawing/2014/main" id="{00000000-0008-0000-0000-00007B010000}"/>
            </a:ext>
          </a:extLst>
        </xdr:cNvPr>
        <xdr:cNvSpPr/>
      </xdr:nvSpPr>
      <xdr:spPr>
        <a:xfrm>
          <a:off x="10856763" y="94907015"/>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112210</xdr:colOff>
      <xdr:row>464</xdr:row>
      <xdr:rowOff>101884</xdr:rowOff>
    </xdr:from>
    <xdr:to>
      <xdr:col>12</xdr:col>
      <xdr:colOff>500830</xdr:colOff>
      <xdr:row>467</xdr:row>
      <xdr:rowOff>144780</xdr:rowOff>
    </xdr:to>
    <xdr:sp macro="" textlink="">
      <xdr:nvSpPr>
        <xdr:cNvPr id="397" name="TextBox 396">
          <a:hlinkClick xmlns:r="http://schemas.openxmlformats.org/officeDocument/2006/relationships" r:id="rId29"/>
          <a:extLst>
            <a:ext uri="{FF2B5EF4-FFF2-40B4-BE49-F238E27FC236}">
              <a16:creationId xmlns:a16="http://schemas.microsoft.com/office/drawing/2014/main" id="{00000000-0008-0000-0000-00008D010000}"/>
            </a:ext>
          </a:extLst>
        </xdr:cNvPr>
        <xdr:cNvSpPr txBox="1"/>
      </xdr:nvSpPr>
      <xdr:spPr>
        <a:xfrm>
          <a:off x="112210" y="110957644"/>
          <a:ext cx="6035040" cy="66773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0" baseline="0">
              <a:solidFill>
                <a:schemeClr val="dk1"/>
              </a:solidFill>
              <a:effectLst/>
              <a:latin typeface="Cambria" panose="02040503050406030204" pitchFamily="18" charset="0"/>
              <a:ea typeface="Cambria" panose="02040503050406030204" pitchFamily="18" charset="0"/>
              <a:cs typeface="+mn-cs"/>
            </a:rPr>
            <a:t>The </a:t>
          </a:r>
          <a:r>
            <a:rPr lang="en-US" sz="1200" b="1" baseline="0">
              <a:solidFill>
                <a:srgbClr val="0070C0"/>
              </a:solidFill>
              <a:effectLst/>
              <a:latin typeface="Cambria" panose="02040503050406030204" pitchFamily="18" charset="0"/>
              <a:ea typeface="Cambria" panose="02040503050406030204" pitchFamily="18" charset="0"/>
              <a:cs typeface="+mn-cs"/>
            </a:rPr>
            <a:t>impact parity model</a:t>
          </a:r>
          <a:r>
            <a:rPr lang="en-US" sz="1200" b="0" baseline="0">
              <a:solidFill>
                <a:schemeClr val="dk1"/>
              </a:solidFill>
              <a:effectLst/>
              <a:latin typeface="Cambria" panose="02040503050406030204" pitchFamily="18" charset="0"/>
              <a:ea typeface="Cambria" panose="02040503050406030204" pitchFamily="18" charset="0"/>
              <a:cs typeface="+mn-cs"/>
            </a:rPr>
            <a:t>, or IPM, empowers you to address power relations. The IPM identifies the powerholder in that relation as the </a:t>
          </a:r>
          <a:r>
            <a:rPr lang="en-US" sz="1200" b="1" i="1" baseline="0">
              <a:solidFill>
                <a:schemeClr val="dk1"/>
              </a:solidFill>
              <a:effectLst/>
              <a:latin typeface="Cambria" panose="02040503050406030204" pitchFamily="18" charset="0"/>
              <a:ea typeface="Cambria" panose="02040503050406030204" pitchFamily="18" charset="0"/>
              <a:cs typeface="+mn-cs"/>
            </a:rPr>
            <a:t>ascribed impactor</a:t>
          </a:r>
          <a:r>
            <a:rPr lang="en-US" sz="1200" b="0" baseline="0">
              <a:solidFill>
                <a:schemeClr val="dk1"/>
              </a:solidFill>
              <a:effectLst/>
              <a:latin typeface="Cambria" panose="02040503050406030204" pitchFamily="18" charset="0"/>
              <a:ea typeface="Cambria" panose="02040503050406030204" pitchFamily="18" charset="0"/>
              <a:cs typeface="+mn-cs"/>
            </a:rPr>
            <a:t>, or AI. It identifies you, the less influential in the relation, as the </a:t>
          </a:r>
          <a:r>
            <a:rPr lang="en-US" sz="1200" b="1" i="1" baseline="0">
              <a:solidFill>
                <a:schemeClr val="dk1"/>
              </a:solidFill>
              <a:effectLst/>
              <a:latin typeface="Cambria" panose="02040503050406030204" pitchFamily="18" charset="0"/>
              <a:ea typeface="Cambria" panose="02040503050406030204" pitchFamily="18" charset="0"/>
              <a:cs typeface="+mn-cs"/>
            </a:rPr>
            <a:t>reporting impactee</a:t>
          </a:r>
          <a:r>
            <a:rPr lang="en-US" sz="1200" b="0" baseline="0">
              <a:solidFill>
                <a:schemeClr val="dk1"/>
              </a:solidFill>
              <a:effectLst/>
              <a:latin typeface="Cambria" panose="02040503050406030204" pitchFamily="18" charset="0"/>
              <a:ea typeface="Cambria" panose="02040503050406030204" pitchFamily="18" charset="0"/>
              <a:cs typeface="+mn-cs"/>
            </a:rPr>
            <a:t>, or RI. </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xdr:col>
      <xdr:colOff>45572</xdr:colOff>
      <xdr:row>518</xdr:row>
      <xdr:rowOff>91441</xdr:rowOff>
    </xdr:from>
    <xdr:to>
      <xdr:col>6</xdr:col>
      <xdr:colOff>457052</xdr:colOff>
      <xdr:row>522</xdr:row>
      <xdr:rowOff>167641</xdr:rowOff>
    </xdr:to>
    <xdr:sp macro="" textlink="">
      <xdr:nvSpPr>
        <xdr:cNvPr id="398" name="TextBox 397">
          <a:extLst>
            <a:ext uri="{FF2B5EF4-FFF2-40B4-BE49-F238E27FC236}">
              <a16:creationId xmlns:a16="http://schemas.microsoft.com/office/drawing/2014/main" id="{00000000-0008-0000-0000-00008E010000}"/>
            </a:ext>
          </a:extLst>
        </xdr:cNvPr>
        <xdr:cNvSpPr txBox="1"/>
      </xdr:nvSpPr>
      <xdr:spPr>
        <a:xfrm>
          <a:off x="159872" y="124693681"/>
          <a:ext cx="2926080" cy="891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As you </a:t>
          </a:r>
          <a:r>
            <a:rPr lang="en-US" sz="1100" b="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baseline="0">
              <a:solidFill>
                <a:schemeClr val="dk1"/>
              </a:solidFill>
              <a:effectLst/>
              <a:latin typeface="Cambria" panose="02040503050406030204" pitchFamily="18" charset="0"/>
              <a:ea typeface="Cambria" panose="02040503050406030204" pitchFamily="18" charset="0"/>
              <a:cs typeface="+mn-cs"/>
            </a:rPr>
            <a:t>,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more of your needs can resolve;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more of your pain can dissolve;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less anxiety or depression gets you down;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your overall functioning improves.</a:t>
          </a:r>
        </a:p>
      </xdr:txBody>
    </xdr:sp>
    <xdr:clientData/>
  </xdr:twoCellAnchor>
  <xdr:twoCellAnchor>
    <xdr:from>
      <xdr:col>7</xdr:col>
      <xdr:colOff>37951</xdr:colOff>
      <xdr:row>518</xdr:row>
      <xdr:rowOff>99060</xdr:rowOff>
    </xdr:from>
    <xdr:to>
      <xdr:col>12</xdr:col>
      <xdr:colOff>449431</xdr:colOff>
      <xdr:row>522</xdr:row>
      <xdr:rowOff>182880</xdr:rowOff>
    </xdr:to>
    <xdr:sp macro="" textlink="">
      <xdr:nvSpPr>
        <xdr:cNvPr id="399" name="TextBox 398">
          <a:extLst>
            <a:ext uri="{FF2B5EF4-FFF2-40B4-BE49-F238E27FC236}">
              <a16:creationId xmlns:a16="http://schemas.microsoft.com/office/drawing/2014/main" id="{00000000-0008-0000-0000-00008F010000}"/>
            </a:ext>
          </a:extLst>
        </xdr:cNvPr>
        <xdr:cNvSpPr txBox="1"/>
      </xdr:nvSpPr>
      <xdr:spPr>
        <a:xfrm>
          <a:off x="3169771" y="124701300"/>
          <a:ext cx="2926080" cy="8991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As they </a:t>
          </a:r>
          <a:r>
            <a:rPr lang="en-US" sz="1100" b="1" baseline="0">
              <a:solidFill>
                <a:schemeClr val="dk1"/>
              </a:solidFill>
              <a:effectLst/>
              <a:latin typeface="Cambria" panose="02040503050406030204" pitchFamily="18" charset="0"/>
              <a:ea typeface="Cambria" panose="02040503050406030204" pitchFamily="18" charset="0"/>
              <a:cs typeface="+mn-cs"/>
            </a:rPr>
            <a:t>listen to those they impact</a:t>
          </a:r>
          <a:r>
            <a:rPr lang="en-US" sz="1100" b="0" baseline="0">
              <a:solidFill>
                <a:schemeClr val="dk1"/>
              </a:solidFill>
              <a:effectLst/>
              <a:latin typeface="Cambria" panose="02040503050406030204" pitchFamily="18" charset="0"/>
              <a:ea typeface="Cambria" panose="02040503050406030204" pitchFamily="18" charset="0"/>
              <a:cs typeface="+mn-cs"/>
            </a:rPr>
            <a:t>,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gain greater legtimacy;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earn competitive advantage;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improve their branding;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avoid a tarnished reputation.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1</xdr:col>
      <xdr:colOff>3387</xdr:colOff>
      <xdr:row>265</xdr:row>
      <xdr:rowOff>332194</xdr:rowOff>
    </xdr:from>
    <xdr:to>
      <xdr:col>13</xdr:col>
      <xdr:colOff>3387</xdr:colOff>
      <xdr:row>272</xdr:row>
      <xdr:rowOff>73113</xdr:rowOff>
    </xdr:to>
    <xdr:grpSp>
      <xdr:nvGrpSpPr>
        <xdr:cNvPr id="121" name="Group 120">
          <a:extLst>
            <a:ext uri="{FF2B5EF4-FFF2-40B4-BE49-F238E27FC236}">
              <a16:creationId xmlns:a16="http://schemas.microsoft.com/office/drawing/2014/main" id="{00000000-0008-0000-0000-000079000000}"/>
            </a:ext>
          </a:extLst>
        </xdr:cNvPr>
        <xdr:cNvGrpSpPr/>
      </xdr:nvGrpSpPr>
      <xdr:grpSpPr>
        <a:xfrm>
          <a:off x="117687" y="65589874"/>
          <a:ext cx="6035040" cy="1630679"/>
          <a:chOff x="152400" y="56110374"/>
          <a:chExt cx="6062134" cy="1717113"/>
        </a:xfrm>
      </xdr:grpSpPr>
      <xdr:sp macro="" textlink="">
        <xdr:nvSpPr>
          <xdr:cNvPr id="120" name="Rectangle 119">
            <a:extLst>
              <a:ext uri="{FF2B5EF4-FFF2-40B4-BE49-F238E27FC236}">
                <a16:creationId xmlns:a16="http://schemas.microsoft.com/office/drawing/2014/main" id="{00000000-0008-0000-0000-000078000000}"/>
              </a:ext>
            </a:extLst>
          </xdr:cNvPr>
          <xdr:cNvSpPr/>
        </xdr:nvSpPr>
        <xdr:spPr>
          <a:xfrm>
            <a:off x="152400" y="56167867"/>
            <a:ext cx="6062134" cy="1659620"/>
          </a:xfrm>
          <a:prstGeom prst="rect">
            <a:avLst/>
          </a:prstGeom>
          <a:gradFill flip="none" rotWithShape="1">
            <a:gsLst>
              <a:gs pos="0">
                <a:srgbClr val="7030A0"/>
              </a:gs>
              <a:gs pos="50000">
                <a:srgbClr val="780091"/>
              </a:gs>
              <a:gs pos="100000">
                <a:srgbClr val="7030A0"/>
              </a:gs>
            </a:gsLst>
            <a:lin ang="16200000" scaled="1"/>
            <a:tileRect/>
          </a:gra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58" name="Pictur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718734" y="56175222"/>
            <a:ext cx="2926080" cy="1645864"/>
          </a:xfrm>
          <a:prstGeom prst="rect">
            <a:avLst/>
          </a:prstGeom>
        </xdr:spPr>
      </xdr:pic>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rot="300000">
            <a:off x="4538134" y="56110374"/>
            <a:ext cx="1600200" cy="1611250"/>
          </a:xfrm>
          <a:prstGeom prst="rect">
            <a:avLst/>
          </a:prstGeom>
        </xdr:spPr>
      </xdr:pic>
      <xdr:pic>
        <xdr:nvPicPr>
          <xdr:cNvPr id="93" name="Pictur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rot="21300000">
            <a:off x="234665" y="56124463"/>
            <a:ext cx="1600200" cy="1613707"/>
          </a:xfrm>
          <a:prstGeom prst="rect">
            <a:avLst/>
          </a:prstGeom>
        </xdr:spPr>
      </xdr:pic>
    </xdr:grpSp>
    <xdr:clientData/>
  </xdr:twoCellAnchor>
  <xdr:twoCellAnchor editAs="oneCell">
    <xdr:from>
      <xdr:col>1</xdr:col>
      <xdr:colOff>338662</xdr:colOff>
      <xdr:row>228</xdr:row>
      <xdr:rowOff>184573</xdr:rowOff>
    </xdr:from>
    <xdr:to>
      <xdr:col>3</xdr:col>
      <xdr:colOff>162358</xdr:colOff>
      <xdr:row>235</xdr:row>
      <xdr:rowOff>234757</xdr:rowOff>
    </xdr:to>
    <xdr:pic>
      <xdr:nvPicPr>
        <xdr:cNvPr id="131" name="Picture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52962" y="57265993"/>
          <a:ext cx="829536" cy="1810404"/>
        </a:xfrm>
        <a:prstGeom prst="rect">
          <a:avLst/>
        </a:prstGeom>
      </xdr:spPr>
    </xdr:pic>
    <xdr:clientData/>
  </xdr:twoCellAnchor>
  <xdr:twoCellAnchor editAs="oneCell">
    <xdr:from>
      <xdr:col>10</xdr:col>
      <xdr:colOff>331187</xdr:colOff>
      <xdr:row>228</xdr:row>
      <xdr:rowOff>216040</xdr:rowOff>
    </xdr:from>
    <xdr:to>
      <xdr:col>12</xdr:col>
      <xdr:colOff>373381</xdr:colOff>
      <xdr:row>236</xdr:row>
      <xdr:rowOff>14764</xdr:rowOff>
    </xdr:to>
    <xdr:pic>
      <xdr:nvPicPr>
        <xdr:cNvPr id="145" name="Picture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971767" y="57266980"/>
          <a:ext cx="1048034" cy="1810404"/>
        </a:xfrm>
        <a:prstGeom prst="rect">
          <a:avLst/>
        </a:prstGeom>
      </xdr:spPr>
    </xdr:pic>
    <xdr:clientData/>
  </xdr:twoCellAnchor>
  <xdr:twoCellAnchor>
    <xdr:from>
      <xdr:col>15</xdr:col>
      <xdr:colOff>37406</xdr:colOff>
      <xdr:row>377</xdr:row>
      <xdr:rowOff>99365</xdr:rowOff>
    </xdr:from>
    <xdr:to>
      <xdr:col>26</xdr:col>
      <xdr:colOff>452658</xdr:colOff>
      <xdr:row>381</xdr:row>
      <xdr:rowOff>205740</xdr:rowOff>
    </xdr:to>
    <xdr:sp macro="" textlink="">
      <xdr:nvSpPr>
        <xdr:cNvPr id="458" name="TextBox 457">
          <a:extLst>
            <a:ext uri="{FF2B5EF4-FFF2-40B4-BE49-F238E27FC236}">
              <a16:creationId xmlns:a16="http://schemas.microsoft.com/office/drawing/2014/main" id="{00000000-0008-0000-0000-0000CA010000}"/>
            </a:ext>
          </a:extLst>
        </xdr:cNvPr>
        <xdr:cNvSpPr txBox="1"/>
      </xdr:nvSpPr>
      <xdr:spPr>
        <a:xfrm>
          <a:off x="6415346" y="91851785"/>
          <a:ext cx="5947372" cy="792175"/>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aseline="0">
              <a:solidFill>
                <a:schemeClr val="dk1"/>
              </a:solidFill>
              <a:latin typeface="Arial Narrow" panose="020B0606020202030204" pitchFamily="34" charset="0"/>
              <a:ea typeface="+mn-ea"/>
              <a:cs typeface="+mn-cs"/>
            </a:rPr>
            <a:t>Love shifts your focus away from your [ISSUE] impacted needs to empathizing with their [ISSUE] impacted needs. Once you encounter each other's specific [ISSUE] affected needs, you draw much closer to resolving them. </a:t>
          </a: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15</xdr:col>
      <xdr:colOff>29170</xdr:colOff>
      <xdr:row>371</xdr:row>
      <xdr:rowOff>321039</xdr:rowOff>
    </xdr:from>
    <xdr:to>
      <xdr:col>26</xdr:col>
      <xdr:colOff>439496</xdr:colOff>
      <xdr:row>377</xdr:row>
      <xdr:rowOff>53569</xdr:rowOff>
    </xdr:to>
    <xdr:sp macro="" textlink="">
      <xdr:nvSpPr>
        <xdr:cNvPr id="459" name="TextBox 458">
          <a:extLst>
            <a:ext uri="{FF2B5EF4-FFF2-40B4-BE49-F238E27FC236}">
              <a16:creationId xmlns:a16="http://schemas.microsoft.com/office/drawing/2014/main" id="{00000000-0008-0000-0000-0000CB010000}"/>
            </a:ext>
          </a:extLst>
        </xdr:cNvPr>
        <xdr:cNvSpPr txBox="1"/>
      </xdr:nvSpPr>
      <xdr:spPr>
        <a:xfrm>
          <a:off x="6407110" y="90435159"/>
          <a:ext cx="5942446" cy="137083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050" baseline="0">
            <a:solidFill>
              <a:schemeClr val="dk1"/>
            </a:solidFill>
            <a:latin typeface="Arial Narrow" panose="020B0606020202030204" pitchFamily="34" charset="0"/>
            <a:ea typeface="+mn-ea"/>
            <a:cs typeface="+mn-cs"/>
          </a:endParaRPr>
        </a:p>
        <a:p>
          <a:r>
            <a:rPr lang="en-US" sz="1200" baseline="0">
              <a:solidFill>
                <a:schemeClr val="dk1"/>
              </a:solidFill>
              <a:latin typeface="Franklin Gothic Demi Cond" panose="020B0706030402020204" pitchFamily="34" charset="0"/>
              <a:ea typeface="+mn-ea"/>
              <a:cs typeface="+mn-cs"/>
            </a:rPr>
            <a:t>NEXT </a:t>
          </a:r>
          <a:r>
            <a:rPr lang="en-US" sz="1200" baseline="0">
              <a:solidFill>
                <a:srgbClr val="00823C"/>
              </a:solidFill>
              <a:latin typeface="Franklin Gothic Demi Cond" panose="020B0706030402020204" pitchFamily="34" charset="0"/>
              <a:ea typeface="+mn-ea"/>
              <a:cs typeface="+mn-cs"/>
            </a:rPr>
            <a:t>[IT'S YOUR TURN TO BE THE MORAL LEADER]</a:t>
          </a:r>
        </a:p>
        <a:p>
          <a:r>
            <a:rPr lang="en-US" sz="1100">
              <a:solidFill>
                <a:schemeClr val="dk1"/>
              </a:solidFill>
              <a:effectLst/>
              <a:latin typeface="+mn-lt"/>
              <a:ea typeface="+mn-ea"/>
              <a:cs typeface="+mn-cs"/>
            </a:rPr>
            <a:t>Love shifts your focus away from your needs to empathizing with their needs.</a:t>
          </a:r>
        </a:p>
        <a:p>
          <a:r>
            <a:rPr lang="en-US" sz="1100" baseline="0">
              <a:solidFill>
                <a:schemeClr val="dk1"/>
              </a:solidFill>
              <a:effectLst/>
              <a:latin typeface="+mn-lt"/>
              <a:ea typeface="+mn-ea"/>
              <a:cs typeface="+mn-cs"/>
            </a:rPr>
            <a:t>Shift from pain perpetuating generalizations to need resolving specifics.</a:t>
          </a:r>
        </a:p>
        <a:p>
          <a:r>
            <a:rPr lang="en-US" sz="1100" baseline="0">
              <a:solidFill>
                <a:schemeClr val="dk1"/>
              </a:solidFill>
              <a:effectLst/>
              <a:latin typeface="+mn-lt"/>
              <a:ea typeface="+mn-ea"/>
              <a:cs typeface="+mn-cs"/>
            </a:rPr>
            <a:t>Transition from lower authority of easing pain to the higher authority of resolved needs. While no one sits above the law, no law sits above the needs it exists to serve. There is no greater authority than resolved needs.</a:t>
          </a: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23</xdr:col>
      <xdr:colOff>468163</xdr:colOff>
      <xdr:row>567</xdr:row>
      <xdr:rowOff>66104</xdr:rowOff>
    </xdr:from>
    <xdr:to>
      <xdr:col>26</xdr:col>
      <xdr:colOff>488215</xdr:colOff>
      <xdr:row>567</xdr:row>
      <xdr:rowOff>300185</xdr:rowOff>
    </xdr:to>
    <xdr:sp macro="" textlink="">
      <xdr:nvSpPr>
        <xdr:cNvPr id="462" name="Arrow: Left 461">
          <a:hlinkClick xmlns:r="http://schemas.openxmlformats.org/officeDocument/2006/relationships" r:id="rId2" tooltip="back to Harmony Politics tab"/>
          <a:extLst>
            <a:ext uri="{FF2B5EF4-FFF2-40B4-BE49-F238E27FC236}">
              <a16:creationId xmlns:a16="http://schemas.microsoft.com/office/drawing/2014/main" id="{00000000-0008-0000-0000-0000CE010000}"/>
            </a:ext>
          </a:extLst>
        </xdr:cNvPr>
        <xdr:cNvSpPr/>
      </xdr:nvSpPr>
      <xdr:spPr>
        <a:xfrm>
          <a:off x="10820587" y="119723195"/>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21</xdr:col>
      <xdr:colOff>196889</xdr:colOff>
      <xdr:row>564</xdr:row>
      <xdr:rowOff>86283</xdr:rowOff>
    </xdr:from>
    <xdr:to>
      <xdr:col>22</xdr:col>
      <xdr:colOff>379769</xdr:colOff>
      <xdr:row>565</xdr:row>
      <xdr:rowOff>236143</xdr:rowOff>
    </xdr:to>
    <xdr:sp macro="" textlink="">
      <xdr:nvSpPr>
        <xdr:cNvPr id="466" name="Rectangle: Rounded Corners 465">
          <a:extLst>
            <a:ext uri="{FF2B5EF4-FFF2-40B4-BE49-F238E27FC236}">
              <a16:creationId xmlns:a16="http://schemas.microsoft.com/office/drawing/2014/main" id="{00000000-0008-0000-0000-0000D2010000}"/>
            </a:ext>
          </a:extLst>
        </xdr:cNvPr>
        <xdr:cNvSpPr/>
      </xdr:nvSpPr>
      <xdr:spPr>
        <a:xfrm>
          <a:off x="9592349" y="134785023"/>
          <a:ext cx="685800" cy="401320"/>
        </a:xfrm>
        <a:prstGeom prst="roundRect">
          <a:avLst/>
        </a:prstGeom>
        <a:effectLst>
          <a:outerShdw blurRad="50800" dist="38100" dir="5400000" algn="t" rotWithShape="0">
            <a:prstClr val="black">
              <a:alpha val="40000"/>
            </a:prstClr>
          </a:outerShdw>
        </a:effectLst>
      </xdr:spPr>
      <xdr:style>
        <a:lnRef idx="1">
          <a:schemeClr val="accent4"/>
        </a:lnRef>
        <a:fillRef idx="3">
          <a:schemeClr val="accent4"/>
        </a:fillRef>
        <a:effectRef idx="2">
          <a:schemeClr val="accent4"/>
        </a:effectRef>
        <a:fontRef idx="minor">
          <a:schemeClr val="lt1"/>
        </a:fontRef>
      </xdr:style>
      <xdr:txBody>
        <a:bodyPr vertOverflow="clip" horzOverflow="clip" rtlCol="0" anchor="ctr"/>
        <a:lstStyle/>
        <a:p>
          <a:pPr algn="ctr"/>
          <a:r>
            <a:rPr lang="en-US" sz="2400" b="1">
              <a:latin typeface="Tahoma" panose="020B0604030504040204" pitchFamily="34" charset="0"/>
              <a:ea typeface="Tahoma" panose="020B0604030504040204" pitchFamily="34" charset="0"/>
              <a:cs typeface="Tahoma" panose="020B0604030504040204" pitchFamily="34" charset="0"/>
            </a:rPr>
            <a:t>4</a:t>
          </a:r>
        </a:p>
      </xdr:txBody>
    </xdr:sp>
    <xdr:clientData/>
  </xdr:twoCellAnchor>
  <xdr:oneCellAnchor>
    <xdr:from>
      <xdr:col>25</xdr:col>
      <xdr:colOff>385018</xdr:colOff>
      <xdr:row>682</xdr:row>
      <xdr:rowOff>0</xdr:rowOff>
    </xdr:from>
    <xdr:ext cx="2644445" cy="2108662"/>
    <xdr:pic>
      <xdr:nvPicPr>
        <xdr:cNvPr id="481" name="ballot box, clear" hidden="1">
          <a:extLst>
            <a:ext uri="{FF2B5EF4-FFF2-40B4-BE49-F238E27FC236}">
              <a16:creationId xmlns:a16="http://schemas.microsoft.com/office/drawing/2014/main" id="{00000000-0008-0000-0000-0000E101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738048" y="129932545"/>
          <a:ext cx="2644445" cy="2108662"/>
        </a:xfrm>
        <a:prstGeom prst="rect">
          <a:avLst/>
        </a:prstGeom>
      </xdr:spPr>
    </xdr:pic>
    <xdr:clientData/>
  </xdr:oneCellAnchor>
  <xdr:twoCellAnchor>
    <xdr:from>
      <xdr:col>23</xdr:col>
      <xdr:colOff>468163</xdr:colOff>
      <xdr:row>675</xdr:row>
      <xdr:rowOff>66104</xdr:rowOff>
    </xdr:from>
    <xdr:to>
      <xdr:col>26</xdr:col>
      <xdr:colOff>488215</xdr:colOff>
      <xdr:row>675</xdr:row>
      <xdr:rowOff>300185</xdr:rowOff>
    </xdr:to>
    <xdr:sp macro="" textlink="">
      <xdr:nvSpPr>
        <xdr:cNvPr id="482" name="Arrow: Left 481">
          <a:hlinkClick xmlns:r="http://schemas.openxmlformats.org/officeDocument/2006/relationships" r:id="rId2" tooltip="back to Harmony Politics tab"/>
          <a:extLst>
            <a:ext uri="{FF2B5EF4-FFF2-40B4-BE49-F238E27FC236}">
              <a16:creationId xmlns:a16="http://schemas.microsoft.com/office/drawing/2014/main" id="{00000000-0008-0000-0000-0000E2010000}"/>
            </a:ext>
          </a:extLst>
        </xdr:cNvPr>
        <xdr:cNvSpPr/>
      </xdr:nvSpPr>
      <xdr:spPr>
        <a:xfrm>
          <a:off x="10820587" y="128220649"/>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675</xdr:row>
      <xdr:rowOff>66104</xdr:rowOff>
    </xdr:from>
    <xdr:to>
      <xdr:col>26</xdr:col>
      <xdr:colOff>488215</xdr:colOff>
      <xdr:row>675</xdr:row>
      <xdr:rowOff>300185</xdr:rowOff>
    </xdr:to>
    <xdr:sp macro="" textlink="">
      <xdr:nvSpPr>
        <xdr:cNvPr id="488" name="Arrow: Left 487">
          <a:hlinkClick xmlns:r="http://schemas.openxmlformats.org/officeDocument/2006/relationships" r:id="rId2" tooltip="back to Harmony Politics tab"/>
          <a:extLst>
            <a:ext uri="{FF2B5EF4-FFF2-40B4-BE49-F238E27FC236}">
              <a16:creationId xmlns:a16="http://schemas.microsoft.com/office/drawing/2014/main" id="{00000000-0008-0000-0000-0000E8010000}"/>
            </a:ext>
          </a:extLst>
        </xdr:cNvPr>
        <xdr:cNvSpPr/>
      </xdr:nvSpPr>
      <xdr:spPr>
        <a:xfrm>
          <a:off x="10820587" y="128220649"/>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25</xdr:col>
      <xdr:colOff>385018</xdr:colOff>
      <xdr:row>608</xdr:row>
      <xdr:rowOff>0</xdr:rowOff>
    </xdr:from>
    <xdr:ext cx="2644445" cy="2108662"/>
    <xdr:pic>
      <xdr:nvPicPr>
        <xdr:cNvPr id="495" name="ballot box, clear" hidden="1">
          <a:extLst>
            <a:ext uri="{FF2B5EF4-FFF2-40B4-BE49-F238E27FC236}">
              <a16:creationId xmlns:a16="http://schemas.microsoft.com/office/drawing/2014/main" id="{00000000-0008-0000-0000-0000EF01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738048" y="143232909"/>
          <a:ext cx="2644445" cy="2108662"/>
        </a:xfrm>
        <a:prstGeom prst="rect">
          <a:avLst/>
        </a:prstGeom>
      </xdr:spPr>
    </xdr:pic>
    <xdr:clientData/>
  </xdr:oneCellAnchor>
  <xdr:twoCellAnchor>
    <xdr:from>
      <xdr:col>23</xdr:col>
      <xdr:colOff>468163</xdr:colOff>
      <xdr:row>601</xdr:row>
      <xdr:rowOff>66104</xdr:rowOff>
    </xdr:from>
    <xdr:to>
      <xdr:col>26</xdr:col>
      <xdr:colOff>488215</xdr:colOff>
      <xdr:row>601</xdr:row>
      <xdr:rowOff>300185</xdr:rowOff>
    </xdr:to>
    <xdr:sp macro="" textlink="">
      <xdr:nvSpPr>
        <xdr:cNvPr id="496" name="Arrow: Left 495">
          <a:hlinkClick xmlns:r="http://schemas.openxmlformats.org/officeDocument/2006/relationships" r:id="rId2" tooltip="back to Harmony Politics tab"/>
          <a:extLst>
            <a:ext uri="{FF2B5EF4-FFF2-40B4-BE49-F238E27FC236}">
              <a16:creationId xmlns:a16="http://schemas.microsoft.com/office/drawing/2014/main" id="{00000000-0008-0000-0000-0000F0010000}"/>
            </a:ext>
          </a:extLst>
        </xdr:cNvPr>
        <xdr:cNvSpPr/>
      </xdr:nvSpPr>
      <xdr:spPr>
        <a:xfrm>
          <a:off x="10820587" y="141521013"/>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601</xdr:row>
      <xdr:rowOff>66104</xdr:rowOff>
    </xdr:from>
    <xdr:to>
      <xdr:col>26</xdr:col>
      <xdr:colOff>488215</xdr:colOff>
      <xdr:row>601</xdr:row>
      <xdr:rowOff>300185</xdr:rowOff>
    </xdr:to>
    <xdr:sp macro="" textlink="">
      <xdr:nvSpPr>
        <xdr:cNvPr id="500" name="Arrow: Left 499">
          <a:hlinkClick xmlns:r="http://schemas.openxmlformats.org/officeDocument/2006/relationships" r:id="rId2" tooltip="back to Harmony Politics tab"/>
          <a:extLst>
            <a:ext uri="{FF2B5EF4-FFF2-40B4-BE49-F238E27FC236}">
              <a16:creationId xmlns:a16="http://schemas.microsoft.com/office/drawing/2014/main" id="{00000000-0008-0000-0000-0000F4010000}"/>
            </a:ext>
          </a:extLst>
        </xdr:cNvPr>
        <xdr:cNvSpPr/>
      </xdr:nvSpPr>
      <xdr:spPr>
        <a:xfrm>
          <a:off x="10820587" y="141521013"/>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editAs="oneCell">
    <xdr:from>
      <xdr:col>25</xdr:col>
      <xdr:colOff>385018</xdr:colOff>
      <xdr:row>682</xdr:row>
      <xdr:rowOff>0</xdr:rowOff>
    </xdr:from>
    <xdr:to>
      <xdr:col>33</xdr:col>
      <xdr:colOff>97108</xdr:colOff>
      <xdr:row>690</xdr:row>
      <xdr:rowOff>76200</xdr:rowOff>
    </xdr:to>
    <xdr:pic>
      <xdr:nvPicPr>
        <xdr:cNvPr id="505" name="ballot box, clear" hidden="1">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1792158" y="128511300"/>
          <a:ext cx="2650448" cy="2087880"/>
        </a:xfrm>
        <a:prstGeom prst="rect">
          <a:avLst/>
        </a:prstGeom>
      </xdr:spPr>
    </xdr:pic>
    <xdr:clientData/>
  </xdr:twoCellAnchor>
  <xdr:twoCellAnchor>
    <xdr:from>
      <xdr:col>15</xdr:col>
      <xdr:colOff>7620</xdr:colOff>
      <xdr:row>307</xdr:row>
      <xdr:rowOff>107758</xdr:rowOff>
    </xdr:from>
    <xdr:to>
      <xdr:col>26</xdr:col>
      <xdr:colOff>450736</xdr:colOff>
      <xdr:row>309</xdr:row>
      <xdr:rowOff>137160</xdr:rowOff>
    </xdr:to>
    <xdr:sp macro="" textlink="">
      <xdr:nvSpPr>
        <xdr:cNvPr id="513" name="TextBox 512">
          <a:extLst>
            <a:ext uri="{FF2B5EF4-FFF2-40B4-BE49-F238E27FC236}">
              <a16:creationId xmlns:a16="http://schemas.microsoft.com/office/drawing/2014/main" id="{00000000-0008-0000-0000-000001020000}"/>
            </a:ext>
          </a:extLst>
        </xdr:cNvPr>
        <xdr:cNvSpPr txBox="1"/>
      </xdr:nvSpPr>
      <xdr:spPr>
        <a:xfrm>
          <a:off x="6385560" y="75583858"/>
          <a:ext cx="5975236" cy="532322"/>
        </a:xfrm>
        <a:prstGeom prst="rect">
          <a:avLst/>
        </a:prstGeom>
        <a:solidFill>
          <a:srgbClr val="FFCCFF"/>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Discussing politics without speaking to specific needs sidetracks from why politics exists in the first place.</a:t>
          </a:r>
        </a:p>
      </xdr:txBody>
    </xdr:sp>
    <xdr:clientData/>
  </xdr:twoCellAnchor>
  <xdr:oneCellAnchor>
    <xdr:from>
      <xdr:col>14</xdr:col>
      <xdr:colOff>110067</xdr:colOff>
      <xdr:row>156</xdr:row>
      <xdr:rowOff>8467</xdr:rowOff>
    </xdr:from>
    <xdr:ext cx="6047584" cy="1507029"/>
    <xdr:pic>
      <xdr:nvPicPr>
        <xdr:cNvPr id="538" name="Picture 537" hidden="1">
          <a:extLst>
            <a:ext uri="{FF2B5EF4-FFF2-40B4-BE49-F238E27FC236}">
              <a16:creationId xmlns:a16="http://schemas.microsoft.com/office/drawing/2014/main" id="{00000000-0008-0000-0000-00001A02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44612" y="69781497"/>
          <a:ext cx="6047584" cy="1507029"/>
        </a:xfrm>
        <a:prstGeom prst="rect">
          <a:avLst/>
        </a:prstGeom>
      </xdr:spPr>
    </xdr:pic>
    <xdr:clientData/>
  </xdr:oneCellAnchor>
  <xdr:twoCellAnchor>
    <xdr:from>
      <xdr:col>17</xdr:col>
      <xdr:colOff>415490</xdr:colOff>
      <xdr:row>128</xdr:row>
      <xdr:rowOff>99194</xdr:rowOff>
    </xdr:from>
    <xdr:to>
      <xdr:col>20</xdr:col>
      <xdr:colOff>435542</xdr:colOff>
      <xdr:row>128</xdr:row>
      <xdr:rowOff>295175</xdr:rowOff>
    </xdr:to>
    <xdr:sp macro="" textlink="">
      <xdr:nvSpPr>
        <xdr:cNvPr id="539" name="Arrow: Left 538">
          <a:hlinkClick xmlns:r="http://schemas.openxmlformats.org/officeDocument/2006/relationships" r:id="rId3" tooltip="back to Harmony Politics tab"/>
          <a:extLst>
            <a:ext uri="{FF2B5EF4-FFF2-40B4-BE49-F238E27FC236}">
              <a16:creationId xmlns:a16="http://schemas.microsoft.com/office/drawing/2014/main" id="{00000000-0008-0000-0000-00001B020000}"/>
            </a:ext>
          </a:extLst>
        </xdr:cNvPr>
        <xdr:cNvSpPr/>
      </xdr:nvSpPr>
      <xdr:spPr>
        <a:xfrm>
          <a:off x="7766096" y="62952649"/>
          <a:ext cx="1520961"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128</xdr:row>
      <xdr:rowOff>62369</xdr:rowOff>
    </xdr:from>
    <xdr:to>
      <xdr:col>26</xdr:col>
      <xdr:colOff>488215</xdr:colOff>
      <xdr:row>128</xdr:row>
      <xdr:rowOff>302426</xdr:rowOff>
    </xdr:to>
    <xdr:sp macro="" textlink="">
      <xdr:nvSpPr>
        <xdr:cNvPr id="542" name="Arrow: Left 541">
          <a:hlinkClick xmlns:r="http://schemas.openxmlformats.org/officeDocument/2006/relationships" r:id="rId2" tooltip="back to Harmony Politics tab"/>
          <a:extLst>
            <a:ext uri="{FF2B5EF4-FFF2-40B4-BE49-F238E27FC236}">
              <a16:creationId xmlns:a16="http://schemas.microsoft.com/office/drawing/2014/main" id="{00000000-0008-0000-0000-00001E020000}"/>
            </a:ext>
          </a:extLst>
        </xdr:cNvPr>
        <xdr:cNvSpPr/>
      </xdr:nvSpPr>
      <xdr:spPr>
        <a:xfrm>
          <a:off x="10820587" y="62915824"/>
          <a:ext cx="1520961"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83820</xdr:colOff>
      <xdr:row>138</xdr:row>
      <xdr:rowOff>76200</xdr:rowOff>
    </xdr:from>
    <xdr:to>
      <xdr:col>6</xdr:col>
      <xdr:colOff>499872</xdr:colOff>
      <xdr:row>141</xdr:row>
      <xdr:rowOff>236220</xdr:rowOff>
    </xdr:to>
    <xdr:sp macro="" textlink="">
      <xdr:nvSpPr>
        <xdr:cNvPr id="543" name="Argue W bubble">
          <a:extLst>
            <a:ext uri="{FF2B5EF4-FFF2-40B4-BE49-F238E27FC236}">
              <a16:creationId xmlns:a16="http://schemas.microsoft.com/office/drawing/2014/main" id="{00000000-0008-0000-0000-00001F020000}"/>
            </a:ext>
          </a:extLst>
        </xdr:cNvPr>
        <xdr:cNvSpPr/>
      </xdr:nvSpPr>
      <xdr:spPr>
        <a:xfrm>
          <a:off x="83820" y="65277230"/>
          <a:ext cx="3033022" cy="922020"/>
        </a:xfrm>
        <a:prstGeom prst="wedgeRoundRectCallout">
          <a:avLst>
            <a:gd name="adj1" fmla="val -37843"/>
            <a:gd name="adj2" fmla="val -63031"/>
            <a:gd name="adj3" fmla="val 16667"/>
          </a:avLst>
        </a:prstGeom>
        <a:blipFill>
          <a:blip xmlns:r="http://schemas.openxmlformats.org/officeDocument/2006/relationships" r:embed="rId36">
            <a:alphaModFix amt="10000"/>
          </a:blip>
          <a:stretch>
            <a:fillRect/>
          </a:stretch>
        </a:blip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clientData/>
  </xdr:twoCellAnchor>
  <xdr:twoCellAnchor>
    <xdr:from>
      <xdr:col>7</xdr:col>
      <xdr:colOff>7620</xdr:colOff>
      <xdr:row>138</xdr:row>
      <xdr:rowOff>76200</xdr:rowOff>
    </xdr:from>
    <xdr:to>
      <xdr:col>13</xdr:col>
      <xdr:colOff>35052</xdr:colOff>
      <xdr:row>141</xdr:row>
      <xdr:rowOff>236220</xdr:rowOff>
    </xdr:to>
    <xdr:sp macro="" textlink="">
      <xdr:nvSpPr>
        <xdr:cNvPr id="544" name="Argue D bubble">
          <a:extLst>
            <a:ext uri="{FF2B5EF4-FFF2-40B4-BE49-F238E27FC236}">
              <a16:creationId xmlns:a16="http://schemas.microsoft.com/office/drawing/2014/main" id="{00000000-0008-0000-0000-000020020000}"/>
            </a:ext>
          </a:extLst>
        </xdr:cNvPr>
        <xdr:cNvSpPr/>
      </xdr:nvSpPr>
      <xdr:spPr>
        <a:xfrm>
          <a:off x="3124893" y="65277230"/>
          <a:ext cx="3029250" cy="922020"/>
        </a:xfrm>
        <a:prstGeom prst="wedgeRoundRectCallout">
          <a:avLst>
            <a:gd name="adj1" fmla="val 39219"/>
            <a:gd name="adj2" fmla="val -64095"/>
            <a:gd name="adj3" fmla="val 16667"/>
          </a:avLst>
        </a:prstGeom>
        <a:blipFill>
          <a:blip xmlns:r="http://schemas.openxmlformats.org/officeDocument/2006/relationships" r:embed="rId37">
            <a:alphaModFix amt="10000"/>
          </a:blip>
          <a:stretch>
            <a:fillRect/>
          </a:stretch>
        </a:blip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91363</xdr:colOff>
      <xdr:row>145</xdr:row>
      <xdr:rowOff>68580</xdr:rowOff>
    </xdr:from>
    <xdr:to>
      <xdr:col>7</xdr:col>
      <xdr:colOff>1878</xdr:colOff>
      <xdr:row>148</xdr:row>
      <xdr:rowOff>228600</xdr:rowOff>
    </xdr:to>
    <xdr:sp macro="" textlink="">
      <xdr:nvSpPr>
        <xdr:cNvPr id="545" name="Reject W bubble">
          <a:extLst>
            <a:ext uri="{FF2B5EF4-FFF2-40B4-BE49-F238E27FC236}">
              <a16:creationId xmlns:a16="http://schemas.microsoft.com/office/drawing/2014/main" id="{00000000-0008-0000-0000-000021020000}"/>
            </a:ext>
          </a:extLst>
        </xdr:cNvPr>
        <xdr:cNvSpPr/>
      </xdr:nvSpPr>
      <xdr:spPr>
        <a:xfrm>
          <a:off x="91363" y="37909500"/>
          <a:ext cx="3042335" cy="914400"/>
        </a:xfrm>
        <a:prstGeom prst="wedgeRoundRectCallout">
          <a:avLst>
            <a:gd name="adj1" fmla="val -37843"/>
            <a:gd name="adj2" fmla="val -63031"/>
            <a:gd name="adj3" fmla="val 16667"/>
          </a:avLst>
        </a:prstGeom>
        <a:blipFill>
          <a:blip xmlns:r="http://schemas.openxmlformats.org/officeDocument/2006/relationships" r:embed="rId36">
            <a:alphaModFix amt="10000"/>
          </a:blip>
          <a:stretch>
            <a:fillRect/>
          </a:stretch>
        </a:blip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7620</xdr:colOff>
      <xdr:row>145</xdr:row>
      <xdr:rowOff>68580</xdr:rowOff>
    </xdr:from>
    <xdr:to>
      <xdr:col>13</xdr:col>
      <xdr:colOff>35052</xdr:colOff>
      <xdr:row>148</xdr:row>
      <xdr:rowOff>228600</xdr:rowOff>
    </xdr:to>
    <xdr:sp macro="" textlink="">
      <xdr:nvSpPr>
        <xdr:cNvPr id="546" name="Reject D bubble">
          <a:extLst>
            <a:ext uri="{FF2B5EF4-FFF2-40B4-BE49-F238E27FC236}">
              <a16:creationId xmlns:a16="http://schemas.microsoft.com/office/drawing/2014/main" id="{00000000-0008-0000-0000-000022020000}"/>
            </a:ext>
          </a:extLst>
        </xdr:cNvPr>
        <xdr:cNvSpPr/>
      </xdr:nvSpPr>
      <xdr:spPr>
        <a:xfrm>
          <a:off x="3124893" y="67047610"/>
          <a:ext cx="3029250" cy="922020"/>
        </a:xfrm>
        <a:prstGeom prst="wedgeRoundRectCallout">
          <a:avLst>
            <a:gd name="adj1" fmla="val 39219"/>
            <a:gd name="adj2" fmla="val -64095"/>
            <a:gd name="adj3" fmla="val 16667"/>
          </a:avLst>
        </a:prstGeom>
        <a:blipFill>
          <a:blip xmlns:r="http://schemas.openxmlformats.org/officeDocument/2006/relationships" r:embed="rId37">
            <a:alphaModFix amt="10000"/>
          </a:blip>
          <a:stretch>
            <a:fillRect/>
          </a:stretch>
        </a:blip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91440</xdr:colOff>
      <xdr:row>152</xdr:row>
      <xdr:rowOff>76200</xdr:rowOff>
    </xdr:from>
    <xdr:to>
      <xdr:col>7</xdr:col>
      <xdr:colOff>4572</xdr:colOff>
      <xdr:row>156</xdr:row>
      <xdr:rowOff>213360</xdr:rowOff>
    </xdr:to>
    <xdr:sp macro="" textlink="">
      <xdr:nvSpPr>
        <xdr:cNvPr id="547" name="Demand W bubble">
          <a:extLst>
            <a:ext uri="{FF2B5EF4-FFF2-40B4-BE49-F238E27FC236}">
              <a16:creationId xmlns:a16="http://schemas.microsoft.com/office/drawing/2014/main" id="{00000000-0008-0000-0000-000023020000}"/>
            </a:ext>
          </a:extLst>
        </xdr:cNvPr>
        <xdr:cNvSpPr/>
      </xdr:nvSpPr>
      <xdr:spPr>
        <a:xfrm>
          <a:off x="91440" y="39677340"/>
          <a:ext cx="3044952" cy="1143000"/>
        </a:xfrm>
        <a:prstGeom prst="wedgeRoundRectCallout">
          <a:avLst>
            <a:gd name="adj1" fmla="val -39389"/>
            <a:gd name="adj2" fmla="val -60788"/>
            <a:gd name="adj3" fmla="val 16667"/>
          </a:avLst>
        </a:prstGeom>
        <a:blipFill dpi="0" rotWithShape="1">
          <a:blip xmlns:r="http://schemas.openxmlformats.org/officeDocument/2006/relationships" r:embed="rId36">
            <a:alphaModFix amt="10000"/>
          </a:blip>
          <a:srcRect/>
          <a:stretch>
            <a:fillRect/>
          </a:stretch>
        </a:blip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15240</xdr:colOff>
      <xdr:row>152</xdr:row>
      <xdr:rowOff>76200</xdr:rowOff>
    </xdr:from>
    <xdr:to>
      <xdr:col>13</xdr:col>
      <xdr:colOff>42672</xdr:colOff>
      <xdr:row>156</xdr:row>
      <xdr:rowOff>213360</xdr:rowOff>
    </xdr:to>
    <xdr:sp macro="" textlink="">
      <xdr:nvSpPr>
        <xdr:cNvPr id="548" name="Demand D bubble">
          <a:extLst>
            <a:ext uri="{FF2B5EF4-FFF2-40B4-BE49-F238E27FC236}">
              <a16:creationId xmlns:a16="http://schemas.microsoft.com/office/drawing/2014/main" id="{00000000-0008-0000-0000-000024020000}"/>
            </a:ext>
          </a:extLst>
        </xdr:cNvPr>
        <xdr:cNvSpPr/>
      </xdr:nvSpPr>
      <xdr:spPr>
        <a:xfrm>
          <a:off x="3132513" y="68833230"/>
          <a:ext cx="3029250" cy="1153160"/>
        </a:xfrm>
        <a:prstGeom prst="wedgeRoundRectCallout">
          <a:avLst>
            <a:gd name="adj1" fmla="val 39992"/>
            <a:gd name="adj2" fmla="val -62050"/>
            <a:gd name="adj3" fmla="val 16667"/>
          </a:avLst>
        </a:prstGeom>
        <a:blipFill>
          <a:blip xmlns:r="http://schemas.openxmlformats.org/officeDocument/2006/relationships" r:embed="rId37">
            <a:alphaModFix amt="10000"/>
          </a:blip>
          <a:stretch>
            <a:fillRect/>
          </a:stretch>
        </a:blip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251086</xdr:colOff>
      <xdr:row>173</xdr:row>
      <xdr:rowOff>7913</xdr:rowOff>
    </xdr:from>
    <xdr:to>
      <xdr:col>12</xdr:col>
      <xdr:colOff>234153</xdr:colOff>
      <xdr:row>180</xdr:row>
      <xdr:rowOff>106602</xdr:rowOff>
    </xdr:to>
    <xdr:grpSp>
      <xdr:nvGrpSpPr>
        <xdr:cNvPr id="169" name="Group 168">
          <a:extLst>
            <a:ext uri="{FF2B5EF4-FFF2-40B4-BE49-F238E27FC236}">
              <a16:creationId xmlns:a16="http://schemas.microsoft.com/office/drawing/2014/main" id="{00000000-0008-0000-0000-0000A9000000}"/>
            </a:ext>
          </a:extLst>
        </xdr:cNvPr>
        <xdr:cNvGrpSpPr/>
      </xdr:nvGrpSpPr>
      <xdr:grpSpPr>
        <a:xfrm>
          <a:off x="365386" y="44440133"/>
          <a:ext cx="5515187" cy="1721749"/>
          <a:chOff x="366541" y="44811974"/>
          <a:chExt cx="5486400" cy="1876689"/>
        </a:xfrm>
      </xdr:grpSpPr>
      <xdr:pic>
        <xdr:nvPicPr>
          <xdr:cNvPr id="556" name="your needs - their needs (scales)">
            <a:extLst>
              <a:ext uri="{FF2B5EF4-FFF2-40B4-BE49-F238E27FC236}">
                <a16:creationId xmlns:a16="http://schemas.microsoft.com/office/drawing/2014/main" id="{00000000-0008-0000-0000-00002C02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2209032" y="44811974"/>
            <a:ext cx="1824182" cy="1854753"/>
          </a:xfrm>
          <a:prstGeom prst="rect">
            <a:avLst/>
          </a:prstGeom>
        </xdr:spPr>
      </xdr:pic>
      <xdr:sp macro="" textlink="">
        <xdr:nvSpPr>
          <xdr:cNvPr id="168" name="Rectangle 167">
            <a:extLst>
              <a:ext uri="{FF2B5EF4-FFF2-40B4-BE49-F238E27FC236}">
                <a16:creationId xmlns:a16="http://schemas.microsoft.com/office/drawing/2014/main" id="{00000000-0008-0000-0000-0000A8000000}"/>
              </a:ext>
            </a:extLst>
          </xdr:cNvPr>
          <xdr:cNvSpPr/>
        </xdr:nvSpPr>
        <xdr:spPr>
          <a:xfrm>
            <a:off x="2086045" y="46120943"/>
            <a:ext cx="2054924" cy="567720"/>
          </a:xfrm>
          <a:prstGeom prst="rect">
            <a:avLst/>
          </a:prstGeom>
          <a:noFill/>
        </xdr:spPr>
        <xdr:txBody>
          <a:bodyPr wrap="square" lIns="0" tIns="45720" rIns="0" bIns="45720">
            <a:spAutoFit/>
          </a:bodyPr>
          <a:lstStyle/>
          <a:p>
            <a:pPr algn="ctr">
              <a:lnSpc>
                <a:spcPts val="1800"/>
              </a:lnSpc>
            </a:pPr>
            <a:r>
              <a:rPr lang="en-US" sz="1800" b="1" cap="none" spc="0">
                <a:ln w="10160">
                  <a:solidFill>
                    <a:srgbClr val="780091"/>
                  </a:solidFill>
                  <a:prstDash val="solid"/>
                </a:ln>
                <a:solidFill>
                  <a:schemeClr val="bg1"/>
                </a:solidFill>
                <a:effectLst>
                  <a:glow rad="63500">
                    <a:srgbClr val="780091"/>
                  </a:glow>
                  <a:outerShdw blurRad="38100" dist="22860" dir="5400000" algn="tl" rotWithShape="0">
                    <a:srgbClr val="000000">
                      <a:alpha val="30000"/>
                    </a:srgbClr>
                  </a:outerShdw>
                </a:effectLst>
                <a:latin typeface="Arial Black" panose="020B0A04020102020204" pitchFamily="34" charset="0"/>
              </a:rPr>
              <a:t>visibly </a:t>
            </a:r>
            <a:br>
              <a:rPr lang="en-US" sz="1800" b="1" cap="none" spc="0">
                <a:ln w="10160">
                  <a:solidFill>
                    <a:srgbClr val="780091"/>
                  </a:solidFill>
                  <a:prstDash val="solid"/>
                </a:ln>
                <a:solidFill>
                  <a:schemeClr val="bg1"/>
                </a:solidFill>
                <a:effectLst>
                  <a:glow rad="63500">
                    <a:srgbClr val="780091"/>
                  </a:glow>
                  <a:outerShdw blurRad="38100" dist="22860" dir="5400000" algn="tl" rotWithShape="0">
                    <a:srgbClr val="000000">
                      <a:alpha val="30000"/>
                    </a:srgbClr>
                  </a:outerShdw>
                </a:effectLst>
                <a:latin typeface="Arial Black" panose="020B0A04020102020204" pitchFamily="34" charset="0"/>
              </a:rPr>
            </a:br>
            <a:r>
              <a:rPr lang="en-US" sz="1800" b="1" cap="none" spc="0">
                <a:ln w="10160">
                  <a:solidFill>
                    <a:srgbClr val="780091"/>
                  </a:solidFill>
                  <a:prstDash val="solid"/>
                </a:ln>
                <a:solidFill>
                  <a:schemeClr val="bg1"/>
                </a:solidFill>
                <a:effectLst>
                  <a:glow rad="63500">
                    <a:srgbClr val="780091"/>
                  </a:glow>
                  <a:outerShdw blurRad="38100" dist="22860" dir="5400000" algn="tl" rotWithShape="0">
                    <a:srgbClr val="000000">
                      <a:alpha val="30000"/>
                    </a:srgbClr>
                  </a:outerShdw>
                </a:effectLst>
                <a:latin typeface="Arial Black" panose="020B0A04020102020204" pitchFamily="34" charset="0"/>
              </a:rPr>
              <a:t>unequal politics</a:t>
            </a:r>
          </a:p>
        </xdr:txBody>
      </xdr:sp>
      <xdr:sp macro="" textlink="">
        <xdr:nvSpPr>
          <xdr:cNvPr id="562" name="Rectangle 561">
            <a:extLst>
              <a:ext uri="{FF2B5EF4-FFF2-40B4-BE49-F238E27FC236}">
                <a16:creationId xmlns:a16="http://schemas.microsoft.com/office/drawing/2014/main" id="{00000000-0008-0000-0000-000032020000}"/>
              </a:ext>
            </a:extLst>
          </xdr:cNvPr>
          <xdr:cNvSpPr/>
        </xdr:nvSpPr>
        <xdr:spPr>
          <a:xfrm>
            <a:off x="2246142" y="45149586"/>
            <a:ext cx="1723955" cy="485748"/>
          </a:xfrm>
          <a:prstGeom prst="rect">
            <a:avLst/>
          </a:prstGeom>
          <a:noFill/>
        </xdr:spPr>
        <xdr:txBody>
          <a:bodyPr wrap="square" lIns="0" tIns="45720" rIns="0" bIns="45720">
            <a:noAutofit/>
          </a:bodyPr>
          <a:lstStyle/>
          <a:p>
            <a:pPr algn="ctr">
              <a:lnSpc>
                <a:spcPts val="1800"/>
              </a:lnSpc>
            </a:pPr>
            <a:r>
              <a:rPr lang="en-US" sz="1800" b="1" cap="none" spc="0">
                <a:ln w="10160">
                  <a:solidFill>
                    <a:srgbClr val="00823C"/>
                  </a:solidFill>
                  <a:prstDash val="solid"/>
                </a:ln>
                <a:solidFill>
                  <a:schemeClr val="bg1"/>
                </a:solidFill>
                <a:effectLst>
                  <a:glow rad="63500">
                    <a:srgbClr val="00823C"/>
                  </a:glow>
                  <a:outerShdw blurRad="38100" dist="22860" dir="5400000" algn="tl" rotWithShape="0">
                    <a:srgbClr val="000000">
                      <a:alpha val="30000"/>
                    </a:srgbClr>
                  </a:outerShdw>
                </a:effectLst>
                <a:latin typeface="Arial Black" panose="020B0A04020102020204" pitchFamily="34" charset="0"/>
              </a:rPr>
              <a:t>invisibly equal needs</a:t>
            </a:r>
          </a:p>
        </xdr:txBody>
      </xdr:sp>
      <xdr:sp macro="" textlink="">
        <xdr:nvSpPr>
          <xdr:cNvPr id="568" name="Rectangle 567">
            <a:extLst>
              <a:ext uri="{FF2B5EF4-FFF2-40B4-BE49-F238E27FC236}">
                <a16:creationId xmlns:a16="http://schemas.microsoft.com/office/drawing/2014/main" id="{00000000-0008-0000-0000-000038020000}"/>
              </a:ext>
            </a:extLst>
          </xdr:cNvPr>
          <xdr:cNvSpPr/>
        </xdr:nvSpPr>
        <xdr:spPr>
          <a:xfrm>
            <a:off x="366541" y="44911818"/>
            <a:ext cx="5486400" cy="500304"/>
          </a:xfrm>
          <a:prstGeom prst="rect">
            <a:avLst/>
          </a:prstGeom>
          <a:noFill/>
        </xdr:spPr>
        <xdr:txBody>
          <a:bodyPr wrap="square" lIns="0" tIns="45720" rIns="0" bIns="45720">
            <a:prstTxWarp prst="textArchUp">
              <a:avLst/>
            </a:prstTxWarp>
            <a:noAutofit/>
          </a:bodyPr>
          <a:lstStyle/>
          <a:p>
            <a:pPr algn="ctr">
              <a:lnSpc>
                <a:spcPts val="1800"/>
              </a:lnSpc>
            </a:pPr>
            <a:r>
              <a:rPr lang="en-US" sz="1600" b="1" cap="none" spc="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ALL NEEDS SIT EQUAL BEFORE NATURE.</a:t>
            </a:r>
          </a:p>
        </xdr:txBody>
      </xdr:sp>
    </xdr:grpSp>
    <xdr:clientData/>
  </xdr:twoCellAnchor>
  <xdr:twoCellAnchor>
    <xdr:from>
      <xdr:col>5</xdr:col>
      <xdr:colOff>346363</xdr:colOff>
      <xdr:row>188</xdr:row>
      <xdr:rowOff>104446</xdr:rowOff>
    </xdr:from>
    <xdr:to>
      <xdr:col>8</xdr:col>
      <xdr:colOff>146242</xdr:colOff>
      <xdr:row>193</xdr:row>
      <xdr:rowOff>157032</xdr:rowOff>
    </xdr:to>
    <xdr:pic>
      <xdr:nvPicPr>
        <xdr:cNvPr id="572" name="your needs - their needs (scales)">
          <a:extLst>
            <a:ext uri="{FF2B5EF4-FFF2-40B4-BE49-F238E27FC236}">
              <a16:creationId xmlns:a16="http://schemas.microsoft.com/office/drawing/2014/main" id="{00000000-0008-0000-0000-00003C020000}"/>
            </a:ext>
          </a:extLst>
        </xdr:cNvPr>
        <xdr:cNvPicPr>
          <a:picLocks noChangeAspect="1"/>
        </xdr:cNvPicPr>
      </xdr:nvPicPr>
      <xdr:blipFill>
        <a:blip xmlns:r="http://schemas.openxmlformats.org/officeDocument/2006/relationships" r:embed="rId39" cstate="print">
          <a:extLst>
            <a:ext uri="{BEBA8EAE-BF5A-486C-A8C5-ECC9F3942E4B}">
              <a14:imgProps xmlns:a14="http://schemas.microsoft.com/office/drawing/2010/main">
                <a14:imgLayer r:embed="rId40">
                  <a14:imgEffect>
                    <a14:artisticBlur/>
                  </a14:imgEffect>
                </a14:imgLayer>
              </a14:imgProps>
            </a:ext>
            <a:ext uri="{28A0092B-C50C-407E-A947-70E740481C1C}">
              <a14:useLocalDpi xmlns:a14="http://schemas.microsoft.com/office/drawing/2010/main" val="0"/>
            </a:ext>
          </a:extLst>
        </a:blip>
        <a:stretch>
          <a:fillRect/>
        </a:stretch>
      </xdr:blipFill>
      <xdr:spPr>
        <a:xfrm>
          <a:off x="2463030" y="48333658"/>
          <a:ext cx="1300788" cy="1322586"/>
        </a:xfrm>
        <a:prstGeom prst="rect">
          <a:avLst/>
        </a:prstGeom>
      </xdr:spPr>
    </xdr:pic>
    <xdr:clientData/>
  </xdr:twoCellAnchor>
  <xdr:twoCellAnchor>
    <xdr:from>
      <xdr:col>1</xdr:col>
      <xdr:colOff>76430</xdr:colOff>
      <xdr:row>211</xdr:row>
      <xdr:rowOff>39409</xdr:rowOff>
    </xdr:from>
    <xdr:to>
      <xdr:col>12</xdr:col>
      <xdr:colOff>425257</xdr:colOff>
      <xdr:row>219</xdr:row>
      <xdr:rowOff>167640</xdr:rowOff>
    </xdr:to>
    <xdr:sp macro="" textlink="">
      <xdr:nvSpPr>
        <xdr:cNvPr id="170" name="Rectangle 169">
          <a:extLst>
            <a:ext uri="{FF2B5EF4-FFF2-40B4-BE49-F238E27FC236}">
              <a16:creationId xmlns:a16="http://schemas.microsoft.com/office/drawing/2014/main" id="{00000000-0008-0000-0000-0000AA000000}"/>
            </a:ext>
          </a:extLst>
        </xdr:cNvPr>
        <xdr:cNvSpPr/>
      </xdr:nvSpPr>
      <xdr:spPr>
        <a:xfrm>
          <a:off x="190730" y="52990789"/>
          <a:ext cx="5880947" cy="2139911"/>
        </a:xfrm>
        <a:prstGeom prst="rect">
          <a:avLst/>
        </a:prstGeom>
        <a:blipFill dpi="0" rotWithShape="1">
          <a:blip xmlns:r="http://schemas.openxmlformats.org/officeDocument/2006/relationships" r:embed="rId41">
            <a:alphaModFix amt="47000"/>
          </a:blip>
          <a:srcRect/>
          <a:stretch>
            <a:fillRect/>
          </a:stretch>
        </a:bli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192424</xdr:colOff>
      <xdr:row>192</xdr:row>
      <xdr:rowOff>130847</xdr:rowOff>
    </xdr:from>
    <xdr:to>
      <xdr:col>9</xdr:col>
      <xdr:colOff>323272</xdr:colOff>
      <xdr:row>197</xdr:row>
      <xdr:rowOff>100059</xdr:rowOff>
    </xdr:to>
    <xdr:sp macro="" textlink="">
      <xdr:nvSpPr>
        <xdr:cNvPr id="570" name="Rectangle 569">
          <a:extLst>
            <a:ext uri="{FF2B5EF4-FFF2-40B4-BE49-F238E27FC236}">
              <a16:creationId xmlns:a16="http://schemas.microsoft.com/office/drawing/2014/main" id="{00000000-0008-0000-0000-00003A020000}"/>
            </a:ext>
          </a:extLst>
        </xdr:cNvPr>
        <xdr:cNvSpPr/>
      </xdr:nvSpPr>
      <xdr:spPr>
        <a:xfrm>
          <a:off x="1808788" y="49376059"/>
          <a:ext cx="2632363" cy="1046788"/>
        </a:xfrm>
        <a:prstGeom prst="rect">
          <a:avLst/>
        </a:prstGeom>
        <a:noFill/>
      </xdr:spPr>
      <xdr:txBody>
        <a:bodyPr wrap="square" lIns="0" tIns="45720" rIns="0" bIns="45720">
          <a:prstTxWarp prst="textArchUp">
            <a:avLst/>
          </a:prstTxWarp>
          <a:noAutofit/>
        </a:bodyPr>
        <a:lstStyle/>
        <a:p>
          <a:pPr algn="ctr">
            <a:lnSpc>
              <a:spcPts val="1800"/>
            </a:lnSpc>
          </a:pPr>
          <a:r>
            <a:rPr lang="en-US" sz="1600" b="1" cap="none" spc="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WE CANNOT</a:t>
          </a:r>
          <a:r>
            <a:rPr lang="en-US" sz="1600" b="1" cap="none" spc="0" baseline="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 SOLVE </a:t>
          </a:r>
        </a:p>
        <a:p>
          <a:pPr algn="ctr">
            <a:lnSpc>
              <a:spcPts val="1800"/>
            </a:lnSpc>
          </a:pPr>
          <a:r>
            <a:rPr lang="en-US" sz="1600" b="1" cap="none" spc="0" baseline="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OUR SPECIFIC PROBLEMS </a:t>
          </a:r>
        </a:p>
        <a:p>
          <a:pPr algn="ctr">
            <a:lnSpc>
              <a:spcPts val="1800"/>
            </a:lnSpc>
          </a:pPr>
          <a:r>
            <a:rPr lang="en-US" sz="1600" b="1" cap="none" spc="0" baseline="0">
              <a:ln w="10160">
                <a:solidFill>
                  <a:schemeClr val="bg1"/>
                </a:solidFill>
                <a:prstDash val="solid"/>
              </a:ln>
              <a:solidFill>
                <a:srgbClr val="780091"/>
              </a:solidFill>
              <a:effectLst>
                <a:outerShdw blurRad="38100" dist="22860" dir="5400000" algn="tl" rotWithShape="0">
                  <a:srgbClr val="000000">
                    <a:alpha val="30000"/>
                  </a:srgbClr>
                </a:outerShdw>
              </a:effectLst>
              <a:latin typeface="Arial Black" panose="020B0A04020102020204" pitchFamily="34" charset="0"/>
            </a:rPr>
            <a:t>FROM THE LEVEL </a:t>
          </a:r>
        </a:p>
        <a:p>
          <a:pPr algn="ctr">
            <a:lnSpc>
              <a:spcPts val="1800"/>
            </a:lnSpc>
          </a:pPr>
          <a:r>
            <a:rPr lang="en-US" sz="1600" b="1" cap="none" spc="0" baseline="0">
              <a:ln w="10160">
                <a:solidFill>
                  <a:schemeClr val="bg1"/>
                </a:solidFill>
                <a:prstDash val="solid"/>
              </a:ln>
              <a:solidFill>
                <a:srgbClr val="780091"/>
              </a:solidFill>
              <a:effectLst>
                <a:outerShdw blurRad="38100" dist="22860" dir="5400000" algn="tl" rotWithShape="0">
                  <a:srgbClr val="000000">
                    <a:alpha val="30000"/>
                  </a:srgbClr>
                </a:outerShdw>
              </a:effectLst>
              <a:latin typeface="Arial Black" panose="020B0A04020102020204" pitchFamily="34" charset="0"/>
            </a:rPr>
            <a:t>OF GENERALIZING</a:t>
          </a:r>
          <a:r>
            <a:rPr lang="en-US" sz="1600" b="1" cap="none" spc="0" baseline="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 </a:t>
          </a:r>
        </a:p>
        <a:p>
          <a:pPr algn="ctr">
            <a:lnSpc>
              <a:spcPts val="1800"/>
            </a:lnSpc>
          </a:pPr>
          <a:r>
            <a:rPr lang="en-US" sz="1600" b="1" cap="none" spc="0" baseline="0">
              <a:ln w="10160">
                <a:solidFill>
                  <a:srgbClr val="C8FFDC"/>
                </a:solidFill>
                <a:prstDash val="solid"/>
              </a:ln>
              <a:solidFill>
                <a:srgbClr val="C00000"/>
              </a:solidFill>
              <a:effectLst>
                <a:outerShdw blurRad="38100" dist="22860" dir="5400000" algn="tl" rotWithShape="0">
                  <a:srgbClr val="000000">
                    <a:alpha val="30000"/>
                  </a:srgbClr>
                </a:outerShdw>
              </a:effectLst>
              <a:latin typeface="Arial Black" panose="020B0A04020102020204" pitchFamily="34" charset="0"/>
            </a:rPr>
            <a:t>THAT CREATED THEM.</a:t>
          </a:r>
          <a:endParaRPr lang="en-US" sz="1600" b="1" cap="none" spc="0">
            <a:ln w="10160">
              <a:solidFill>
                <a:srgbClr val="C8FFDC"/>
              </a:solidFill>
              <a:prstDash val="solid"/>
            </a:ln>
            <a:solidFill>
              <a:srgbClr val="C00000"/>
            </a:solidFill>
            <a:effectLst>
              <a:outerShdw blurRad="38100" dist="22860" dir="5400000" algn="tl" rotWithShape="0">
                <a:srgbClr val="000000">
                  <a:alpha val="30000"/>
                </a:srgbClr>
              </a:outerShdw>
            </a:effectLst>
            <a:latin typeface="Arial Black" panose="020B0A04020102020204" pitchFamily="34" charset="0"/>
          </a:endParaRPr>
        </a:p>
      </xdr:txBody>
    </xdr:sp>
    <xdr:clientData/>
  </xdr:twoCellAnchor>
  <xdr:oneCellAnchor>
    <xdr:from>
      <xdr:col>14</xdr:col>
      <xdr:colOff>110067</xdr:colOff>
      <xdr:row>260</xdr:row>
      <xdr:rowOff>8467</xdr:rowOff>
    </xdr:from>
    <xdr:ext cx="6047584" cy="1507029"/>
    <xdr:pic>
      <xdr:nvPicPr>
        <xdr:cNvPr id="581" name="Picture 580" hidden="1">
          <a:extLst>
            <a:ext uri="{FF2B5EF4-FFF2-40B4-BE49-F238E27FC236}">
              <a16:creationId xmlns:a16="http://schemas.microsoft.com/office/drawing/2014/main" id="{00000000-0008-0000-0000-00004502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44612" y="56357982"/>
          <a:ext cx="6047584" cy="1507029"/>
        </a:xfrm>
        <a:prstGeom prst="rect">
          <a:avLst/>
        </a:prstGeom>
      </xdr:spPr>
    </xdr:pic>
    <xdr:clientData/>
  </xdr:oneCellAnchor>
  <xdr:twoCellAnchor>
    <xdr:from>
      <xdr:col>19</xdr:col>
      <xdr:colOff>331670</xdr:colOff>
      <xdr:row>238</xdr:row>
      <xdr:rowOff>91574</xdr:rowOff>
    </xdr:from>
    <xdr:to>
      <xdr:col>22</xdr:col>
      <xdr:colOff>351722</xdr:colOff>
      <xdr:row>238</xdr:row>
      <xdr:rowOff>287555</xdr:rowOff>
    </xdr:to>
    <xdr:sp macro="" textlink="">
      <xdr:nvSpPr>
        <xdr:cNvPr id="582" name="Arrow: Left 581">
          <a:hlinkClick xmlns:r="http://schemas.openxmlformats.org/officeDocument/2006/relationships" r:id="rId3" tooltip="back to Harmony Politics tab"/>
          <a:extLst>
            <a:ext uri="{FF2B5EF4-FFF2-40B4-BE49-F238E27FC236}">
              <a16:creationId xmlns:a16="http://schemas.microsoft.com/office/drawing/2014/main" id="{00000000-0008-0000-0000-000046020000}"/>
            </a:ext>
          </a:extLst>
        </xdr:cNvPr>
        <xdr:cNvSpPr/>
      </xdr:nvSpPr>
      <xdr:spPr>
        <a:xfrm>
          <a:off x="8682882" y="51430362"/>
          <a:ext cx="1520961"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251</xdr:row>
      <xdr:rowOff>5348</xdr:rowOff>
    </xdr:from>
    <xdr:to>
      <xdr:col>27</xdr:col>
      <xdr:colOff>118976</xdr:colOff>
      <xdr:row>251</xdr:row>
      <xdr:rowOff>105611</xdr:rowOff>
    </xdr:to>
    <xdr:sp macro="" textlink="">
      <xdr:nvSpPr>
        <xdr:cNvPr id="583" name="Right Triangle 582">
          <a:extLst>
            <a:ext uri="{FF2B5EF4-FFF2-40B4-BE49-F238E27FC236}">
              <a16:creationId xmlns:a16="http://schemas.microsoft.com/office/drawing/2014/main" id="{00000000-0008-0000-0000-000047020000}"/>
            </a:ext>
          </a:extLst>
        </xdr:cNvPr>
        <xdr:cNvSpPr/>
      </xdr:nvSpPr>
      <xdr:spPr>
        <a:xfrm flipH="1" flipV="1">
          <a:off x="12399085" y="54261287"/>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238</xdr:row>
      <xdr:rowOff>62369</xdr:rowOff>
    </xdr:from>
    <xdr:to>
      <xdr:col>26</xdr:col>
      <xdr:colOff>488215</xdr:colOff>
      <xdr:row>238</xdr:row>
      <xdr:rowOff>302426</xdr:rowOff>
    </xdr:to>
    <xdr:sp macro="" textlink="">
      <xdr:nvSpPr>
        <xdr:cNvPr id="585" name="Arrow: Left 584">
          <a:hlinkClick xmlns:r="http://schemas.openxmlformats.org/officeDocument/2006/relationships" r:id="rId2" tooltip="back to Harmony Politics tab"/>
          <a:extLst>
            <a:ext uri="{FF2B5EF4-FFF2-40B4-BE49-F238E27FC236}">
              <a16:creationId xmlns:a16="http://schemas.microsoft.com/office/drawing/2014/main" id="{00000000-0008-0000-0000-000049020000}"/>
            </a:ext>
          </a:extLst>
        </xdr:cNvPr>
        <xdr:cNvSpPr/>
      </xdr:nvSpPr>
      <xdr:spPr>
        <a:xfrm>
          <a:off x="10820587" y="51401157"/>
          <a:ext cx="1520961"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14</xdr:col>
      <xdr:colOff>38100</xdr:colOff>
      <xdr:row>239</xdr:row>
      <xdr:rowOff>91440</xdr:rowOff>
    </xdr:from>
    <xdr:to>
      <xdr:col>26</xdr:col>
      <xdr:colOff>335280</xdr:colOff>
      <xdr:row>254</xdr:row>
      <xdr:rowOff>0</xdr:rowOff>
    </xdr:to>
    <xdr:sp macro="" textlink="">
      <xdr:nvSpPr>
        <xdr:cNvPr id="586" name="TextBox 585">
          <a:extLst>
            <a:ext uri="{FF2B5EF4-FFF2-40B4-BE49-F238E27FC236}">
              <a16:creationId xmlns:a16="http://schemas.microsoft.com/office/drawing/2014/main" id="{00000000-0008-0000-0000-00004A020000}"/>
            </a:ext>
          </a:extLst>
        </xdr:cNvPr>
        <xdr:cNvSpPr txBox="1"/>
      </xdr:nvSpPr>
      <xdr:spPr>
        <a:xfrm>
          <a:off x="6301740" y="59512200"/>
          <a:ext cx="5943600" cy="31699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050">
            <a:effectLst/>
            <a:latin typeface="Arial Narrow" panose="020B0606020202030204" pitchFamily="34" charset="0"/>
          </a:endParaRPr>
        </a:p>
        <a:p>
          <a:r>
            <a:rPr lang="en-US" sz="1100" b="1" baseline="0">
              <a:solidFill>
                <a:schemeClr val="dk1"/>
              </a:solidFill>
              <a:effectLst/>
              <a:latin typeface="Arial Narrow" panose="020B0606020202030204" pitchFamily="34" charset="0"/>
              <a:ea typeface="+mn-ea"/>
              <a:cs typeface="+mn-cs"/>
            </a:rPr>
            <a:t>4. Imaging the worse of each other</a:t>
          </a:r>
        </a:p>
        <a:p>
          <a:r>
            <a:rPr lang="en-US" sz="1050" spc="-10" baseline="0">
              <a:solidFill>
                <a:schemeClr val="dk1"/>
              </a:solidFill>
              <a:effectLst/>
              <a:latin typeface="Arial Narrow" panose="020B0606020202030204" pitchFamily="34" charset="0"/>
              <a:ea typeface="+mn-ea"/>
              <a:cs typeface="+mn-cs"/>
            </a:rPr>
            <a:t>Catastrophizing often sinks in. What do you fear most if the other side gets their way? [WORSE1] and even [WORSE2]? </a:t>
          </a:r>
          <a:r>
            <a:rPr lang="en-US" sz="1050" baseline="0">
              <a:solidFill>
                <a:schemeClr val="dk1"/>
              </a:solidFill>
              <a:effectLst/>
              <a:latin typeface="Arial Narrow" panose="020B0606020202030204" pitchFamily="34" charset="0"/>
              <a:ea typeface="+mn-ea"/>
              <a:cs typeface="+mn-cs"/>
            </a:rPr>
            <a:t>Do they fear your side will result in "[WORSE 1]" and perhaps "[WORSE2]". Do you continue to trust divisive [ISSUE] politics as a solution to the problem? Or can you see such divisive politics as the problem?</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a:t>
          </a:r>
        </a:p>
        <a:p>
          <a:endParaRPr lang="en-US" sz="1050" baseline="0">
            <a:solidFill>
              <a:schemeClr val="dk1"/>
            </a:solidFill>
            <a:effectLst/>
            <a:latin typeface="Arial Narrow" panose="020B0606020202030204" pitchFamily="34" charset="0"/>
            <a:ea typeface="+mn-ea"/>
            <a:cs typeface="+mn-cs"/>
          </a:endParaRPr>
        </a:p>
        <a:p>
          <a:r>
            <a:rPr lang="en-US" sz="1050" baseline="0">
              <a:solidFill>
                <a:schemeClr val="dk1"/>
              </a:solidFill>
              <a:effectLst/>
              <a:latin typeface="Arial Narrow" panose="020B0606020202030204" pitchFamily="34" charset="0"/>
              <a:ea typeface="+mn-ea"/>
              <a:cs typeface="+mn-cs"/>
            </a:rPr>
            <a:t>"Conservatives are all bad! They [W WORSE1] and [W WORSE2]!"</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"Conservatives are all bad! They oppress us to death!"</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chemeClr val="dk1"/>
              </a:solidFill>
              <a:effectLst/>
              <a:latin typeface="Arial Narrow" panose="020B0606020202030204" pitchFamily="34" charset="0"/>
              <a:ea typeface="+mn-ea"/>
              <a:cs typeface="+mn-cs"/>
            </a:rPr>
            <a:t>"Liberals are all bad! They [D WORSE1] and [D WORSE2]!"</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"Liberals are all bad! They want to tax us to death!"</a:t>
          </a:r>
        </a:p>
        <a:p>
          <a:endParaRPr lang="en-US" sz="1050" baseline="0">
            <a:solidFill>
              <a:schemeClr val="dk1"/>
            </a:solidFill>
            <a:effectLst/>
            <a:latin typeface="Arial Narrow" panose="020B060602020203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mn-lt"/>
              <a:ea typeface="+mn-ea"/>
              <a:cs typeface="+mn-cs"/>
            </a:rPr>
            <a:t>5. A call for moral leadership</a:t>
          </a:r>
          <a:endParaRPr lang="en-US" sz="1050">
            <a:effectLst/>
          </a:endParaRPr>
        </a:p>
        <a:p>
          <a:pPr eaLnBrk="1" fontAlgn="auto" latinLnBrk="0" hangingPunct="1"/>
          <a:r>
            <a:rPr lang="en-US" sz="1050" baseline="0">
              <a:solidFill>
                <a:schemeClr val="dk1"/>
              </a:solidFill>
              <a:effectLst/>
              <a:latin typeface="Arial Narrow" panose="020B0606020202030204" pitchFamily="34" charset="0"/>
              <a:ea typeface="+mn-ea"/>
              <a:cs typeface="+mn-cs"/>
            </a:rPr>
            <a:t>All this name-calling and catastrophizing betrays a lack of moral political leadership. Political change with moral leadership, as exemplifed by Dr. King and others, connects to the needs on both sides of any politicized issue. Moral leadership never pits us against each other for what we inflexibly need.</a:t>
          </a:r>
        </a:p>
        <a:p>
          <a:endParaRPr lang="en-US" sz="1050" baseline="0">
            <a:solidFill>
              <a:schemeClr val="dk1"/>
            </a:solidFill>
            <a:effectLst/>
            <a:latin typeface="Arial Narrow" panose="020B0606020202030204" pitchFamily="34" charset="0"/>
            <a:ea typeface="+mn-ea"/>
            <a:cs typeface="+mn-cs"/>
          </a:endParaRPr>
        </a:p>
        <a:p>
          <a:endParaRPr lang="en-US" sz="1050" baseline="0">
            <a:solidFill>
              <a:schemeClr val="dk1"/>
            </a:solidFill>
            <a:effectLst/>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0</xdr:col>
      <xdr:colOff>105910</xdr:colOff>
      <xdr:row>297</xdr:row>
      <xdr:rowOff>205740</xdr:rowOff>
    </xdr:from>
    <xdr:to>
      <xdr:col>12</xdr:col>
      <xdr:colOff>497378</xdr:colOff>
      <xdr:row>309</xdr:row>
      <xdr:rowOff>112667</xdr:rowOff>
    </xdr:to>
    <xdr:grpSp>
      <xdr:nvGrpSpPr>
        <xdr:cNvPr id="197" name="Group 196">
          <a:extLst>
            <a:ext uri="{FF2B5EF4-FFF2-40B4-BE49-F238E27FC236}">
              <a16:creationId xmlns:a16="http://schemas.microsoft.com/office/drawing/2014/main" id="{00000000-0008-0000-0000-0000C5000000}"/>
            </a:ext>
          </a:extLst>
        </xdr:cNvPr>
        <xdr:cNvGrpSpPr/>
      </xdr:nvGrpSpPr>
      <xdr:grpSpPr>
        <a:xfrm>
          <a:off x="105910" y="73014840"/>
          <a:ext cx="6037888" cy="2855867"/>
          <a:chOff x="105910" y="73517760"/>
          <a:chExt cx="6037888" cy="2855867"/>
        </a:xfrm>
      </xdr:grpSpPr>
      <xdr:pic>
        <xdr:nvPicPr>
          <xdr:cNvPr id="196" name="political hate">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2583180" y="73517760"/>
            <a:ext cx="1097280" cy="1097280"/>
          </a:xfrm>
          <a:prstGeom prst="rect">
            <a:avLst/>
          </a:prstGeom>
        </xdr:spPr>
      </xdr:pic>
      <xdr:grpSp>
        <xdr:nvGrpSpPr>
          <xdr:cNvPr id="590" name="Group 589">
            <a:extLst>
              <a:ext uri="{FF2B5EF4-FFF2-40B4-BE49-F238E27FC236}">
                <a16:creationId xmlns:a16="http://schemas.microsoft.com/office/drawing/2014/main" id="{00000000-0008-0000-0000-00004E020000}"/>
              </a:ext>
            </a:extLst>
          </xdr:cNvPr>
          <xdr:cNvGrpSpPr/>
        </xdr:nvGrpSpPr>
        <xdr:grpSpPr>
          <a:xfrm>
            <a:off x="105910" y="73639007"/>
            <a:ext cx="6037888" cy="2734620"/>
            <a:chOff x="6303817" y="64962423"/>
            <a:chExt cx="6008064" cy="2760639"/>
          </a:xfrm>
        </xdr:grpSpPr>
        <xdr:grpSp>
          <xdr:nvGrpSpPr>
            <xdr:cNvPr id="591" name="Group 590">
              <a:extLst>
                <a:ext uri="{FF2B5EF4-FFF2-40B4-BE49-F238E27FC236}">
                  <a16:creationId xmlns:a16="http://schemas.microsoft.com/office/drawing/2014/main" id="{00000000-0008-0000-0000-00004F020000}"/>
                </a:ext>
              </a:extLst>
            </xdr:cNvPr>
            <xdr:cNvGrpSpPr/>
          </xdr:nvGrpSpPr>
          <xdr:grpSpPr>
            <a:xfrm>
              <a:off x="8228639" y="65009272"/>
              <a:ext cx="2147673" cy="2356088"/>
              <a:chOff x="8236336" y="65124726"/>
              <a:chExt cx="2147673" cy="2356088"/>
            </a:xfrm>
          </xdr:grpSpPr>
          <xdr:pic>
            <xdr:nvPicPr>
              <xdr:cNvPr id="595" name="LOVE">
                <a:extLst>
                  <a:ext uri="{FF2B5EF4-FFF2-40B4-BE49-F238E27FC236}">
                    <a16:creationId xmlns:a16="http://schemas.microsoft.com/office/drawing/2014/main" id="{00000000-0008-0000-0000-000053020000}"/>
                  </a:ext>
                </a:extLst>
              </xdr:cNvPr>
              <xdr:cNvPicPr>
                <a:picLocks noChangeAspect="1"/>
              </xdr:cNvPicPr>
            </xdr:nvPicPr>
            <xdr:blipFill>
              <a:blip xmlns:r="http://schemas.openxmlformats.org/officeDocument/2006/relationships" r:embed="rId43" cstate="print">
                <a:extLst>
                  <a:ext uri="{BEBA8EAE-BF5A-486C-A8C5-ECC9F3942E4B}">
                    <a14:imgProps xmlns:a14="http://schemas.microsoft.com/office/drawing/2010/main">
                      <a14:imgLayer r:embed="rId44">
                        <a14:imgEffect>
                          <a14:artisticBlur/>
                        </a14:imgEffect>
                      </a14:imgLayer>
                    </a14:imgProps>
                  </a:ext>
                  <a:ext uri="{28A0092B-C50C-407E-A947-70E740481C1C}">
                    <a14:useLocalDpi xmlns:a14="http://schemas.microsoft.com/office/drawing/2010/main" val="0"/>
                  </a:ext>
                </a:extLst>
              </a:blip>
              <a:stretch>
                <a:fillRect/>
              </a:stretch>
            </xdr:blipFill>
            <xdr:spPr>
              <a:xfrm>
                <a:off x="8306241" y="66362555"/>
                <a:ext cx="2024690" cy="1118259"/>
              </a:xfrm>
              <a:prstGeom prst="rect">
                <a:avLst/>
              </a:prstGeom>
            </xdr:spPr>
          </xdr:pic>
          <xdr:sp macro="" textlink="">
            <xdr:nvSpPr>
              <xdr:cNvPr id="596" name="Rectangle 595">
                <a:extLst>
                  <a:ext uri="{FF2B5EF4-FFF2-40B4-BE49-F238E27FC236}">
                    <a16:creationId xmlns:a16="http://schemas.microsoft.com/office/drawing/2014/main" id="{00000000-0008-0000-0000-000054020000}"/>
                  </a:ext>
                </a:extLst>
              </xdr:cNvPr>
              <xdr:cNvSpPr/>
            </xdr:nvSpPr>
            <xdr:spPr>
              <a:xfrm>
                <a:off x="8236336" y="66486301"/>
                <a:ext cx="2147673" cy="792297"/>
              </a:xfrm>
              <a:prstGeom prst="rect">
                <a:avLst/>
              </a:prstGeom>
              <a:noFill/>
            </xdr:spPr>
            <xdr:txBody>
              <a:bodyPr wrap="square" lIns="91440" tIns="45720" rIns="91440" bIns="45720">
                <a:spAutoFit/>
              </a:bodyPr>
              <a:lstStyle/>
              <a:p>
                <a:pPr algn="ctr">
                  <a:lnSpc>
                    <a:spcPts val="1800"/>
                  </a:lnSpc>
                </a:pPr>
                <a:r>
                  <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LOVE=WHEN THEIR NEEDS MATTER AS MUCH IF NOT MORE</a:t>
                </a:r>
                <a:r>
                  <a:rPr lang="en-US" sz="1600" b="1" cap="none" spc="-20" baseline="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 THAN YOUR OWN</a:t>
                </a:r>
                <a:endPar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endParaRPr>
              </a:p>
            </xdr:txBody>
          </xdr:sp>
          <xdr:sp macro="" textlink="">
            <xdr:nvSpPr>
              <xdr:cNvPr id="629" name="Rectangle 628">
                <a:extLst>
                  <a:ext uri="{FF2B5EF4-FFF2-40B4-BE49-F238E27FC236}">
                    <a16:creationId xmlns:a16="http://schemas.microsoft.com/office/drawing/2014/main" id="{00000000-0008-0000-0000-000075020000}"/>
                  </a:ext>
                </a:extLst>
              </xdr:cNvPr>
              <xdr:cNvSpPr/>
            </xdr:nvSpPr>
            <xdr:spPr>
              <a:xfrm>
                <a:off x="8350071" y="65124726"/>
                <a:ext cx="1935367" cy="792297"/>
              </a:xfrm>
              <a:prstGeom prst="rect">
                <a:avLst/>
              </a:prstGeom>
              <a:noFill/>
            </xdr:spPr>
            <xdr:txBody>
              <a:bodyPr wrap="square" lIns="91440" tIns="45720" rIns="91440" bIns="45720">
                <a:spAutoFit/>
              </a:bodyPr>
              <a:lstStyle/>
              <a:p>
                <a:pPr algn="ctr">
                  <a:lnSpc>
                    <a:spcPts val="1800"/>
                  </a:lnSpc>
                </a:pPr>
                <a:r>
                  <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HATE=WHEN YOU VIEW THEM AS</a:t>
                </a:r>
                <a:r>
                  <a:rPr lang="en-US" sz="1600" b="1" cap="none" spc="-20" baseline="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 A THREAT TO YOUR PAINFUL NEEDS</a:t>
                </a:r>
                <a:endPar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endParaRPr>
              </a:p>
            </xdr:txBody>
          </xdr:sp>
        </xdr:grpSp>
        <xdr:sp macro="" textlink="">
          <xdr:nvSpPr>
            <xdr:cNvPr id="592" name="Speech Bubble: Rectangle 591">
              <a:extLst>
                <a:ext uri="{FF2B5EF4-FFF2-40B4-BE49-F238E27FC236}">
                  <a16:creationId xmlns:a16="http://schemas.microsoft.com/office/drawing/2014/main" id="{00000000-0008-0000-0000-000050020000}"/>
                </a:ext>
              </a:extLst>
            </xdr:cNvPr>
            <xdr:cNvSpPr/>
          </xdr:nvSpPr>
          <xdr:spPr>
            <a:xfrm>
              <a:off x="6303818" y="64962423"/>
              <a:ext cx="2001742" cy="1015410"/>
            </a:xfrm>
            <a:prstGeom prst="wedgeRectCallout">
              <a:avLst>
                <a:gd name="adj1" fmla="val -1052"/>
                <a:gd name="adj2" fmla="val 70903"/>
              </a:avLst>
            </a:prstGeom>
            <a:gradFill>
              <a:gsLst>
                <a:gs pos="0">
                  <a:schemeClr val="accent5">
                    <a:lumMod val="40000"/>
                    <a:lumOff val="60000"/>
                    <a:alpha val="50000"/>
                  </a:schemeClr>
                </a:gs>
                <a:gs pos="50000">
                  <a:schemeClr val="accent5">
                    <a:lumMod val="20000"/>
                    <a:lumOff val="80000"/>
                    <a:alpha val="25000"/>
                  </a:schemeClr>
                </a:gs>
              </a:gsLst>
              <a:lin ang="16200000" scaled="1"/>
            </a:gradFill>
            <a:ln w="38100">
              <a:solidFill>
                <a:schemeClr val="accent4">
                  <a:lumMod val="40000"/>
                  <a:lumOff val="60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593" name="Speech Bubble: Rectangle 592">
              <a:extLst>
                <a:ext uri="{FF2B5EF4-FFF2-40B4-BE49-F238E27FC236}">
                  <a16:creationId xmlns:a16="http://schemas.microsoft.com/office/drawing/2014/main" id="{00000000-0008-0000-0000-000051020000}"/>
                </a:ext>
              </a:extLst>
            </xdr:cNvPr>
            <xdr:cNvSpPr/>
          </xdr:nvSpPr>
          <xdr:spPr>
            <a:xfrm>
              <a:off x="10310138" y="64962423"/>
              <a:ext cx="2001743" cy="1015410"/>
            </a:xfrm>
            <a:prstGeom prst="wedgeRectCallout">
              <a:avLst>
                <a:gd name="adj1" fmla="val 631"/>
                <a:gd name="adj2" fmla="val 71744"/>
              </a:avLst>
            </a:prstGeom>
            <a:gradFill>
              <a:gsLst>
                <a:gs pos="0">
                  <a:srgbClr val="FF9999">
                    <a:alpha val="50000"/>
                  </a:srgbClr>
                </a:gs>
                <a:gs pos="50000">
                  <a:srgbClr val="FFCCCC">
                    <a:alpha val="25000"/>
                  </a:srgbClr>
                </a:gs>
              </a:gsLst>
              <a:lin ang="16200000" scaled="1"/>
            </a:gradFill>
            <a:ln w="38100">
              <a:solidFill>
                <a:schemeClr val="accent4">
                  <a:lumMod val="40000"/>
                  <a:lumOff val="60000"/>
                </a:schemeClr>
              </a:solidFill>
            </a:ln>
            <a:effectLst>
              <a:outerShdw blurRad="50800" dist="38100" dir="8100000" algn="tr"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gradFill>
                  <a:gsLst>
                    <a:gs pos="0">
                      <a:schemeClr val="bg1">
                        <a:alpha val="40000"/>
                      </a:schemeClr>
                    </a:gs>
                    <a:gs pos="50000">
                      <a:schemeClr val="bg1">
                        <a:alpha val="70000"/>
                      </a:schemeClr>
                    </a:gs>
                    <a:gs pos="100000">
                      <a:schemeClr val="bg1">
                        <a:alpha val="85000"/>
                      </a:schemeClr>
                    </a:gs>
                  </a:gsLst>
                  <a:path path="circle">
                    <a:fillToRect l="50000" t="50000" r="50000" b="50000"/>
                  </a:path>
                </a:gradFill>
              </a:endParaRPr>
            </a:p>
          </xdr:txBody>
        </xdr:sp>
        <xdr:pic>
          <xdr:nvPicPr>
            <xdr:cNvPr id="594" name="Picture 593">
              <a:extLst>
                <a:ext uri="{FF2B5EF4-FFF2-40B4-BE49-F238E27FC236}">
                  <a16:creationId xmlns:a16="http://schemas.microsoft.com/office/drawing/2014/main" id="{00000000-0008-0000-0000-00005202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6383180" y="65737606"/>
              <a:ext cx="5914238" cy="654652"/>
            </a:xfrm>
            <a:prstGeom prst="rect">
              <a:avLst/>
            </a:prstGeom>
          </xdr:spPr>
        </xdr:pic>
        <xdr:sp macro="" textlink="">
          <xdr:nvSpPr>
            <xdr:cNvPr id="616" name="Speech Bubble: Rectangle 615">
              <a:extLst>
                <a:ext uri="{FF2B5EF4-FFF2-40B4-BE49-F238E27FC236}">
                  <a16:creationId xmlns:a16="http://schemas.microsoft.com/office/drawing/2014/main" id="{00000000-0008-0000-0000-000068020000}"/>
                </a:ext>
              </a:extLst>
            </xdr:cNvPr>
            <xdr:cNvSpPr/>
          </xdr:nvSpPr>
          <xdr:spPr>
            <a:xfrm flipV="1">
              <a:off x="6303817" y="66285536"/>
              <a:ext cx="2001743" cy="1015410"/>
            </a:xfrm>
            <a:prstGeom prst="wedgeRectCallout">
              <a:avLst>
                <a:gd name="adj1" fmla="val 2357"/>
                <a:gd name="adj2" fmla="val 67115"/>
              </a:avLst>
            </a:prstGeom>
            <a:gradFill>
              <a:gsLst>
                <a:gs pos="50000">
                  <a:schemeClr val="accent5">
                    <a:lumMod val="20000"/>
                    <a:lumOff val="80000"/>
                    <a:alpha val="25000"/>
                  </a:schemeClr>
                </a:gs>
                <a:gs pos="100000">
                  <a:schemeClr val="accent5">
                    <a:lumMod val="40000"/>
                    <a:lumOff val="60000"/>
                    <a:alpha val="50000"/>
                  </a:schemeClr>
                </a:gs>
              </a:gsLst>
              <a:lin ang="16200000" scaled="1"/>
            </a:gradFill>
            <a:ln w="38100">
              <a:solidFill>
                <a:srgbClr val="00D25A"/>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625" name="Speech Bubble: Rectangle 624">
              <a:extLst>
                <a:ext uri="{FF2B5EF4-FFF2-40B4-BE49-F238E27FC236}">
                  <a16:creationId xmlns:a16="http://schemas.microsoft.com/office/drawing/2014/main" id="{00000000-0008-0000-0000-000071020000}"/>
                </a:ext>
              </a:extLst>
            </xdr:cNvPr>
            <xdr:cNvSpPr/>
          </xdr:nvSpPr>
          <xdr:spPr>
            <a:xfrm flipV="1">
              <a:off x="10310138" y="66285536"/>
              <a:ext cx="2001743" cy="1015410"/>
            </a:xfrm>
            <a:prstGeom prst="wedgeRectCallout">
              <a:avLst>
                <a:gd name="adj1" fmla="val -1263"/>
                <a:gd name="adj2" fmla="val 67956"/>
              </a:avLst>
            </a:prstGeom>
            <a:gradFill>
              <a:gsLst>
                <a:gs pos="50000">
                  <a:srgbClr val="FFCCCC">
                    <a:alpha val="25000"/>
                  </a:srgbClr>
                </a:gs>
                <a:gs pos="100000">
                  <a:srgbClr val="FF9999">
                    <a:alpha val="50000"/>
                  </a:srgbClr>
                </a:gs>
              </a:gsLst>
              <a:lin ang="16200000" scaled="1"/>
            </a:gradFill>
            <a:ln w="38100">
              <a:solidFill>
                <a:srgbClr val="00D25A"/>
              </a:solidFill>
            </a:ln>
            <a:effectLst>
              <a:outerShdw blurRad="50800" dist="38100" dir="8100000" algn="tr"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gradFill>
                  <a:gsLst>
                    <a:gs pos="0">
                      <a:schemeClr val="bg1">
                        <a:alpha val="40000"/>
                      </a:schemeClr>
                    </a:gs>
                    <a:gs pos="50000">
                      <a:schemeClr val="bg1">
                        <a:alpha val="70000"/>
                      </a:schemeClr>
                    </a:gs>
                    <a:gs pos="100000">
                      <a:schemeClr val="bg1">
                        <a:alpha val="85000"/>
                      </a:schemeClr>
                    </a:gs>
                  </a:gsLst>
                  <a:path path="circle">
                    <a:fillToRect l="50000" t="50000" r="50000" b="50000"/>
                  </a:path>
                </a:gradFill>
              </a:endParaRPr>
            </a:p>
          </xdr:txBody>
        </xdr:sp>
        <xdr:pic>
          <xdr:nvPicPr>
            <xdr:cNvPr id="626" name="Picture 625">
              <a:extLst>
                <a:ext uri="{FF2B5EF4-FFF2-40B4-BE49-F238E27FC236}">
                  <a16:creationId xmlns:a16="http://schemas.microsoft.com/office/drawing/2014/main" id="{00000000-0008-0000-0000-000072020000}"/>
                </a:ext>
              </a:extLst>
            </xdr:cNvPr>
            <xdr:cNvPicPr>
              <a:picLocks noChangeAspect="1"/>
            </xdr:cNvPicPr>
          </xdr:nvPicPr>
          <xdr:blipFill>
            <a:blip xmlns:r="http://schemas.openxmlformats.org/officeDocument/2006/relationships" r:embed="rId45">
              <a:duotone>
                <a:prstClr val="black"/>
                <a:schemeClr val="accent6">
                  <a:tint val="45000"/>
                  <a:satMod val="400000"/>
                </a:schemeClr>
              </a:duotone>
              <a:extLst>
                <a:ext uri="{28A0092B-C50C-407E-A947-70E740481C1C}">
                  <a14:useLocalDpi xmlns:a14="http://schemas.microsoft.com/office/drawing/2010/main" val="0"/>
                </a:ext>
              </a:extLst>
            </a:blip>
            <a:stretch>
              <a:fillRect/>
            </a:stretch>
          </xdr:blipFill>
          <xdr:spPr>
            <a:xfrm>
              <a:off x="6390762" y="67068410"/>
              <a:ext cx="5914238" cy="654652"/>
            </a:xfrm>
            <a:prstGeom prst="rect">
              <a:avLst/>
            </a:prstGeom>
          </xdr:spPr>
        </xdr:pic>
      </xdr:grpSp>
    </xdr:grpSp>
    <xdr:clientData/>
  </xdr:twoCellAnchor>
  <xdr:twoCellAnchor>
    <xdr:from>
      <xdr:col>0</xdr:col>
      <xdr:colOff>76199</xdr:colOff>
      <xdr:row>323</xdr:row>
      <xdr:rowOff>28127</xdr:rowOff>
    </xdr:from>
    <xdr:to>
      <xdr:col>13</xdr:col>
      <xdr:colOff>48572</xdr:colOff>
      <xdr:row>330</xdr:row>
      <xdr:rowOff>19021</xdr:rowOff>
    </xdr:to>
    <xdr:grpSp>
      <xdr:nvGrpSpPr>
        <xdr:cNvPr id="194" name="Group 193">
          <a:extLst>
            <a:ext uri="{FF2B5EF4-FFF2-40B4-BE49-F238E27FC236}">
              <a16:creationId xmlns:a16="http://schemas.microsoft.com/office/drawing/2014/main" id="{00000000-0008-0000-0000-0000C2000000}"/>
            </a:ext>
          </a:extLst>
        </xdr:cNvPr>
        <xdr:cNvGrpSpPr/>
      </xdr:nvGrpSpPr>
      <xdr:grpSpPr>
        <a:xfrm>
          <a:off x="76199" y="78986567"/>
          <a:ext cx="6121713" cy="1446314"/>
          <a:chOff x="91439" y="78849360"/>
          <a:chExt cx="6121713" cy="1232453"/>
        </a:xfrm>
      </xdr:grpSpPr>
      <xdr:pic>
        <xdr:nvPicPr>
          <xdr:cNvPr id="191" name="Picture 190">
            <a:extLst>
              <a:ext uri="{FF2B5EF4-FFF2-40B4-BE49-F238E27FC236}">
                <a16:creationId xmlns:a16="http://schemas.microsoft.com/office/drawing/2014/main" id="{00000000-0008-0000-0000-0000BF000000}"/>
              </a:ext>
            </a:extLst>
          </xdr:cNvPr>
          <xdr:cNvPicPr>
            <a:picLocks/>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078480" y="78859380"/>
            <a:ext cx="1143000" cy="898216"/>
          </a:xfrm>
          <a:prstGeom prst="rect">
            <a:avLst/>
          </a:prstGeom>
        </xdr:spPr>
      </xdr:pic>
      <xdr:pic>
        <xdr:nvPicPr>
          <xdr:cNvPr id="193" name="Picture 192">
            <a:extLst>
              <a:ext uri="{FF2B5EF4-FFF2-40B4-BE49-F238E27FC236}">
                <a16:creationId xmlns:a16="http://schemas.microsoft.com/office/drawing/2014/main" id="{00000000-0008-0000-0000-0000C1000000}"/>
              </a:ext>
            </a:extLst>
          </xdr:cNvPr>
          <xdr:cNvPicPr>
            <a:picLocks/>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070240" y="78849360"/>
            <a:ext cx="1143000" cy="898216"/>
          </a:xfrm>
          <a:prstGeom prst="rect">
            <a:avLst/>
          </a:prstGeom>
        </xdr:spPr>
      </xdr:pic>
      <xdr:grpSp>
        <xdr:nvGrpSpPr>
          <xdr:cNvPr id="601" name="Group 600">
            <a:extLst>
              <a:ext uri="{FF2B5EF4-FFF2-40B4-BE49-F238E27FC236}">
                <a16:creationId xmlns:a16="http://schemas.microsoft.com/office/drawing/2014/main" id="{00000000-0008-0000-0000-000059020000}"/>
              </a:ext>
            </a:extLst>
          </xdr:cNvPr>
          <xdr:cNvGrpSpPr/>
        </xdr:nvGrpSpPr>
        <xdr:grpSpPr>
          <a:xfrm>
            <a:off x="91439" y="78867236"/>
            <a:ext cx="6121713" cy="1214577"/>
            <a:chOff x="6303817" y="64962424"/>
            <a:chExt cx="6091469" cy="1227745"/>
          </a:xfrm>
        </xdr:grpSpPr>
        <xdr:sp macro="" textlink="">
          <xdr:nvSpPr>
            <xdr:cNvPr id="607" name="Rectangle 606">
              <a:extLst>
                <a:ext uri="{FF2B5EF4-FFF2-40B4-BE49-F238E27FC236}">
                  <a16:creationId xmlns:a16="http://schemas.microsoft.com/office/drawing/2014/main" id="{00000000-0008-0000-0000-00005F020000}"/>
                </a:ext>
              </a:extLst>
            </xdr:cNvPr>
            <xdr:cNvSpPr/>
          </xdr:nvSpPr>
          <xdr:spPr>
            <a:xfrm>
              <a:off x="8323764" y="65033059"/>
              <a:ext cx="2051778" cy="874864"/>
            </a:xfrm>
            <a:prstGeom prst="rect">
              <a:avLst/>
            </a:prstGeom>
            <a:noFill/>
          </xdr:spPr>
          <xdr:txBody>
            <a:bodyPr wrap="square" lIns="91440" tIns="45720" rIns="91440" bIns="45720">
              <a:spAutoFit/>
            </a:bodyPr>
            <a:lstStyle/>
            <a:p>
              <a:pPr algn="ctr">
                <a:lnSpc>
                  <a:spcPts val="1800"/>
                </a:lnSpc>
              </a:pPr>
              <a:r>
                <a:rPr lang="en-US" sz="1800" b="1" cap="none" spc="-50" baseline="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LOVE=WHEN THEIR </a:t>
              </a:r>
              <a:r>
                <a:rPr lang="en-US" sz="1800" b="1" cap="none" spc="-2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NEEDS MATTER AS </a:t>
              </a:r>
              <a:r>
                <a:rPr lang="en-US" sz="1800" b="1" cap="none" spc="-8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MUCH IF NOT MORE</a:t>
              </a:r>
              <a:r>
                <a:rPr lang="en-US" sz="1800" b="1" cap="none" spc="-80" baseline="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 </a:t>
              </a:r>
              <a:r>
                <a:rPr lang="en-US" sz="1800" b="1" cap="none" spc="20" baseline="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THAN YOUR OWN</a:t>
              </a:r>
            </a:p>
          </xdr:txBody>
        </xdr:sp>
        <xdr:sp macro="" textlink="">
          <xdr:nvSpPr>
            <xdr:cNvPr id="603" name="Speech Bubble: Rectangle 602">
              <a:extLst>
                <a:ext uri="{FF2B5EF4-FFF2-40B4-BE49-F238E27FC236}">
                  <a16:creationId xmlns:a16="http://schemas.microsoft.com/office/drawing/2014/main" id="{00000000-0008-0000-0000-00005B020000}"/>
                </a:ext>
              </a:extLst>
            </xdr:cNvPr>
            <xdr:cNvSpPr/>
          </xdr:nvSpPr>
          <xdr:spPr>
            <a:xfrm>
              <a:off x="6303817" y="64962424"/>
              <a:ext cx="2092730" cy="945171"/>
            </a:xfrm>
            <a:prstGeom prst="wedgeRectCallout">
              <a:avLst>
                <a:gd name="adj1" fmla="val -1052"/>
                <a:gd name="adj2" fmla="val 70903"/>
              </a:avLst>
            </a:prstGeom>
            <a:gradFill>
              <a:gsLst>
                <a:gs pos="0">
                  <a:schemeClr val="accent5">
                    <a:lumMod val="40000"/>
                    <a:lumOff val="60000"/>
                    <a:alpha val="50000"/>
                  </a:schemeClr>
                </a:gs>
                <a:gs pos="50000">
                  <a:schemeClr val="accent5">
                    <a:lumMod val="20000"/>
                    <a:lumOff val="80000"/>
                    <a:alpha val="25000"/>
                  </a:schemeClr>
                </a:gs>
                <a:gs pos="100000">
                  <a:schemeClr val="accent5">
                    <a:lumMod val="40000"/>
                    <a:lumOff val="60000"/>
                    <a:alpha val="50000"/>
                  </a:schemeClr>
                </a:gs>
              </a:gsLst>
              <a:lin ang="16200000" scaled="1"/>
            </a:gra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604" name="Speech Bubble: Rectangle 603">
              <a:extLst>
                <a:ext uri="{FF2B5EF4-FFF2-40B4-BE49-F238E27FC236}">
                  <a16:creationId xmlns:a16="http://schemas.microsoft.com/office/drawing/2014/main" id="{00000000-0008-0000-0000-00005C020000}"/>
                </a:ext>
              </a:extLst>
            </xdr:cNvPr>
            <xdr:cNvSpPr/>
          </xdr:nvSpPr>
          <xdr:spPr>
            <a:xfrm>
              <a:off x="10302556" y="64962424"/>
              <a:ext cx="2092730" cy="945171"/>
            </a:xfrm>
            <a:prstGeom prst="wedgeRectCallout">
              <a:avLst>
                <a:gd name="adj1" fmla="val 631"/>
                <a:gd name="adj2" fmla="val 71744"/>
              </a:avLst>
            </a:prstGeom>
            <a:gradFill>
              <a:gsLst>
                <a:gs pos="0">
                  <a:srgbClr val="FF9999">
                    <a:alpha val="50000"/>
                  </a:srgbClr>
                </a:gs>
                <a:gs pos="50000">
                  <a:srgbClr val="FFCCCC">
                    <a:alpha val="25000"/>
                  </a:srgbClr>
                </a:gs>
                <a:gs pos="100000">
                  <a:srgbClr val="FF9999">
                    <a:alpha val="50000"/>
                  </a:srgbClr>
                </a:gs>
              </a:gsLst>
              <a:lin ang="16200000" scaled="1"/>
            </a:gradFill>
            <a:ln>
              <a:noFill/>
            </a:ln>
            <a:effectLst>
              <a:outerShdw blurRad="50800" dist="38100" dir="8100000" algn="tr"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gradFill>
                  <a:gsLst>
                    <a:gs pos="0">
                      <a:schemeClr val="bg1">
                        <a:alpha val="40000"/>
                      </a:schemeClr>
                    </a:gs>
                    <a:gs pos="50000">
                      <a:schemeClr val="bg1">
                        <a:alpha val="70000"/>
                      </a:schemeClr>
                    </a:gs>
                    <a:gs pos="100000">
                      <a:schemeClr val="bg1">
                        <a:alpha val="85000"/>
                      </a:schemeClr>
                    </a:gs>
                  </a:gsLst>
                  <a:path path="circle">
                    <a:fillToRect l="50000" t="50000" r="50000" b="50000"/>
                  </a:path>
                </a:gradFill>
              </a:endParaRPr>
            </a:p>
          </xdr:txBody>
        </xdr:sp>
        <xdr:pic>
          <xdr:nvPicPr>
            <xdr:cNvPr id="605" name="Picture 604">
              <a:extLst>
                <a:ext uri="{FF2B5EF4-FFF2-40B4-BE49-F238E27FC236}">
                  <a16:creationId xmlns:a16="http://schemas.microsoft.com/office/drawing/2014/main" id="{00000000-0008-0000-0000-00005D02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6390762" y="65803242"/>
              <a:ext cx="5914238" cy="386927"/>
            </a:xfrm>
            <a:prstGeom prst="rect">
              <a:avLst/>
            </a:prstGeom>
          </xdr:spPr>
        </xdr:pic>
      </xdr:grpSp>
    </xdr:grpSp>
    <xdr:clientData/>
  </xdr:twoCellAnchor>
  <xdr:twoCellAnchor editAs="oneCell">
    <xdr:from>
      <xdr:col>4</xdr:col>
      <xdr:colOff>0</xdr:colOff>
      <xdr:row>249</xdr:row>
      <xdr:rowOff>60959</xdr:rowOff>
    </xdr:from>
    <xdr:to>
      <xdr:col>10</xdr:col>
      <xdr:colOff>0</xdr:colOff>
      <xdr:row>255</xdr:row>
      <xdr:rowOff>437540</xdr:rowOff>
    </xdr:to>
    <xdr:pic>
      <xdr:nvPicPr>
        <xdr:cNvPr id="174" name="Picture 173">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623060" y="61912499"/>
          <a:ext cx="3017520" cy="1694841"/>
        </a:xfrm>
        <a:prstGeom prst="rect">
          <a:avLst/>
        </a:prstGeom>
      </xdr:spPr>
    </xdr:pic>
    <xdr:clientData/>
  </xdr:twoCellAnchor>
  <xdr:twoCellAnchor>
    <xdr:from>
      <xdr:col>15</xdr:col>
      <xdr:colOff>9929</xdr:colOff>
      <xdr:row>276</xdr:row>
      <xdr:rowOff>152554</xdr:rowOff>
    </xdr:from>
    <xdr:to>
      <xdr:col>26</xdr:col>
      <xdr:colOff>424103</xdr:colOff>
      <xdr:row>295</xdr:row>
      <xdr:rowOff>243840</xdr:rowOff>
    </xdr:to>
    <xdr:sp macro="" textlink="">
      <xdr:nvSpPr>
        <xdr:cNvPr id="615" name="TextBox 614">
          <a:extLst>
            <a:ext uri="{FF2B5EF4-FFF2-40B4-BE49-F238E27FC236}">
              <a16:creationId xmlns:a16="http://schemas.microsoft.com/office/drawing/2014/main" id="{00000000-0008-0000-0000-000067020000}"/>
            </a:ext>
          </a:extLst>
        </xdr:cNvPr>
        <xdr:cNvSpPr txBox="1"/>
      </xdr:nvSpPr>
      <xdr:spPr>
        <a:xfrm>
          <a:off x="6387869" y="68244874"/>
          <a:ext cx="5946294" cy="4305146"/>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MUTUAL RESPECT </a:t>
          </a:r>
          <a:r>
            <a:rPr lang="en-US" sz="1200" baseline="0">
              <a:solidFill>
                <a:srgbClr val="00823C"/>
              </a:solidFill>
              <a:latin typeface="Franklin Gothic Demi Cond" panose="020B0706030402020204" pitchFamily="34" charset="0"/>
              <a:ea typeface="+mn-ea"/>
              <a:cs typeface="+mn-cs"/>
            </a:rPr>
            <a:t>[A CALL FOR MORAL LEADERSHIP]</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100" b="1" baseline="0">
              <a:solidFill>
                <a:schemeClr val="dk1"/>
              </a:solidFill>
              <a:latin typeface="Arial Narrow" panose="020B0606020202030204" pitchFamily="34" charset="0"/>
              <a:ea typeface="+mn-ea"/>
              <a:cs typeface="+mn-cs"/>
            </a:rPr>
            <a:t>6. Your opportunity to affirm diverse needs</a:t>
          </a:r>
        </a:p>
        <a:p>
          <a:pPr eaLnBrk="1" fontAlgn="auto" latinLnBrk="0" hangingPunct="1"/>
          <a:r>
            <a:rPr lang="en-US" sz="1050" baseline="0">
              <a:solidFill>
                <a:schemeClr val="dk1"/>
              </a:solidFill>
              <a:latin typeface="Arial Narrow" panose="020B0606020202030204" pitchFamily="34" charset="0"/>
              <a:ea typeface="+mn-ea"/>
              <a:cs typeface="+mn-cs"/>
            </a:rPr>
            <a:t>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something.</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1" baseline="0">
            <a:solidFill>
              <a:schemeClr val="dk1"/>
            </a:solidFill>
            <a:latin typeface="Arial Narrow" panose="020B060602020203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latin typeface="Arial Narrow" panose="020B0606020202030204" pitchFamily="34" charset="0"/>
              <a:ea typeface="+mn-ea"/>
              <a:cs typeface="+mn-cs"/>
            </a:rPr>
            <a:t>7. Your opportunity to relate more specifically</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chemeClr val="dk1"/>
              </a:solidFill>
              <a:latin typeface="Arial Narrow" panose="020B0606020202030204" pitchFamily="34" charset="0"/>
              <a:ea typeface="+mn-ea"/>
              <a:cs typeface="+mn-cs"/>
            </a:rPr>
            <a:t>Moral leadership inspires you to switch from claiming we must [OVERGEN] to respecting the needs of [DEGEN]. As you back away from defensive generalizing, you challenge the other side to switch from claiming we must all [OVERGEN] to respecting the needs of [DEGEN]. Or they risk losing moral ground to you.</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a:t>
          </a:r>
        </a:p>
        <a:p>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050" b="1" baseline="0">
              <a:solidFill>
                <a:schemeClr val="dk1"/>
              </a:solidFill>
              <a:latin typeface="Arial Narrow" panose="020B0606020202030204" pitchFamily="34" charset="0"/>
              <a:ea typeface="+mn-ea"/>
              <a:cs typeface="+mn-cs"/>
            </a:rPr>
            <a:t>WIDE</a:t>
          </a:r>
        </a:p>
        <a:p>
          <a:pPr eaLnBrk="1" fontAlgn="auto" latinLnBrk="0" hangingPunct="1"/>
          <a:r>
            <a:rPr lang="en-US" sz="1050" baseline="0">
              <a:solidFill>
                <a:schemeClr val="dk1"/>
              </a:solidFill>
              <a:latin typeface="Arial Narrow" panose="020B0606020202030204" pitchFamily="34" charset="0"/>
              <a:ea typeface="+mn-ea"/>
              <a:cs typeface="+mn-cs"/>
            </a:rPr>
            <a:t>They [W WORSE] and insist we [D OVEREGEN]. </a:t>
          </a:r>
        </a:p>
        <a:p>
          <a:pPr eaLnBrk="1" fontAlgn="auto" latinLnBrk="0" hangingPunct="1"/>
          <a:r>
            <a:rPr lang="en-US" sz="1050" baseline="0">
              <a:solidFill>
                <a:schemeClr val="dk1"/>
              </a:solidFill>
              <a:latin typeface="Arial Narrow" panose="020B0606020202030204" pitchFamily="34" charset="0"/>
              <a:ea typeface="+mn-ea"/>
              <a:cs typeface="+mn-cs"/>
            </a:rPr>
            <a:t>I want to better understand [W DEGEN] and the need [D FELT NEED].</a:t>
          </a:r>
        </a:p>
        <a:p>
          <a:pPr eaLnBrk="1" fontAlgn="auto" latinLnBrk="0" hangingPunct="1"/>
          <a:r>
            <a:rPr lang="en-US" sz="1050" baseline="0">
              <a:solidFill>
                <a:srgbClr val="780091"/>
              </a:solidFill>
              <a:latin typeface="Arial Narrow" panose="020B0606020202030204" pitchFamily="34" charset="0"/>
              <a:ea typeface="+mn-ea"/>
              <a:cs typeface="+mn-cs"/>
            </a:rPr>
            <a:t>They take away our rights and insist we serve big business. </a:t>
          </a:r>
        </a:p>
        <a:p>
          <a:pPr eaLnBrk="1" fontAlgn="auto" latinLnBrk="0" hangingPunct="1"/>
          <a:r>
            <a:rPr lang="en-US" sz="1050" baseline="0">
              <a:solidFill>
                <a:srgbClr val="780091"/>
              </a:solidFill>
              <a:latin typeface="Arial Narrow" panose="020B0606020202030204" pitchFamily="34" charset="0"/>
              <a:ea typeface="+mn-ea"/>
              <a:cs typeface="+mn-cs"/>
            </a:rPr>
            <a:t>I want to better understand the needs of conservatives and Trumpists.</a:t>
          </a:r>
        </a:p>
        <a:p>
          <a:pPr eaLnBrk="1" fontAlgn="auto" latinLnBrk="0" hangingPunct="1"/>
          <a:r>
            <a:rPr lang="en-US" sz="1050" b="1" baseline="0">
              <a:solidFill>
                <a:schemeClr val="dk1"/>
              </a:solidFill>
              <a:latin typeface="Arial Narrow" panose="020B0606020202030204" pitchFamily="34" charset="0"/>
              <a:ea typeface="+mn-ea"/>
              <a:cs typeface="+mn-cs"/>
            </a:rPr>
            <a:t>DEEP</a:t>
          </a:r>
        </a:p>
        <a:p>
          <a:pPr eaLnBrk="1" fontAlgn="auto" latinLnBrk="0" hangingPunct="1"/>
          <a:r>
            <a:rPr lang="en-US" sz="1050" baseline="0">
              <a:solidFill>
                <a:schemeClr val="dk1"/>
              </a:solidFill>
              <a:latin typeface="Arial Narrow" panose="020B0606020202030204" pitchFamily="34" charset="0"/>
              <a:ea typeface="+mn-ea"/>
              <a:cs typeface="+mn-cs"/>
            </a:rPr>
            <a:t>They [D WORSE] and insist we [W OVEREGEN]. </a:t>
          </a:r>
        </a:p>
        <a:p>
          <a:pPr eaLnBrk="1" fontAlgn="auto" latinLnBrk="0" hangingPunct="1"/>
          <a:r>
            <a:rPr lang="en-US" sz="1050" baseline="0">
              <a:solidFill>
                <a:schemeClr val="dk1"/>
              </a:solidFill>
              <a:latin typeface="Arial Narrow" panose="020B0606020202030204" pitchFamily="34" charset="0"/>
              <a:ea typeface="+mn-ea"/>
              <a:cs typeface="+mn-cs"/>
            </a:rPr>
            <a:t>I want to better understand [D DEGEN] and the need [W FELT NEED].</a:t>
          </a:r>
        </a:p>
        <a:p>
          <a:pPr marL="0" indent="0" eaLnBrk="1" fontAlgn="auto" latinLnBrk="0" hangingPunct="1"/>
          <a:r>
            <a:rPr lang="en-US" sz="1050" baseline="0">
              <a:solidFill>
                <a:srgbClr val="780091"/>
              </a:solidFill>
              <a:latin typeface="Arial Narrow" panose="020B0606020202030204" pitchFamily="34" charset="0"/>
              <a:ea typeface="+mn-ea"/>
              <a:cs typeface="+mn-cs"/>
            </a:rPr>
            <a:t>They take away our liberty and insist we serve big government. </a:t>
          </a:r>
        </a:p>
        <a:p>
          <a:pPr marL="0" indent="0" eaLnBrk="1" fontAlgn="auto" latinLnBrk="0" hangingPunct="1"/>
          <a:r>
            <a:rPr lang="en-US" sz="1050" baseline="0">
              <a:solidFill>
                <a:srgbClr val="780091"/>
              </a:solidFill>
              <a:latin typeface="Arial Narrow" panose="020B0606020202030204" pitchFamily="34" charset="0"/>
              <a:ea typeface="+mn-ea"/>
              <a:cs typeface="+mn-cs"/>
            </a:rPr>
            <a:t>I want to better understand the needs of liberals and progressives.</a:t>
          </a:r>
        </a:p>
        <a:p>
          <a:endParaRPr lang="en-US" sz="1050" baseline="0">
            <a:solidFill>
              <a:schemeClr val="dk1"/>
            </a:solidFill>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15</xdr:col>
      <xdr:colOff>6311</xdr:colOff>
      <xdr:row>315</xdr:row>
      <xdr:rowOff>21860</xdr:rowOff>
    </xdr:from>
    <xdr:to>
      <xdr:col>26</xdr:col>
      <xdr:colOff>422794</xdr:colOff>
      <xdr:row>345</xdr:row>
      <xdr:rowOff>243840</xdr:rowOff>
    </xdr:to>
    <xdr:sp macro="" textlink="">
      <xdr:nvSpPr>
        <xdr:cNvPr id="630" name="TextBox 629">
          <a:extLst>
            <a:ext uri="{FF2B5EF4-FFF2-40B4-BE49-F238E27FC236}">
              <a16:creationId xmlns:a16="http://schemas.microsoft.com/office/drawing/2014/main" id="{00000000-0008-0000-0000-000076020000}"/>
            </a:ext>
          </a:extLst>
        </xdr:cNvPr>
        <xdr:cNvSpPr txBox="1"/>
      </xdr:nvSpPr>
      <xdr:spPr>
        <a:xfrm>
          <a:off x="6384251" y="76968620"/>
          <a:ext cx="5948603" cy="73009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MUTUAL RESPECT </a:t>
          </a:r>
          <a:r>
            <a:rPr lang="en-US" sz="1200" baseline="0">
              <a:solidFill>
                <a:srgbClr val="00823C"/>
              </a:solidFill>
              <a:latin typeface="Franklin Gothic Demi Cond" panose="020B0706030402020204" pitchFamily="34" charset="0"/>
              <a:ea typeface="+mn-ea"/>
              <a:cs typeface="+mn-cs"/>
            </a:rPr>
            <a:t>[A CALL FOR MORAL LEADERSHIP]</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chemeClr val="dk1"/>
            </a:solidFill>
            <a:latin typeface="Arial Narrow" panose="020B060602020203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latin typeface="Arial Narrow" panose="020B0606020202030204" pitchFamily="34" charset="0"/>
              <a:ea typeface="+mn-ea"/>
              <a:cs typeface="+mn-cs"/>
            </a:rPr>
            <a:t>8. Your opportunity to spread more love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chemeClr val="dk1"/>
              </a:solidFill>
              <a:latin typeface="Arial Narrow" panose="020B0606020202030204" pitchFamily="34" charset="0"/>
              <a:ea typeface="+mn-ea"/>
              <a:cs typeface="+mn-cs"/>
            </a:rPr>
            <a:t>Your need [FELT NEED] can complement their need [FELT NEED]. Together, you both move beyond alienating exaggerations to connect with each other's specific [ISSUE] impacted needs. You replace arguing with listening. You replace rejecting each other's needs with affirming each other's [ISSUE] impacted needs. You replace demanding with offering what you can do for their needs, while suggesting what they can do for yours. All with empathy and love.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CC00CC"/>
            </a:solidFill>
            <a:latin typeface="Arial Narrow" panose="020B0606020202030204" pitchFamily="34" charset="0"/>
            <a:ea typeface="+mn-ea"/>
            <a:cs typeface="+mn-cs"/>
          </a:endParaRPr>
        </a:p>
        <a:p>
          <a:pPr eaLnBrk="1" fontAlgn="auto" latinLnBrk="0" hangingPunct="1"/>
          <a:r>
            <a:rPr lang="en-US" sz="1050" b="1" baseline="0">
              <a:solidFill>
                <a:schemeClr val="dk1"/>
              </a:solidFill>
              <a:latin typeface="Arial Narrow" panose="020B0606020202030204" pitchFamily="34" charset="0"/>
              <a:ea typeface="+mn-ea"/>
              <a:cs typeface="+mn-cs"/>
            </a:rPr>
            <a:t>WIDE</a:t>
          </a:r>
        </a:p>
        <a:p>
          <a:pPr eaLnBrk="1" fontAlgn="auto" latinLnBrk="0" hangingPunct="1"/>
          <a:r>
            <a:rPr lang="en-US" sz="1050" baseline="0">
              <a:solidFill>
                <a:schemeClr val="dk1"/>
              </a:solidFill>
              <a:latin typeface="Arial Narrow" panose="020B0606020202030204" pitchFamily="34" charset="0"/>
              <a:ea typeface="+mn-ea"/>
              <a:cs typeface="+mn-cs"/>
            </a:rPr>
            <a:t>The more I support [D NEED], the more I trust you to support [W NEED]. </a:t>
          </a:r>
        </a:p>
        <a:p>
          <a:pPr eaLnBrk="1" fontAlgn="auto" latinLnBrk="0" hangingPunct="1"/>
          <a:r>
            <a:rPr lang="en-US" sz="1050" baseline="0">
              <a:solidFill>
                <a:srgbClr val="780091"/>
              </a:solidFill>
              <a:latin typeface="Arial Narrow" panose="020B0606020202030204" pitchFamily="34" charset="0"/>
              <a:ea typeface="+mn-ea"/>
              <a:cs typeface="+mn-cs"/>
            </a:rPr>
            <a:t>The more I support your needs, the more I trust you to support my needs.</a:t>
          </a:r>
        </a:p>
        <a:p>
          <a:pPr eaLnBrk="1" fontAlgn="auto" latinLnBrk="0" hangingPunct="1"/>
          <a:r>
            <a:rPr lang="en-US" sz="1050" b="1" baseline="0">
              <a:solidFill>
                <a:schemeClr val="dk1"/>
              </a:solidFill>
              <a:latin typeface="Arial Narrow" panose="020B0606020202030204" pitchFamily="34" charset="0"/>
              <a:ea typeface="+mn-ea"/>
              <a:cs typeface="+mn-cs"/>
            </a:rPr>
            <a:t>DEEP</a:t>
          </a:r>
        </a:p>
        <a:p>
          <a:pPr eaLnBrk="1" fontAlgn="auto" latinLnBrk="0" hangingPunct="1"/>
          <a:r>
            <a:rPr lang="en-US" sz="1050" baseline="0">
              <a:solidFill>
                <a:schemeClr val="dk1"/>
              </a:solidFill>
              <a:latin typeface="Arial Narrow" panose="020B0606020202030204" pitchFamily="34" charset="0"/>
              <a:ea typeface="+mn-ea"/>
              <a:cs typeface="+mn-cs"/>
            </a:rPr>
            <a:t>The more I support [W NEED], the more I trust you to support [D NEED]. </a:t>
          </a:r>
        </a:p>
        <a:p>
          <a:pPr marL="0" indent="0" eaLnBrk="1" fontAlgn="auto" latinLnBrk="0" hangingPunct="1"/>
          <a:r>
            <a:rPr lang="en-US" sz="1050" baseline="0">
              <a:solidFill>
                <a:srgbClr val="780091"/>
              </a:solidFill>
              <a:latin typeface="Arial Narrow" panose="020B0606020202030204" pitchFamily="34" charset="0"/>
              <a:ea typeface="+mn-ea"/>
              <a:cs typeface="+mn-cs"/>
            </a:rPr>
            <a:t>The more I support your needs, the more I trust you to support my needs</a:t>
          </a:r>
          <a:r>
            <a:rPr lang="en-US" sz="1050" baseline="0">
              <a:solidFill>
                <a:srgbClr val="CC00CC"/>
              </a:solidFill>
              <a:latin typeface="Arial Narrow" panose="020B0606020202030204" pitchFamily="34" charset="0"/>
              <a:ea typeface="+mn-ea"/>
              <a:cs typeface="+mn-cs"/>
            </a:rPr>
            <a:t>. </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100" b="1" baseline="0">
              <a:solidFill>
                <a:schemeClr val="dk1"/>
              </a:solidFill>
              <a:latin typeface="Arial Narrow" panose="020B0606020202030204" pitchFamily="34" charset="0"/>
              <a:ea typeface="+mn-ea"/>
              <a:cs typeface="+mn-cs"/>
            </a:rPr>
            <a:t>9. Let love take you back to the source</a:t>
          </a:r>
        </a:p>
        <a:p>
          <a:pPr eaLnBrk="1" fontAlgn="auto" latinLnBrk="0" hangingPunct="1"/>
          <a:r>
            <a:rPr lang="en-US" sz="1050" baseline="0">
              <a:solidFill>
                <a:schemeClr val="dk1"/>
              </a:solidFill>
              <a:latin typeface="Arial Narrow" panose="020B0606020202030204" pitchFamily="34" charset="0"/>
              <a:ea typeface="+mn-ea"/>
              <a:cs typeface="+mn-cs"/>
            </a:rPr>
            <a:t>If there are competing ways for a society to address a particular public facing need, like [ISSUE], then there is likely something wrong with that society. Core needs generally do not contradict. Or they never would have evolved in the first place. Together, with empathy and love, you paradoxically resolve each other's competing [ISSUE] priorities. So you can both complement each other once again.</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a:t>
          </a:r>
        </a:p>
        <a:p>
          <a:pPr eaLnBrk="1" fontAlgn="auto" latinLnBrk="0" hangingPunct="1"/>
          <a:endParaRPr lang="en-US" sz="1050" baseline="0">
            <a:solidFill>
              <a:schemeClr val="dk1"/>
            </a:solidFill>
            <a:latin typeface="Arial Narrow" panose="020B0606020202030204" pitchFamily="34" charset="0"/>
            <a:ea typeface="+mn-ea"/>
            <a:cs typeface="+mn-cs"/>
          </a:endParaRPr>
        </a:p>
        <a:p>
          <a:pPr eaLnBrk="1" fontAlgn="auto" latinLnBrk="0" hangingPunct="1"/>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100" b="1" baseline="0">
              <a:solidFill>
                <a:schemeClr val="dk1"/>
              </a:solidFill>
              <a:latin typeface="Arial Narrow" panose="020B0606020202030204" pitchFamily="34" charset="0"/>
              <a:ea typeface="+mn-ea"/>
              <a:cs typeface="+mn-cs"/>
            </a:rPr>
            <a:t>Harmonize your politics to each other's needs</a:t>
          </a:r>
        </a:p>
        <a:p>
          <a:pPr eaLnBrk="1" fontAlgn="auto" latinLnBrk="0" hangingPunct="1"/>
          <a:r>
            <a:rPr lang="en-US" sz="1050" baseline="0">
              <a:solidFill>
                <a:schemeClr val="dk1"/>
              </a:solidFill>
              <a:latin typeface="Arial Narrow" panose="020B0606020202030204" pitchFamily="34" charset="0"/>
              <a:ea typeface="+mn-ea"/>
              <a:cs typeface="+mn-cs"/>
            </a:rPr>
            <a:t>The better you relate to the other side's need to [EASE], the easier to move on to more specific and mutually respectful ways to address their impacted [ISSUE] needs. You then make it easier for them them to relate to your need to [EASE] </a:t>
          </a:r>
          <a:r>
            <a:rPr lang="en-US" sz="1050" spc="-10" baseline="0">
              <a:solidFill>
                <a:schemeClr val="dk1"/>
              </a:solidFill>
              <a:latin typeface="Arial Narrow" panose="020B0606020202030204" pitchFamily="34" charset="0"/>
              <a:ea typeface="+mn-ea"/>
              <a:cs typeface="+mn-cs"/>
            </a:rPr>
            <a:t>or more specific ways to address your impacted [ISSUE] needs</a:t>
          </a:r>
          <a:r>
            <a:rPr lang="en-US" sz="1050" spc="-20" baseline="0">
              <a:solidFill>
                <a:schemeClr val="dk1"/>
              </a:solidFill>
              <a:latin typeface="Arial Narrow" panose="020B0606020202030204" pitchFamily="34" charset="0"/>
              <a:ea typeface="+mn-ea"/>
              <a:cs typeface="+mn-cs"/>
            </a:rPr>
            <a:t>. </a:t>
          </a:r>
          <a:r>
            <a:rPr lang="en-US" sz="1050" spc="-10" baseline="0">
              <a:solidFill>
                <a:schemeClr val="dk1"/>
              </a:solidFill>
              <a:latin typeface="Arial Narrow" panose="020B0606020202030204" pitchFamily="34" charset="0"/>
              <a:ea typeface="+mn-ea"/>
              <a:cs typeface="+mn-cs"/>
            </a:rPr>
            <a:t>The more you move </a:t>
          </a:r>
          <a:r>
            <a:rPr lang="en-US" sz="1050" spc="-20" baseline="0">
              <a:solidFill>
                <a:schemeClr val="dk1"/>
              </a:solidFill>
              <a:latin typeface="Arial Narrow" panose="020B0606020202030204" pitchFamily="34" charset="0"/>
              <a:ea typeface="+mn-ea"/>
              <a:cs typeface="+mn-cs"/>
            </a:rPr>
            <a:t>from </a:t>
          </a:r>
          <a:r>
            <a:rPr lang="en-US" sz="1050" spc="-10" baseline="0">
              <a:solidFill>
                <a:schemeClr val="dk1"/>
              </a:solidFill>
              <a:latin typeface="Arial Narrow" panose="020B0606020202030204" pitchFamily="34" charset="0"/>
              <a:ea typeface="+mn-ea"/>
              <a:cs typeface="+mn-cs"/>
            </a:rPr>
            <a:t>generalizing</a:t>
          </a:r>
          <a:r>
            <a:rPr lang="en-US" sz="1050" spc="-20" baseline="0">
              <a:solidFill>
                <a:schemeClr val="dk1"/>
              </a:solidFill>
              <a:latin typeface="Arial Narrow" panose="020B0606020202030204" pitchFamily="34" charset="0"/>
              <a:ea typeface="+mn-ea"/>
              <a:cs typeface="+mn-cs"/>
            </a:rPr>
            <a:t> from your [FOCUS]</a:t>
          </a:r>
          <a:r>
            <a:rPr lang="en-US" sz="1050" baseline="0">
              <a:solidFill>
                <a:schemeClr val="dk1"/>
              </a:solidFill>
              <a:latin typeface="Arial Narrow" panose="020B0606020202030204" pitchFamily="34" charset="0"/>
              <a:ea typeface="+mn-ea"/>
              <a:cs typeface="+mn-cs"/>
            </a:rPr>
            <a:t> emphasis, the better you can appreciate the specifics behind their [FOCUS] emphasis. In fact, political winners earn a </a:t>
          </a:r>
          <a:r>
            <a:rPr lang="en-US" sz="1050" spc="-10" baseline="0">
              <a:solidFill>
                <a:schemeClr val="dk1"/>
              </a:solidFill>
              <a:latin typeface="Arial Narrow" panose="020B0606020202030204" pitchFamily="34" charset="0"/>
              <a:ea typeface="+mn-ea"/>
              <a:cs typeface="+mn-cs"/>
            </a:rPr>
            <a:t>greater responsibility to support the losing side's [ISSUE] impacted needs. You both drop your guard to connect with each</a:t>
          </a:r>
          <a:r>
            <a:rPr lang="en-US" sz="1050" baseline="0">
              <a:solidFill>
                <a:schemeClr val="dk1"/>
              </a:solidFill>
              <a:latin typeface="Arial Narrow" panose="020B0606020202030204" pitchFamily="34" charset="0"/>
              <a:ea typeface="+mn-ea"/>
              <a:cs typeface="+mn-cs"/>
            </a:rPr>
            <a:t> other's needs, with empathy and love.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a:t>
          </a:r>
        </a:p>
        <a:p>
          <a:pPr eaLnBrk="1" fontAlgn="auto" latinLnBrk="0" hangingPunct="1"/>
          <a:endParaRPr lang="en-US" sz="1050" baseline="0">
            <a:solidFill>
              <a:schemeClr val="dk1"/>
            </a:solidFill>
            <a:latin typeface="Arial Narrow" panose="020B0606020202030204" pitchFamily="34" charset="0"/>
            <a:ea typeface="+mn-ea"/>
            <a:cs typeface="+mn-cs"/>
          </a:endParaRPr>
        </a:p>
        <a:p>
          <a:pPr eaLnBrk="1" fontAlgn="auto" latinLnBrk="0" hangingPunct="1"/>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xdr:col>
      <xdr:colOff>30480</xdr:colOff>
      <xdr:row>229</xdr:row>
      <xdr:rowOff>38100</xdr:rowOff>
    </xdr:from>
    <xdr:to>
      <xdr:col>2</xdr:col>
      <xdr:colOff>22860</xdr:colOff>
      <xdr:row>234</xdr:row>
      <xdr:rowOff>243840</xdr:rowOff>
    </xdr:to>
    <xdr:sp macro="" textlink="">
      <xdr:nvSpPr>
        <xdr:cNvPr id="198" name="Speech Bubble: Rectangle with Corners Rounded 197">
          <a:extLst>
            <a:ext uri="{FF2B5EF4-FFF2-40B4-BE49-F238E27FC236}">
              <a16:creationId xmlns:a16="http://schemas.microsoft.com/office/drawing/2014/main" id="{00000000-0008-0000-0000-0000C6000000}"/>
            </a:ext>
          </a:extLst>
        </xdr:cNvPr>
        <xdr:cNvSpPr/>
      </xdr:nvSpPr>
      <xdr:spPr>
        <a:xfrm>
          <a:off x="144780" y="57370980"/>
          <a:ext cx="495300" cy="1463040"/>
        </a:xfrm>
        <a:prstGeom prst="wedgeRoundRectCallout">
          <a:avLst>
            <a:gd name="adj1" fmla="val 79167"/>
            <a:gd name="adj2" fmla="val -41642"/>
            <a:gd name="adj3" fmla="val 16667"/>
          </a:avLst>
        </a:prstGeom>
        <a:no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12</xdr:col>
      <xdr:colOff>15240</xdr:colOff>
      <xdr:row>229</xdr:row>
      <xdr:rowOff>38100</xdr:rowOff>
    </xdr:from>
    <xdr:to>
      <xdr:col>13</xdr:col>
      <xdr:colOff>7620</xdr:colOff>
      <xdr:row>234</xdr:row>
      <xdr:rowOff>243840</xdr:rowOff>
    </xdr:to>
    <xdr:sp macro="" textlink="">
      <xdr:nvSpPr>
        <xdr:cNvPr id="644" name="Speech Bubble: Rectangle with Corners Rounded 643">
          <a:extLst>
            <a:ext uri="{FF2B5EF4-FFF2-40B4-BE49-F238E27FC236}">
              <a16:creationId xmlns:a16="http://schemas.microsoft.com/office/drawing/2014/main" id="{00000000-0008-0000-0000-000084020000}"/>
            </a:ext>
          </a:extLst>
        </xdr:cNvPr>
        <xdr:cNvSpPr/>
      </xdr:nvSpPr>
      <xdr:spPr>
        <a:xfrm>
          <a:off x="5661660" y="57370980"/>
          <a:ext cx="495300" cy="1463040"/>
        </a:xfrm>
        <a:prstGeom prst="wedgeRoundRectCallout">
          <a:avLst>
            <a:gd name="adj1" fmla="val -99295"/>
            <a:gd name="adj2" fmla="val -39559"/>
            <a:gd name="adj3" fmla="val 16667"/>
          </a:avLst>
        </a:prstGeom>
        <a:no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0</xdr:col>
      <xdr:colOff>83820</xdr:colOff>
      <xdr:row>411</xdr:row>
      <xdr:rowOff>243840</xdr:rowOff>
    </xdr:from>
    <xdr:ext cx="949670" cy="975360"/>
    <xdr:pic>
      <xdr:nvPicPr>
        <xdr:cNvPr id="645" name="Picture 644">
          <a:extLst>
            <a:ext uri="{FF2B5EF4-FFF2-40B4-BE49-F238E27FC236}">
              <a16:creationId xmlns:a16="http://schemas.microsoft.com/office/drawing/2014/main" id="{00000000-0008-0000-0000-000085020000}"/>
            </a:ext>
          </a:extLst>
        </xdr:cNvPr>
        <xdr:cNvPicPr>
          <a:picLocks noChangeAspect="1"/>
        </xdr:cNvPicPr>
      </xdr:nvPicPr>
      <xdr:blipFill rotWithShape="1">
        <a:blip xmlns:r="http://schemas.openxmlformats.org/officeDocument/2006/relationships" r:embed="rId49"/>
        <a:srcRect l="14106" t="5971" r="10441"/>
        <a:stretch/>
      </xdr:blipFill>
      <xdr:spPr>
        <a:xfrm>
          <a:off x="83820" y="111770160"/>
          <a:ext cx="949670" cy="975360"/>
        </a:xfrm>
        <a:prstGeom prst="rect">
          <a:avLst/>
        </a:prstGeom>
      </xdr:spPr>
    </xdr:pic>
    <xdr:clientData/>
  </xdr:oneCellAnchor>
  <xdr:oneCellAnchor>
    <xdr:from>
      <xdr:col>11</xdr:col>
      <xdr:colOff>47301</xdr:colOff>
      <xdr:row>411</xdr:row>
      <xdr:rowOff>182618</xdr:rowOff>
    </xdr:from>
    <xdr:ext cx="897223" cy="1027599"/>
    <xdr:pic>
      <xdr:nvPicPr>
        <xdr:cNvPr id="646" name="Picture 645">
          <a:extLst>
            <a:ext uri="{FF2B5EF4-FFF2-40B4-BE49-F238E27FC236}">
              <a16:creationId xmlns:a16="http://schemas.microsoft.com/office/drawing/2014/main" id="{00000000-0008-0000-0000-000086020000}"/>
            </a:ext>
          </a:extLst>
        </xdr:cNvPr>
        <xdr:cNvPicPr>
          <a:picLocks noChangeAspect="1"/>
        </xdr:cNvPicPr>
      </xdr:nvPicPr>
      <xdr:blipFill rotWithShape="1">
        <a:blip xmlns:r="http://schemas.openxmlformats.org/officeDocument/2006/relationships" r:embed="rId50"/>
        <a:srcRect l="10197" t="5287" r="7107"/>
        <a:stretch/>
      </xdr:blipFill>
      <xdr:spPr>
        <a:xfrm>
          <a:off x="5190801" y="111708938"/>
          <a:ext cx="897223" cy="1027599"/>
        </a:xfrm>
        <a:prstGeom prst="rect">
          <a:avLst/>
        </a:prstGeom>
      </xdr:spPr>
    </xdr:pic>
    <xdr:clientData/>
  </xdr:oneCellAnchor>
  <xdr:twoCellAnchor>
    <xdr:from>
      <xdr:col>0</xdr:col>
      <xdr:colOff>76200</xdr:colOff>
      <xdr:row>410</xdr:row>
      <xdr:rowOff>7498</xdr:rowOff>
    </xdr:from>
    <xdr:to>
      <xdr:col>13</xdr:col>
      <xdr:colOff>25677</xdr:colOff>
      <xdr:row>411</xdr:row>
      <xdr:rowOff>187066</xdr:rowOff>
    </xdr:to>
    <xdr:grpSp>
      <xdr:nvGrpSpPr>
        <xdr:cNvPr id="647" name="Group 646">
          <a:extLst>
            <a:ext uri="{FF2B5EF4-FFF2-40B4-BE49-F238E27FC236}">
              <a16:creationId xmlns:a16="http://schemas.microsoft.com/office/drawing/2014/main" id="{00000000-0008-0000-0000-000087020000}"/>
            </a:ext>
          </a:extLst>
        </xdr:cNvPr>
        <xdr:cNvGrpSpPr/>
      </xdr:nvGrpSpPr>
      <xdr:grpSpPr>
        <a:xfrm>
          <a:off x="76200" y="99227518"/>
          <a:ext cx="6098817" cy="240528"/>
          <a:chOff x="6416054" y="107474752"/>
          <a:chExt cx="6101025" cy="273199"/>
        </a:xfrm>
      </xdr:grpSpPr>
      <xdr:pic>
        <xdr:nvPicPr>
          <xdr:cNvPr id="648" name="DEEP focused">
            <a:extLst>
              <a:ext uri="{FF2B5EF4-FFF2-40B4-BE49-F238E27FC236}">
                <a16:creationId xmlns:a16="http://schemas.microsoft.com/office/drawing/2014/main" id="{00000000-0008-0000-0000-000088020000}"/>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b="82888"/>
          <a:stretch/>
        </xdr:blipFill>
        <xdr:spPr>
          <a:xfrm>
            <a:off x="9443582" y="107474752"/>
            <a:ext cx="3073497" cy="272611"/>
          </a:xfrm>
          <a:prstGeom prst="rect">
            <a:avLst/>
          </a:prstGeom>
        </xdr:spPr>
      </xdr:pic>
      <xdr:pic>
        <xdr:nvPicPr>
          <xdr:cNvPr id="649" name="WIDE focused">
            <a:extLst>
              <a:ext uri="{FF2B5EF4-FFF2-40B4-BE49-F238E27FC236}">
                <a16:creationId xmlns:a16="http://schemas.microsoft.com/office/drawing/2014/main" id="{00000000-0008-0000-0000-000089020000}"/>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b="82859"/>
          <a:stretch/>
        </xdr:blipFill>
        <xdr:spPr>
          <a:xfrm>
            <a:off x="6416054" y="107474883"/>
            <a:ext cx="3073497" cy="273068"/>
          </a:xfrm>
          <a:prstGeom prst="rect">
            <a:avLst/>
          </a:prstGeom>
        </xdr:spPr>
      </xdr:pic>
    </xdr:grpSp>
    <xdr:clientData/>
  </xdr:twoCellAnchor>
  <xdr:twoCellAnchor>
    <xdr:from>
      <xdr:col>0</xdr:col>
      <xdr:colOff>62306</xdr:colOff>
      <xdr:row>426</xdr:row>
      <xdr:rowOff>145234</xdr:rowOff>
    </xdr:from>
    <xdr:to>
      <xdr:col>13</xdr:col>
      <xdr:colOff>70374</xdr:colOff>
      <xdr:row>459</xdr:row>
      <xdr:rowOff>190500</xdr:rowOff>
    </xdr:to>
    <xdr:sp macro="" textlink="">
      <xdr:nvSpPr>
        <xdr:cNvPr id="660" name="Rectangle: Rounded Corners 659">
          <a:extLst>
            <a:ext uri="{FF2B5EF4-FFF2-40B4-BE49-F238E27FC236}">
              <a16:creationId xmlns:a16="http://schemas.microsoft.com/office/drawing/2014/main" id="{00000000-0008-0000-0000-000094020000}"/>
            </a:ext>
          </a:extLst>
        </xdr:cNvPr>
        <xdr:cNvSpPr/>
      </xdr:nvSpPr>
      <xdr:spPr>
        <a:xfrm>
          <a:off x="62306" y="102596134"/>
          <a:ext cx="6157408" cy="7200446"/>
        </a:xfrm>
        <a:prstGeom prst="roundRect">
          <a:avLst>
            <a:gd name="adj" fmla="val 1341"/>
          </a:avLst>
        </a:prstGeom>
        <a:solidFill>
          <a:srgbClr val="A5FFC8"/>
        </a:solidFill>
        <a:ln w="57150">
          <a:solidFill>
            <a:srgbClr val="A5FFC8"/>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15392</xdr:colOff>
      <xdr:row>387</xdr:row>
      <xdr:rowOff>48028</xdr:rowOff>
    </xdr:from>
    <xdr:to>
      <xdr:col>12</xdr:col>
      <xdr:colOff>455659</xdr:colOff>
      <xdr:row>410</xdr:row>
      <xdr:rowOff>53340</xdr:rowOff>
    </xdr:to>
    <xdr:sp macro="" textlink="">
      <xdr:nvSpPr>
        <xdr:cNvPr id="146" name="TextBox 145">
          <a:extLst>
            <a:ext uri="{FF2B5EF4-FFF2-40B4-BE49-F238E27FC236}">
              <a16:creationId xmlns:a16="http://schemas.microsoft.com/office/drawing/2014/main" id="{00000000-0008-0000-0000-000092000000}"/>
            </a:ext>
          </a:extLst>
        </xdr:cNvPr>
        <xdr:cNvSpPr txBox="1"/>
      </xdr:nvSpPr>
      <xdr:spPr>
        <a:xfrm>
          <a:off x="129692" y="93995008"/>
          <a:ext cx="5972387" cy="5278352"/>
        </a:xfrm>
        <a:prstGeom prst="rect">
          <a:avLst/>
        </a:prstGeom>
        <a:solidFill>
          <a:srgbClr val="FFE1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noAutofit/>
        </a:bodyPr>
        <a:lstStyle/>
        <a:p>
          <a:pPr>
            <a:spcAft>
              <a:spcPts val="1200"/>
            </a:spcAft>
          </a:pPr>
          <a:r>
            <a:rPr lang="en-US" sz="1600" b="1">
              <a:latin typeface="Tahoma" panose="020B0604030504040204" pitchFamily="34" charset="0"/>
              <a:ea typeface="Tahoma" panose="020B0604030504040204" pitchFamily="34" charset="0"/>
              <a:cs typeface="Tahoma" panose="020B0604030504040204" pitchFamily="34" charset="0"/>
            </a:rPr>
            <a:t>5 dimensions</a:t>
          </a:r>
          <a:r>
            <a:rPr lang="en-US" sz="1600" b="1" baseline="0">
              <a:latin typeface="Tahoma" panose="020B0604030504040204" pitchFamily="34" charset="0"/>
              <a:ea typeface="Tahoma" panose="020B0604030504040204" pitchFamily="34" charset="0"/>
              <a:cs typeface="Tahoma" panose="020B0604030504040204" pitchFamily="34" charset="0"/>
            </a:rPr>
            <a:t> of politics</a:t>
          </a:r>
        </a:p>
        <a:p>
          <a:r>
            <a:rPr lang="en-US" sz="1200" baseline="0">
              <a:latin typeface="Cambria" panose="02040503050406030204" pitchFamily="18" charset="0"/>
              <a:ea typeface="Cambria" panose="02040503050406030204" pitchFamily="18" charset="0"/>
            </a:rPr>
            <a:t>Politics exist to shape how the public is to address each other's publicly impacted needs. As one dimension of politics eases, another dimension draws more attention. We consider at least five of these dimensions.</a:t>
          </a:r>
          <a:endParaRPr lang="en-US" sz="1100" baseline="0"/>
        </a:p>
        <a:p>
          <a:endParaRPr lang="en-US" sz="1100" baseline="0"/>
        </a:p>
        <a:p>
          <a:r>
            <a:rPr lang="en-US" sz="1100" b="1" baseline="0">
              <a:latin typeface="Cambria" panose="02040503050406030204" pitchFamily="18" charset="0"/>
              <a:ea typeface="Cambria" panose="02040503050406030204" pitchFamily="18" charset="0"/>
            </a:rPr>
            <a:t>1. The left-right divide</a:t>
          </a:r>
          <a:r>
            <a:rPr lang="en-US" sz="1100" baseline="0">
              <a:latin typeface="Cambria" panose="02040503050406030204" pitchFamily="18" charset="0"/>
              <a:ea typeface="Cambria" panose="02040503050406030204" pitchFamily="18" charset="0"/>
            </a:rPr>
            <a:t>. The more self-needs resolve than publicly impacted social-needs, the more liberal values offer relief. The more social-needs resolve than publicly impacted self-needs, the more conservative values offer relief.</a:t>
          </a:r>
        </a:p>
        <a:p>
          <a:endParaRPr lang="en-US" sz="1100" baseline="0">
            <a:latin typeface="Cambria" panose="02040503050406030204" pitchFamily="18" charset="0"/>
            <a:ea typeface="Cambria" panose="02040503050406030204" pitchFamily="18" charset="0"/>
          </a:endParaRPr>
        </a:p>
        <a:p>
          <a:r>
            <a:rPr lang="en-US" sz="1100" b="1" baseline="0">
              <a:latin typeface="Cambria" panose="02040503050406030204" pitchFamily="18" charset="0"/>
              <a:ea typeface="Cambria" panose="02040503050406030204" pitchFamily="18" charset="0"/>
            </a:rPr>
            <a:t>2. The populist-establishment divide</a:t>
          </a:r>
          <a:r>
            <a:rPr lang="en-US" sz="1100" baseline="0">
              <a:latin typeface="Cambria" panose="02040503050406030204" pitchFamily="18" charset="0"/>
              <a:ea typeface="Cambria" panose="02040503050406030204" pitchFamily="18" charset="0"/>
            </a:rPr>
            <a:t>. The less experts are perceived as trustsworthy or qualified, the less content with the establishment of presumed expertise. The more experts are peceived trustworthy and qualifed, the more content with the current establishment of professional experts.</a:t>
          </a:r>
        </a:p>
        <a:p>
          <a:r>
            <a:rPr lang="en-US" sz="1100" baseline="0">
              <a:latin typeface="Cambria" panose="02040503050406030204" pitchFamily="18" charset="0"/>
              <a:ea typeface="Cambria" panose="02040503050406030204" pitchFamily="18" charset="0"/>
            </a:rPr>
            <a:t> </a:t>
          </a:r>
        </a:p>
        <a:p>
          <a:r>
            <a:rPr lang="en-US" sz="1100" b="1" baseline="0">
              <a:latin typeface="Cambria" panose="02040503050406030204" pitchFamily="18" charset="0"/>
              <a:ea typeface="Cambria" panose="02040503050406030204" pitchFamily="18" charset="0"/>
            </a:rPr>
            <a:t>3. The advantaged-disadvantaged divide</a:t>
          </a:r>
          <a:r>
            <a:rPr lang="en-US" sz="1100" baseline="0">
              <a:latin typeface="Cambria" panose="02040503050406030204" pitchFamily="18" charset="0"/>
              <a:ea typeface="Cambria" panose="02040503050406030204" pitchFamily="18" charset="0"/>
            </a:rPr>
            <a:t>. The more advantaged by current conditions, the more content with the political status quo. The more disadvantaged ostensibly by the political status quo, the more discontent with the current political milieu.</a:t>
          </a:r>
        </a:p>
        <a:p>
          <a:endParaRPr lang="en-US" sz="1100" baseline="0">
            <a:latin typeface="Cambria" panose="02040503050406030204" pitchFamily="18" charset="0"/>
            <a:ea typeface="Cambria" panose="02040503050406030204" pitchFamily="18" charset="0"/>
          </a:endParaRPr>
        </a:p>
        <a:p>
          <a:r>
            <a:rPr lang="en-US" sz="1100" b="1" baseline="0">
              <a:latin typeface="Cambria" panose="02040503050406030204" pitchFamily="18" charset="0"/>
              <a:ea typeface="Cambria" panose="02040503050406030204" pitchFamily="18" charset="0"/>
            </a:rPr>
            <a:t>4. The generalizing-specifics divide</a:t>
          </a:r>
          <a:r>
            <a:rPr lang="en-US" sz="1100" baseline="0">
              <a:latin typeface="Cambria" panose="02040503050406030204" pitchFamily="18" charset="0"/>
              <a:ea typeface="Cambria" panose="02040503050406030204" pitchFamily="18" charset="0"/>
            </a:rPr>
            <a:t>. The more generalizing to address publicly impacted needs, the less attention to exceptional or nuanced specifics, and the less likely needs resolve. The more any generalizing freely segues into applicable specifics, the more likely needs resolve.</a:t>
          </a:r>
        </a:p>
        <a:p>
          <a:endParaRPr lang="en-US" sz="1100" baseline="0">
            <a:latin typeface="Cambria" panose="02040503050406030204" pitchFamily="18" charset="0"/>
            <a:ea typeface="Cambria" panose="02040503050406030204" pitchFamily="18" charset="0"/>
          </a:endParaRPr>
        </a:p>
        <a:p>
          <a:r>
            <a:rPr lang="en-US" sz="1100" b="1" baseline="0">
              <a:latin typeface="Cambria" panose="02040503050406030204" pitchFamily="18" charset="0"/>
              <a:ea typeface="Cambria" panose="02040503050406030204" pitchFamily="18" charset="0"/>
            </a:rPr>
            <a:t>5. The relieving-resolving divide</a:t>
          </a:r>
          <a:r>
            <a:rPr lang="en-US" sz="1100" baseline="0">
              <a:latin typeface="Cambria" panose="02040503050406030204" pitchFamily="18" charset="0"/>
              <a:ea typeface="Cambria" panose="02040503050406030204" pitchFamily="18" charset="0"/>
            </a:rPr>
            <a:t>. The more unresolved publicly impacted needs are relieved of pain, the less likely they can fully resolve. The more publicly impacted needs freely resolve, the less pain and greater the functioning.</a:t>
          </a:r>
        </a:p>
        <a:p>
          <a:endParaRPr lang="en-US" sz="1100" baseline="0">
            <a:latin typeface="Cambria" panose="02040503050406030204" pitchFamily="18" charset="0"/>
            <a:ea typeface="Cambria" panose="02040503050406030204" pitchFamily="18" charset="0"/>
          </a:endParaRPr>
        </a:p>
        <a:p>
          <a:r>
            <a:rPr lang="en-US" sz="1100" baseline="0">
              <a:latin typeface="Cambria" panose="02040503050406030204" pitchFamily="18" charset="0"/>
              <a:ea typeface="Cambria" panose="02040503050406030204" pitchFamily="18" charset="0"/>
            </a:rPr>
            <a:t>Perhaps other dimesions of politics exist. These are the dimensions addressed by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We start with the left-right divide as the first barrier to resolving politicized needs. Grounded in </a:t>
          </a:r>
          <a:r>
            <a:rPr lang="en-US" sz="1100" i="1" baseline="0">
              <a:latin typeface="Cambria" panose="02040503050406030204" pitchFamily="18" charset="0"/>
              <a:ea typeface="Cambria" panose="02040503050406030204" pitchFamily="18" charset="0"/>
            </a:rPr>
            <a:t>anankelogy</a:t>
          </a:r>
          <a:r>
            <a:rPr lang="en-US" sz="1100" baseline="0">
              <a:latin typeface="Cambria" panose="02040503050406030204" pitchFamily="18" charset="0"/>
              <a:ea typeface="Cambria" panose="02040503050406030204" pitchFamily="18" charset="0"/>
            </a:rPr>
            <a:t>, the study of need,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appreciates our political differences as anchored to various orientations. Our routine needs orient us to the best way available to relieve them. The left-right divide externally expresses our inward psychosocial orientation.</a:t>
          </a:r>
        </a:p>
        <a:p>
          <a:endParaRPr lang="en-US" sz="1100">
            <a:latin typeface="Cambria" panose="02040503050406030204" pitchFamily="18" charset="0"/>
            <a:ea typeface="Cambria" panose="02040503050406030204" pitchFamily="18" charset="0"/>
          </a:endParaRPr>
        </a:p>
      </xdr:txBody>
    </xdr:sp>
    <xdr:clientData/>
  </xdr:twoCellAnchor>
  <xdr:twoCellAnchor>
    <xdr:from>
      <xdr:col>1</xdr:col>
      <xdr:colOff>152</xdr:colOff>
      <xdr:row>406</xdr:row>
      <xdr:rowOff>199477</xdr:rowOff>
    </xdr:from>
    <xdr:to>
      <xdr:col>12</xdr:col>
      <xdr:colOff>440419</xdr:colOff>
      <xdr:row>410</xdr:row>
      <xdr:rowOff>38398</xdr:rowOff>
    </xdr:to>
    <xdr:sp macro="" textlink="">
      <xdr:nvSpPr>
        <xdr:cNvPr id="688" name="TextBox 687">
          <a:hlinkClick xmlns:r="http://schemas.openxmlformats.org/officeDocument/2006/relationships" r:id="rId21"/>
          <a:extLst>
            <a:ext uri="{FF2B5EF4-FFF2-40B4-BE49-F238E27FC236}">
              <a16:creationId xmlns:a16="http://schemas.microsoft.com/office/drawing/2014/main" id="{00000000-0008-0000-0000-0000B0020000}"/>
            </a:ext>
          </a:extLst>
        </xdr:cNvPr>
        <xdr:cNvSpPr txBox="1"/>
      </xdr:nvSpPr>
      <xdr:spPr>
        <a:xfrm>
          <a:off x="112211" y="98960653"/>
          <a:ext cx="5946090" cy="914686"/>
        </a:xfrm>
        <a:prstGeom prst="rect">
          <a:avLst/>
        </a:prstGeom>
        <a:solidFill>
          <a:srgbClr val="FFE1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noAutofit/>
        </a:bodyPr>
        <a:lstStyle/>
        <a:p>
          <a:r>
            <a:rPr lang="en-US" sz="1100" baseline="0">
              <a:latin typeface="Cambria" panose="02040503050406030204" pitchFamily="18" charset="0"/>
              <a:ea typeface="Cambria" panose="02040503050406030204" pitchFamily="18" charset="0"/>
            </a:rPr>
            <a:t>Perhaps other dimesions of politics exist. These are the dimensions addressed by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We start with the left-right divide as the first barrier to resolving politicized needs. Grounded in </a:t>
          </a:r>
          <a:r>
            <a:rPr lang="en-US" sz="1100" i="1" baseline="0">
              <a:solidFill>
                <a:srgbClr val="0070C0"/>
              </a:solidFill>
              <a:latin typeface="Cambria" panose="02040503050406030204" pitchFamily="18" charset="0"/>
              <a:ea typeface="Cambria" panose="02040503050406030204" pitchFamily="18" charset="0"/>
            </a:rPr>
            <a:t>anankelogy</a:t>
          </a:r>
          <a:r>
            <a:rPr lang="en-US" sz="1100" baseline="0">
              <a:latin typeface="Cambria" panose="02040503050406030204" pitchFamily="18" charset="0"/>
              <a:ea typeface="Cambria" panose="02040503050406030204" pitchFamily="18" charset="0"/>
            </a:rPr>
            <a:t>, the study of need,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appreciates our political differences as anchored to various orientations. Our routine needs orient us to the best way available to relieve them. The left-right divide externally expresses our inward psychosocial orientation.</a:t>
          </a:r>
        </a:p>
        <a:p>
          <a:endParaRPr lang="en-US" sz="1100">
            <a:latin typeface="Cambria" panose="02040503050406030204" pitchFamily="18" charset="0"/>
            <a:ea typeface="Cambria" panose="02040503050406030204" pitchFamily="18" charset="0"/>
          </a:endParaRPr>
        </a:p>
      </xdr:txBody>
    </xdr:sp>
    <xdr:clientData/>
  </xdr:twoCellAnchor>
  <xdr:twoCellAnchor>
    <xdr:from>
      <xdr:col>1</xdr:col>
      <xdr:colOff>20770</xdr:colOff>
      <xdr:row>523</xdr:row>
      <xdr:rowOff>2824</xdr:rowOff>
    </xdr:from>
    <xdr:to>
      <xdr:col>12</xdr:col>
      <xdr:colOff>432250</xdr:colOff>
      <xdr:row>528</xdr:row>
      <xdr:rowOff>45720</xdr:rowOff>
    </xdr:to>
    <xdr:sp macro="" textlink="">
      <xdr:nvSpPr>
        <xdr:cNvPr id="692" name="TextBox 691">
          <a:extLst>
            <a:ext uri="{FF2B5EF4-FFF2-40B4-BE49-F238E27FC236}">
              <a16:creationId xmlns:a16="http://schemas.microsoft.com/office/drawing/2014/main" id="{00000000-0008-0000-0000-0000B4020000}"/>
            </a:ext>
          </a:extLst>
        </xdr:cNvPr>
        <xdr:cNvSpPr txBox="1"/>
      </xdr:nvSpPr>
      <xdr:spPr>
        <a:xfrm>
          <a:off x="135070" y="125671864"/>
          <a:ext cx="5943600" cy="11096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The IPM hands you a stick-and-carrot approach to Impactors. It is not in their interest to be found complicit with your anxiety, depression, addiction risks, and other stressor maladies. Contributing positively to your needs while not detracting from your needs becomes a matter of legitimacy for each Impactor. No one has directly addressed this proactively until now. Later in this IPM process, you assess and audit the legitimacy of each Impactor. You each recognized the value you have to each other, as a condition for continuing positive rapport. </a:t>
          </a:r>
          <a:endParaRPr lang="en-US" sz="1050">
            <a:latin typeface="Arial Narrow" panose="020B0606020202030204" pitchFamily="34" charset="0"/>
          </a:endParaRPr>
        </a:p>
      </xdr:txBody>
    </xdr:sp>
    <xdr:clientData/>
  </xdr:twoCellAnchor>
  <xdr:twoCellAnchor>
    <xdr:from>
      <xdr:col>1</xdr:col>
      <xdr:colOff>53340</xdr:colOff>
      <xdr:row>496</xdr:row>
      <xdr:rowOff>1</xdr:rowOff>
    </xdr:from>
    <xdr:to>
      <xdr:col>6</xdr:col>
      <xdr:colOff>281940</xdr:colOff>
      <xdr:row>497</xdr:row>
      <xdr:rowOff>22861</xdr:rowOff>
    </xdr:to>
    <xdr:sp macro="" textlink="">
      <xdr:nvSpPr>
        <xdr:cNvPr id="695" name="STTP subheader">
          <a:extLst>
            <a:ext uri="{FF2B5EF4-FFF2-40B4-BE49-F238E27FC236}">
              <a16:creationId xmlns:a16="http://schemas.microsoft.com/office/drawing/2014/main" id="{00000000-0008-0000-0000-0000B7020000}"/>
            </a:ext>
          </a:extLst>
        </xdr:cNvPr>
        <xdr:cNvSpPr/>
      </xdr:nvSpPr>
      <xdr:spPr>
        <a:xfrm>
          <a:off x="167640" y="119451121"/>
          <a:ext cx="2743200" cy="274320"/>
        </a:xfrm>
        <a:prstGeom prst="rect">
          <a:avLst/>
        </a:prstGeom>
        <a:noFill/>
      </xdr:spPr>
      <xdr:txBody>
        <a:bodyPr wrap="none" lIns="0" tIns="0" rIns="0" bIns="0">
          <a:noAutofit/>
        </a:bodyPr>
        <a:lstStyle/>
        <a:p>
          <a:pPr algn="l"/>
          <a:r>
            <a:rPr lang="en-US" sz="1600" b="1" cap="none" spc="0">
              <a:ln w="10160">
                <a:solidFill>
                  <a:srgbClr val="009646"/>
                </a:solidFill>
                <a:prstDash val="solid"/>
              </a:ln>
              <a:solidFill>
                <a:srgbClr val="00823C"/>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SPEAK TRUTH TO POWER</a:t>
          </a:r>
        </a:p>
      </xdr:txBody>
    </xdr:sp>
    <xdr:clientData/>
  </xdr:twoCellAnchor>
  <xdr:twoCellAnchor>
    <xdr:from>
      <xdr:col>6</xdr:col>
      <xdr:colOff>455358</xdr:colOff>
      <xdr:row>496</xdr:row>
      <xdr:rowOff>0</xdr:rowOff>
    </xdr:from>
    <xdr:to>
      <xdr:col>12</xdr:col>
      <xdr:colOff>449047</xdr:colOff>
      <xdr:row>497</xdr:row>
      <xdr:rowOff>22860</xdr:rowOff>
    </xdr:to>
    <xdr:sp macro="" textlink="">
      <xdr:nvSpPr>
        <xdr:cNvPr id="696" name="LTTI subheader">
          <a:extLst>
            <a:ext uri="{FF2B5EF4-FFF2-40B4-BE49-F238E27FC236}">
              <a16:creationId xmlns:a16="http://schemas.microsoft.com/office/drawing/2014/main" id="{00000000-0008-0000-0000-0000B8020000}"/>
            </a:ext>
          </a:extLst>
        </xdr:cNvPr>
        <xdr:cNvSpPr/>
      </xdr:nvSpPr>
      <xdr:spPr>
        <a:xfrm>
          <a:off x="3084258" y="119451120"/>
          <a:ext cx="3011209" cy="274320"/>
        </a:xfrm>
        <a:prstGeom prst="rect">
          <a:avLst/>
        </a:prstGeom>
        <a:noFill/>
      </xdr:spPr>
      <xdr:txBody>
        <a:bodyPr wrap="none" lIns="0" tIns="0" rIns="0" bIns="0">
          <a:noAutofit/>
        </a:bodyPr>
        <a:lstStyle/>
        <a:p>
          <a:pPr algn="r"/>
          <a:r>
            <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LISTEN</a:t>
          </a:r>
          <a:r>
            <a:rPr lang="en-US" sz="1600" b="1" cap="none" spc="-30" baseline="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 TO THOSE IMPACTED</a:t>
          </a:r>
          <a:endPar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22411</xdr:colOff>
      <xdr:row>581</xdr:row>
      <xdr:rowOff>52292</xdr:rowOff>
    </xdr:from>
    <xdr:to>
      <xdr:col>12</xdr:col>
      <xdr:colOff>460188</xdr:colOff>
      <xdr:row>592</xdr:row>
      <xdr:rowOff>92932</xdr:rowOff>
    </xdr:to>
    <xdr:sp macro="" textlink="">
      <xdr:nvSpPr>
        <xdr:cNvPr id="703" name="TextBox 702">
          <a:extLst>
            <a:ext uri="{FF2B5EF4-FFF2-40B4-BE49-F238E27FC236}">
              <a16:creationId xmlns:a16="http://schemas.microsoft.com/office/drawing/2014/main" id="{00000000-0008-0000-0000-0000BF020000}"/>
            </a:ext>
          </a:extLst>
        </xdr:cNvPr>
        <xdr:cNvSpPr txBox="1"/>
      </xdr:nvSpPr>
      <xdr:spPr>
        <a:xfrm>
          <a:off x="134470" y="139714939"/>
          <a:ext cx="5943600" cy="2834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600" b="1" baseline="0">
              <a:latin typeface="Tahoma" panose="020B0604030504040204" pitchFamily="34" charset="0"/>
              <a:ea typeface="Tahoma" panose="020B0604030504040204" pitchFamily="34" charset="0"/>
              <a:cs typeface="Tahoma" panose="020B0604030504040204" pitchFamily="34" charset="0"/>
            </a:rPr>
            <a:t>Support benefits</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chemeClr val="dk1"/>
              </a:solidFill>
              <a:latin typeface="Cambria" panose="02040503050406030204" pitchFamily="18" charset="0"/>
              <a:ea typeface="Cambria" panose="02040503050406030204" pitchFamily="18" charset="0"/>
              <a:cs typeface="+mn-cs"/>
            </a:rPr>
            <a:t>Help cover your costs</a:t>
          </a:r>
          <a:r>
            <a:rPr lang="en-US" sz="1200" baseline="0">
              <a:solidFill>
                <a:schemeClr val="dk1"/>
              </a:solidFill>
              <a:latin typeface="Cambria" panose="02040503050406030204" pitchFamily="18" charset="0"/>
              <a:ea typeface="Cambria" panose="02040503050406030204" pitchFamily="18" charset="0"/>
              <a:cs typeface="+mn-cs"/>
            </a:rPr>
            <a:t>. Your supporters pledge to match your weekly payment, which is typically $10 per week. As they share in the costs, they share in the rewards of your progress.</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latin typeface="Cambria" panose="02040503050406030204" pitchFamily="18" charset="0"/>
              <a:ea typeface="Cambria" panose="02040503050406030204" pitchFamily="18" charset="0"/>
            </a:rPr>
            <a:t>Give you helpful feedback</a:t>
          </a:r>
          <a:r>
            <a:rPr lang="en-US" sz="1200" baseline="0">
              <a:latin typeface="Cambria" panose="02040503050406030204" pitchFamily="18" charset="0"/>
              <a:ea typeface="Cambria" panose="02040503050406030204" pitchFamily="18" charset="0"/>
            </a:rPr>
            <a:t>. Your supporters give you constructive input as you face challenging decisions. And they help stretch the costs of those decisions. Their first input is to your qualifying videos.</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latin typeface="Cambria" panose="02040503050406030204" pitchFamily="18" charset="0"/>
              <a:ea typeface="Cambria" panose="02040503050406030204" pitchFamily="18" charset="0"/>
            </a:rPr>
            <a:t>Hold you accountable</a:t>
          </a:r>
          <a:r>
            <a:rPr lang="en-US" sz="1200" baseline="0">
              <a:latin typeface="Cambria" panose="02040503050406030204" pitchFamily="18" charset="0"/>
              <a:ea typeface="Cambria" panose="02040503050406030204" pitchFamily="18" charset="0"/>
            </a:rPr>
            <a:t>. Research indicates you are more likely to reach your goal if you answer to others. Even if you only write down your goals and report your progress in a document no one reads, you will go stastically go further than if all on your own.</a:t>
          </a: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chemeClr val="dk1"/>
              </a:solidFill>
              <a:latin typeface="Cambria" panose="02040503050406030204" pitchFamily="18" charset="0"/>
              <a:ea typeface="Cambria" panose="02040503050406030204" pitchFamily="18" charset="0"/>
              <a:cs typeface="+mn-cs"/>
            </a:rPr>
            <a:t>Test your love</a:t>
          </a:r>
          <a:r>
            <a:rPr lang="en-US" sz="1200" baseline="0">
              <a:solidFill>
                <a:schemeClr val="dk1"/>
              </a:solidFill>
              <a:latin typeface="Cambria" panose="02040503050406030204" pitchFamily="18" charset="0"/>
              <a:ea typeface="Cambria" panose="02040503050406030204" pitchFamily="18" charset="0"/>
              <a:cs typeface="+mn-cs"/>
            </a:rPr>
            <a:t>. You practice your responsiveness to needs by responding to the needs they express to you. You build your courage that you can consistently put the needs of others ahead of your own.</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latin typeface="Cambria" panose="02040503050406030204" pitchFamily="18" charset="0"/>
            <a:ea typeface="Cambria" panose="02040503050406030204" pitchFamily="18" charset="0"/>
          </a:endParaRPr>
        </a:p>
      </xdr:txBody>
    </xdr:sp>
    <xdr:clientData/>
  </xdr:twoCellAnchor>
  <xdr:oneCellAnchor>
    <xdr:from>
      <xdr:col>1</xdr:col>
      <xdr:colOff>30480</xdr:colOff>
      <xdr:row>71</xdr:row>
      <xdr:rowOff>34066</xdr:rowOff>
    </xdr:from>
    <xdr:ext cx="6035040" cy="2011680"/>
    <xdr:sp macro="" textlink="">
      <xdr:nvSpPr>
        <xdr:cNvPr id="713" name="Rectangle 712">
          <a:extLst>
            <a:ext uri="{FF2B5EF4-FFF2-40B4-BE49-F238E27FC236}">
              <a16:creationId xmlns:a16="http://schemas.microsoft.com/office/drawing/2014/main" id="{00000000-0008-0000-0000-0000C9020000}"/>
            </a:ext>
          </a:extLst>
        </xdr:cNvPr>
        <xdr:cNvSpPr/>
      </xdr:nvSpPr>
      <xdr:spPr>
        <a:xfrm>
          <a:off x="142539" y="20891948"/>
          <a:ext cx="6035040" cy="2011680"/>
        </a:xfrm>
        <a:prstGeom prst="rect">
          <a:avLst/>
        </a:prstGeom>
        <a:noFill/>
      </xdr:spPr>
      <xdr:txBody>
        <a:bodyPr wrap="square" lIns="0" tIns="0" rIns="0" bIns="0">
          <a:noAutofit/>
        </a:bodyPr>
        <a:lstStyle/>
        <a:p>
          <a:pPr algn="l"/>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Such generalizing fuels prejudice. It tempts you to believe the worst on the other side must be representative of them all. W</a:t>
          </a:r>
          <a:r>
            <a:rPr lang="en-US" sz="1600" b="0" cap="none" spc="-3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hile you assume your own side's excesses are not so bad. </a:t>
          </a:r>
        </a:p>
        <a:p>
          <a:pPr algn="l"/>
          <a:endParaRPr lang="en-US" sz="1600" b="0" cap="none" spc="-3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algn="l"/>
          <a:r>
            <a:rPr lang="en-US" sz="1600" b="1" cap="none" spc="20" baseline="0">
              <a:ln w="0"/>
              <a:solidFill>
                <a:srgbClr val="00823C"/>
              </a:solidFill>
              <a:effectLst>
                <a:outerShdw blurRad="38100" dist="254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Harmony</a:t>
          </a:r>
          <a:r>
            <a:rPr lang="en-US" sz="1600" b="1" cap="none" spc="20" baseline="0">
              <a:ln w="0"/>
              <a:solidFill>
                <a:srgbClr val="1E5A28"/>
              </a:solidFill>
              <a:effectLst>
                <a:outerShdw blurRad="38100" dist="254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600" b="1" cap="none" spc="20" baseline="0">
              <a:ln w="0"/>
              <a:solidFill>
                <a:srgbClr val="780091"/>
              </a:solidFill>
              <a:effectLst>
                <a:outerShdw blurRad="38100" dist="254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Politics</a:t>
          </a:r>
          <a:r>
            <a:rPr lang="en-US" sz="1600" b="1"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t>
          </a:r>
          <a:r>
            <a:rPr lang="en-US" sz="1600" b="0"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unpacks politics like you have never seen </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before. Do not take my word for it. Check it out for yourself. See </a:t>
          </a:r>
          <a:r>
            <a:rPr lang="en-US" sz="1600" b="0"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how it can empower you to address specific needs, to resolve </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them in love.</a:t>
          </a:r>
          <a:endParaRPr lang="en-US" sz="1600" b="0" cap="none" spc="0">
            <a:ln w="0"/>
            <a:solidFill>
              <a:srgbClr val="1E5A28"/>
            </a:solidFill>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1</xdr:col>
      <xdr:colOff>251460</xdr:colOff>
      <xdr:row>64</xdr:row>
      <xdr:rowOff>106680</xdr:rowOff>
    </xdr:from>
    <xdr:to>
      <xdr:col>12</xdr:col>
      <xdr:colOff>205740</xdr:colOff>
      <xdr:row>70</xdr:row>
      <xdr:rowOff>106680</xdr:rowOff>
    </xdr:to>
    <xdr:grpSp>
      <xdr:nvGrpSpPr>
        <xdr:cNvPr id="718" name="Group 717">
          <a:extLst>
            <a:ext uri="{FF2B5EF4-FFF2-40B4-BE49-F238E27FC236}">
              <a16:creationId xmlns:a16="http://schemas.microsoft.com/office/drawing/2014/main" id="{00000000-0008-0000-0000-0000CE020000}"/>
            </a:ext>
          </a:extLst>
        </xdr:cNvPr>
        <xdr:cNvGrpSpPr/>
      </xdr:nvGrpSpPr>
      <xdr:grpSpPr>
        <a:xfrm>
          <a:off x="365760" y="19339560"/>
          <a:ext cx="5486400" cy="1333500"/>
          <a:chOff x="419100" y="19255740"/>
          <a:chExt cx="5486400" cy="1333500"/>
        </a:xfrm>
      </xdr:grpSpPr>
      <xdr:sp macro="" textlink="">
        <xdr:nvSpPr>
          <xdr:cNvPr id="714" name="Isosceles Triangle 713">
            <a:extLst>
              <a:ext uri="{FF2B5EF4-FFF2-40B4-BE49-F238E27FC236}">
                <a16:creationId xmlns:a16="http://schemas.microsoft.com/office/drawing/2014/main" id="{00000000-0008-0000-0000-0000CA020000}"/>
              </a:ext>
            </a:extLst>
          </xdr:cNvPr>
          <xdr:cNvSpPr/>
        </xdr:nvSpPr>
        <xdr:spPr>
          <a:xfrm>
            <a:off x="1341120" y="19255740"/>
            <a:ext cx="3657600" cy="914400"/>
          </a:xfrm>
          <a:prstGeom prst="triangle">
            <a:avLst/>
          </a:prstGeom>
          <a:gradFill>
            <a:gsLst>
              <a:gs pos="78000">
                <a:srgbClr val="CBFACA"/>
              </a:gs>
              <a:gs pos="0">
                <a:srgbClr val="FFCCCC"/>
              </a:gs>
              <a:gs pos="50000">
                <a:schemeClr val="accent4">
                  <a:lumMod val="20000"/>
                  <a:lumOff val="80000"/>
                </a:schemeClr>
              </a:gs>
              <a:gs pos="100000">
                <a:srgbClr val="2BFF8C"/>
              </a:gs>
            </a:gsLst>
            <a:lin ang="16200000" scaled="1"/>
          </a:gradFill>
          <a:ln>
            <a:noFill/>
          </a:ln>
          <a:effectLst>
            <a:innerShdw blurRad="25400" dir="10800000">
              <a:srgbClr val="CC00CC"/>
            </a:innerShdw>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715" name="Arrow: Left-Right 714">
            <a:extLst>
              <a:ext uri="{FF2B5EF4-FFF2-40B4-BE49-F238E27FC236}">
                <a16:creationId xmlns:a16="http://schemas.microsoft.com/office/drawing/2014/main" id="{00000000-0008-0000-0000-0000CB020000}"/>
              </a:ext>
            </a:extLst>
          </xdr:cNvPr>
          <xdr:cNvSpPr/>
        </xdr:nvSpPr>
        <xdr:spPr>
          <a:xfrm>
            <a:off x="419100" y="20132040"/>
            <a:ext cx="5486400" cy="457200"/>
          </a:xfrm>
          <a:prstGeom prst="leftRightArrow">
            <a:avLst>
              <a:gd name="adj1" fmla="val 61057"/>
              <a:gd name="adj2" fmla="val 157317"/>
            </a:avLst>
          </a:prstGeom>
          <a:gradFill flip="none" rotWithShape="1">
            <a:gsLst>
              <a:gs pos="100000">
                <a:srgbClr val="FFCCCC"/>
              </a:gs>
              <a:gs pos="0">
                <a:schemeClr val="accent5">
                  <a:lumMod val="20000"/>
                  <a:lumOff val="80000"/>
                </a:schemeClr>
              </a:gs>
            </a:gsLst>
            <a:lin ang="0" scaled="1"/>
            <a:tileRect/>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wrap="none" lIns="0" tIns="0" rIns="0" bIns="18288"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800" b="1">
                <a:ln>
                  <a:solidFill>
                    <a:srgbClr val="FFFF00"/>
                  </a:solidFill>
                </a:ln>
                <a:solidFill>
                  <a:schemeClr val="bg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OVERGENERALIZING ON EITHER SIDE</a:t>
            </a:r>
            <a:endParaRPr lang="en-US" sz="1800">
              <a:ln>
                <a:solidFill>
                  <a:srgbClr val="FFFF00"/>
                </a:solidFill>
              </a:ln>
              <a:solidFill>
                <a:schemeClr val="bg1"/>
              </a:solidFill>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716" name="Arrow: Up-Down 715">
            <a:extLst>
              <a:ext uri="{FF2B5EF4-FFF2-40B4-BE49-F238E27FC236}">
                <a16:creationId xmlns:a16="http://schemas.microsoft.com/office/drawing/2014/main" id="{00000000-0008-0000-0000-0000CC020000}"/>
              </a:ext>
            </a:extLst>
          </xdr:cNvPr>
          <xdr:cNvSpPr/>
        </xdr:nvSpPr>
        <xdr:spPr>
          <a:xfrm>
            <a:off x="1905000" y="19309080"/>
            <a:ext cx="2583180" cy="1242060"/>
          </a:xfrm>
          <a:prstGeom prst="upDownArrow">
            <a:avLst>
              <a:gd name="adj1" fmla="val 86579"/>
              <a:gd name="adj2" fmla="val 19056"/>
            </a:avLst>
          </a:prstGeom>
          <a:gradFill>
            <a:gsLst>
              <a:gs pos="0">
                <a:srgbClr val="FFCCCC">
                  <a:alpha val="45000"/>
                </a:srgbClr>
              </a:gs>
              <a:gs pos="50000">
                <a:schemeClr val="accent4">
                  <a:lumMod val="20000"/>
                  <a:lumOff val="80000"/>
                  <a:alpha val="45000"/>
                </a:schemeClr>
              </a:gs>
              <a:gs pos="100000">
                <a:srgbClr val="A5FFC8">
                  <a:alpha val="45000"/>
                </a:srgbClr>
              </a:gs>
            </a:gsLst>
            <a:lin ang="16200000" scaled="1"/>
          </a:gradFill>
          <a:ln w="3175">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wrap="none" lIns="0" tIns="0" rIns="0" bIns="0" rtlCol="0" anchor="ctr"/>
          <a:lstStyle/>
          <a:p>
            <a:pPr algn="ctr"/>
            <a:r>
              <a:rPr lang="en-US" sz="1800" b="1">
                <a:ln>
                  <a:solidFill>
                    <a:srgbClr val="A5FFC8"/>
                  </a:solidFill>
                </a:ln>
                <a:solidFill>
                  <a:srgbClr val="F3FFF7"/>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MUTUALLY RESOLVE EACH </a:t>
            </a:r>
          </a:p>
          <a:p>
            <a:pPr algn="ctr"/>
            <a:r>
              <a:rPr lang="en-US" sz="1800" b="1">
                <a:ln>
                  <a:solidFill>
                    <a:srgbClr val="A5FFC8"/>
                  </a:solidFill>
                </a:ln>
                <a:solidFill>
                  <a:srgbClr val="F3FFF7"/>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OTHER'S SPECIFIC NEEDS</a:t>
            </a:r>
          </a:p>
          <a:p>
            <a:pPr algn="ctr"/>
            <a:endParaRPr lang="en-US" sz="1800" b="1">
              <a:solidFill>
                <a:schemeClr val="lt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ctr"/>
            <a:endParaRPr lang="en-US" sz="1800" b="1">
              <a:solidFill>
                <a:schemeClr val="lt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ctr"/>
            <a:endParaRPr lang="en-US" sz="1800" b="1">
              <a:solidFill>
                <a:schemeClr val="lt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oneCellAnchor>
    <xdr:from>
      <xdr:col>1</xdr:col>
      <xdr:colOff>38100</xdr:colOff>
      <xdr:row>80</xdr:row>
      <xdr:rowOff>4332</xdr:rowOff>
    </xdr:from>
    <xdr:ext cx="5943600" cy="773930"/>
    <xdr:sp macro="" textlink="">
      <xdr:nvSpPr>
        <xdr:cNvPr id="719" name="Identifying affected needs">
          <a:extLst>
            <a:ext uri="{FF2B5EF4-FFF2-40B4-BE49-F238E27FC236}">
              <a16:creationId xmlns:a16="http://schemas.microsoft.com/office/drawing/2014/main" id="{00000000-0008-0000-0000-0000CF020000}"/>
            </a:ext>
          </a:extLst>
        </xdr:cNvPr>
        <xdr:cNvSpPr/>
      </xdr:nvSpPr>
      <xdr:spPr>
        <a:xfrm>
          <a:off x="152400" y="23085312"/>
          <a:ext cx="5943600" cy="773930"/>
        </a:xfrm>
        <a:prstGeom prst="rect">
          <a:avLst/>
        </a:prstGeom>
        <a:noFill/>
      </xdr:spPr>
      <xdr:txBody>
        <a:bodyPr wrap="square" lIns="0" tIns="0" rIns="0" bIns="0">
          <a:spAutoFit/>
        </a:bodyPr>
        <a:lstStyle/>
        <a:p>
          <a:pPr algn="l"/>
          <a:r>
            <a:rPr lang="en-US" sz="14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Instructions</a:t>
          </a:r>
          <a:endParaRPr lang="en-US" sz="12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sz="1200" b="0" cap="none" spc="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Scroll down to find the white fields. Click in each white field, and then select the best option from the dropdown list. Then scroll down to read the test fitting your chosen option. Save as a PDF. Clear the fields and use again.</a:t>
          </a:r>
          <a:endParaRPr lang="en-US" sz="1200" b="0" cap="none" spc="0">
            <a:ln w="10160">
              <a:noFill/>
              <a:prstDash val="solid"/>
            </a:ln>
            <a:solidFill>
              <a:schemeClr val="tx1">
                <a:lumMod val="85000"/>
                <a:lumOff val="15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1</xdr:col>
      <xdr:colOff>38100</xdr:colOff>
      <xdr:row>83</xdr:row>
      <xdr:rowOff>221428</xdr:rowOff>
    </xdr:from>
    <xdr:ext cx="5943600" cy="959686"/>
    <xdr:sp macro="" textlink="">
      <xdr:nvSpPr>
        <xdr:cNvPr id="720" name="Identifying affected needs">
          <a:extLst>
            <a:ext uri="{FF2B5EF4-FFF2-40B4-BE49-F238E27FC236}">
              <a16:creationId xmlns:a16="http://schemas.microsoft.com/office/drawing/2014/main" id="{00000000-0008-0000-0000-0000D0020000}"/>
            </a:ext>
          </a:extLst>
        </xdr:cNvPr>
        <xdr:cNvSpPr/>
      </xdr:nvSpPr>
      <xdr:spPr>
        <a:xfrm>
          <a:off x="150159" y="24127310"/>
          <a:ext cx="5943600" cy="959686"/>
        </a:xfrm>
        <a:prstGeom prst="rect">
          <a:avLst/>
        </a:prstGeom>
        <a:noFill/>
      </xdr:spPr>
      <xdr:txBody>
        <a:bodyPr wrap="square" lIns="0" tIns="0" rIns="0" bIns="0">
          <a:spAutoFit/>
        </a:bodyPr>
        <a:lstStyle/>
        <a:p>
          <a:pPr algn="l"/>
          <a:r>
            <a:rPr lang="en-US" sz="14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Navigation</a:t>
          </a:r>
          <a:endParaRPr lang="en-US" sz="12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endParaRPr>
        </a:p>
        <a:p>
          <a:pPr algn="l"/>
          <a:r>
            <a:rPr lang="en-US" sz="1200" b="0" cap="none" spc="-1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Click on</a:t>
          </a:r>
          <a:r>
            <a:rPr lang="en-US" sz="1200" b="0" cap="none" spc="-1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 a page header to return to the Table of Contents. Click on a title in the Contents, </a:t>
          </a:r>
          <a:r>
            <a:rPr lang="en-US" sz="1200" b="0" cap="none" spc="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or on the page number, to go to that page header. Click on the up arrow to the left side of a page header to return to the previous page. Click on the down arrow you see on the right of a page header to go to the next page.</a:t>
          </a:r>
          <a:endParaRPr lang="en-US" sz="1200" b="0" cap="none" spc="0">
            <a:ln w="10160">
              <a:noFill/>
              <a:prstDash val="solid"/>
            </a:ln>
            <a:solidFill>
              <a:schemeClr val="tx1">
                <a:lumMod val="85000"/>
                <a:lumOff val="15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twoCellAnchor>
    <xdr:from>
      <xdr:col>11</xdr:col>
      <xdr:colOff>32688</xdr:colOff>
      <xdr:row>25</xdr:row>
      <xdr:rowOff>22419</xdr:rowOff>
    </xdr:from>
    <xdr:to>
      <xdr:col>11</xdr:col>
      <xdr:colOff>215567</xdr:colOff>
      <xdr:row>25</xdr:row>
      <xdr:rowOff>250238</xdr:rowOff>
    </xdr:to>
    <xdr:grpSp>
      <xdr:nvGrpSpPr>
        <xdr:cNvPr id="724" name="Group 723">
          <a:extLst>
            <a:ext uri="{FF2B5EF4-FFF2-40B4-BE49-F238E27FC236}">
              <a16:creationId xmlns:a16="http://schemas.microsoft.com/office/drawing/2014/main" id="{00000000-0008-0000-0000-0000D4020000}"/>
            </a:ext>
          </a:extLst>
        </xdr:cNvPr>
        <xdr:cNvGrpSpPr/>
      </xdr:nvGrpSpPr>
      <xdr:grpSpPr>
        <a:xfrm>
          <a:off x="5176188" y="9372159"/>
          <a:ext cx="182879" cy="227819"/>
          <a:chOff x="6465897" y="135471422"/>
          <a:chExt cx="183413" cy="222633"/>
        </a:xfrm>
      </xdr:grpSpPr>
      <xdr:sp macro="" textlink="">
        <xdr:nvSpPr>
          <xdr:cNvPr id="725" name="Rectangle: Rounded Corners 724">
            <a:extLst>
              <a:ext uri="{FF2B5EF4-FFF2-40B4-BE49-F238E27FC236}">
                <a16:creationId xmlns:a16="http://schemas.microsoft.com/office/drawing/2014/main" id="{00000000-0008-0000-0000-0000D502000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726" name="Rectangle 725">
            <a:extLst>
              <a:ext uri="{FF2B5EF4-FFF2-40B4-BE49-F238E27FC236}">
                <a16:creationId xmlns:a16="http://schemas.microsoft.com/office/drawing/2014/main" id="{00000000-0008-0000-0000-0000D6020000}"/>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29</xdr:row>
      <xdr:rowOff>24677</xdr:rowOff>
    </xdr:from>
    <xdr:to>
      <xdr:col>11</xdr:col>
      <xdr:colOff>215567</xdr:colOff>
      <xdr:row>29</xdr:row>
      <xdr:rowOff>252496</xdr:rowOff>
    </xdr:to>
    <xdr:grpSp>
      <xdr:nvGrpSpPr>
        <xdr:cNvPr id="730" name="Group 729">
          <a:extLst>
            <a:ext uri="{FF2B5EF4-FFF2-40B4-BE49-F238E27FC236}">
              <a16:creationId xmlns:a16="http://schemas.microsoft.com/office/drawing/2014/main" id="{00000000-0008-0000-0000-0000DA020000}"/>
            </a:ext>
          </a:extLst>
        </xdr:cNvPr>
        <xdr:cNvGrpSpPr/>
      </xdr:nvGrpSpPr>
      <xdr:grpSpPr>
        <a:xfrm>
          <a:off x="5176188" y="10441217"/>
          <a:ext cx="182879" cy="227819"/>
          <a:chOff x="6465897" y="135471422"/>
          <a:chExt cx="183413" cy="222633"/>
        </a:xfrm>
      </xdr:grpSpPr>
      <xdr:sp macro="" textlink="">
        <xdr:nvSpPr>
          <xdr:cNvPr id="731" name="Rectangle: Rounded Corners 730">
            <a:extLst>
              <a:ext uri="{FF2B5EF4-FFF2-40B4-BE49-F238E27FC236}">
                <a16:creationId xmlns:a16="http://schemas.microsoft.com/office/drawing/2014/main" id="{00000000-0008-0000-0000-0000DB02000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732" name="Rectangle 731">
            <a:extLst>
              <a:ext uri="{FF2B5EF4-FFF2-40B4-BE49-F238E27FC236}">
                <a16:creationId xmlns:a16="http://schemas.microsoft.com/office/drawing/2014/main" id="{00000000-0008-0000-0000-0000DC020000}"/>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30</xdr:row>
      <xdr:rowOff>16908</xdr:rowOff>
    </xdr:from>
    <xdr:to>
      <xdr:col>11</xdr:col>
      <xdr:colOff>215567</xdr:colOff>
      <xdr:row>30</xdr:row>
      <xdr:rowOff>244727</xdr:rowOff>
    </xdr:to>
    <xdr:grpSp>
      <xdr:nvGrpSpPr>
        <xdr:cNvPr id="733" name="Group 732">
          <a:extLst>
            <a:ext uri="{FF2B5EF4-FFF2-40B4-BE49-F238E27FC236}">
              <a16:creationId xmlns:a16="http://schemas.microsoft.com/office/drawing/2014/main" id="{00000000-0008-0000-0000-0000DD020000}"/>
            </a:ext>
          </a:extLst>
        </xdr:cNvPr>
        <xdr:cNvGrpSpPr/>
      </xdr:nvGrpSpPr>
      <xdr:grpSpPr>
        <a:xfrm>
          <a:off x="5176188" y="10700148"/>
          <a:ext cx="182879" cy="227819"/>
          <a:chOff x="6465897" y="135471422"/>
          <a:chExt cx="183413" cy="222633"/>
        </a:xfrm>
      </xdr:grpSpPr>
      <xdr:sp macro="" textlink="">
        <xdr:nvSpPr>
          <xdr:cNvPr id="734" name="Rectangle: Rounded Corners 733">
            <a:extLst>
              <a:ext uri="{FF2B5EF4-FFF2-40B4-BE49-F238E27FC236}">
                <a16:creationId xmlns:a16="http://schemas.microsoft.com/office/drawing/2014/main" id="{00000000-0008-0000-0000-0000DE02000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735" name="Rectangle 734">
            <a:extLst>
              <a:ext uri="{FF2B5EF4-FFF2-40B4-BE49-F238E27FC236}">
                <a16:creationId xmlns:a16="http://schemas.microsoft.com/office/drawing/2014/main" id="{00000000-0008-0000-0000-0000DF020000}"/>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xdr:col>
      <xdr:colOff>29882</xdr:colOff>
      <xdr:row>533</xdr:row>
      <xdr:rowOff>44823</xdr:rowOff>
    </xdr:from>
    <xdr:to>
      <xdr:col>12</xdr:col>
      <xdr:colOff>471469</xdr:colOff>
      <xdr:row>542</xdr:row>
      <xdr:rowOff>227703</xdr:rowOff>
    </xdr:to>
    <xdr:sp macro="" textlink="">
      <xdr:nvSpPr>
        <xdr:cNvPr id="741" name="TextBox 390">
          <a:extLst>
            <a:ext uri="{FF2B5EF4-FFF2-40B4-BE49-F238E27FC236}">
              <a16:creationId xmlns:a16="http://schemas.microsoft.com/office/drawing/2014/main" id="{00000000-0008-0000-0000-0000E5020000}"/>
            </a:ext>
          </a:extLst>
        </xdr:cNvPr>
        <xdr:cNvSpPr txBox="1"/>
      </xdr:nvSpPr>
      <xdr:spPr>
        <a:xfrm>
          <a:off x="141941" y="128688352"/>
          <a:ext cx="5947410" cy="2468880"/>
        </a:xfrm>
        <a:prstGeom prst="rect">
          <a:avLst/>
        </a:prstGeom>
        <a:noFill/>
        <a:ln w="9525" cmpd="sng">
          <a:noFill/>
        </a:ln>
        <a:effectLst/>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4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Qualifying test</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Your journey starts when you qualify as </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1.	You are given a political issue.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2.	You argue the position from both sides.</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3.	You identify the affected needs on both sides.</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4.	You suggest how both sides can help each other resolve those needs.</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5.	You repeat this for two more issues we give you, plus one more issue you select yourself.</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6.	You submit this in writing and an uploaded video for us for review. Once it passes our review, your potential supporters view the video and try to identify your emotionally invested stance on each issue. If all agree and match your self-reported stance, you do not qualify. If we and your support prospects cannot nail down your specific political outlook on all the issues, you qualify. </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7.	You are linked with a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guide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and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advocate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who</a:t>
          </a:r>
          <a:r>
            <a:rPr lang="en-US" sz="1100" baseline="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work together for your </a:t>
          </a:r>
          <a:r>
            <a:rPr lang="en-US" sz="1100" b="1" i="1" baseline="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campaign cause</a:t>
          </a:r>
          <a:r>
            <a:rPr lang="en-US" sz="1100" baseline="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clientData/>
  </xdr:twoCellAnchor>
  <xdr:twoCellAnchor>
    <xdr:from>
      <xdr:col>7</xdr:col>
      <xdr:colOff>37354</xdr:colOff>
      <xdr:row>533</xdr:row>
      <xdr:rowOff>104588</xdr:rowOff>
    </xdr:from>
    <xdr:to>
      <xdr:col>12</xdr:col>
      <xdr:colOff>410883</xdr:colOff>
      <xdr:row>535</xdr:row>
      <xdr:rowOff>53788</xdr:rowOff>
    </xdr:to>
    <xdr:sp macro="" textlink="">
      <xdr:nvSpPr>
        <xdr:cNvPr id="745" name="Rectangle: Rounded Corners 744">
          <a:extLst>
            <a:ext uri="{FF2B5EF4-FFF2-40B4-BE49-F238E27FC236}">
              <a16:creationId xmlns:a16="http://schemas.microsoft.com/office/drawing/2014/main" id="{00000000-0008-0000-0000-0000E9020000}"/>
            </a:ext>
          </a:extLst>
        </xdr:cNvPr>
        <xdr:cNvSpPr/>
      </xdr:nvSpPr>
      <xdr:spPr>
        <a:xfrm>
          <a:off x="3152589" y="128748117"/>
          <a:ext cx="2876176" cy="4572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a:solidFill>
                <a:srgbClr val="1E5A28"/>
              </a:solidFill>
              <a:latin typeface="Cambria" panose="02040503050406030204" pitchFamily="18" charset="0"/>
              <a:ea typeface="Cambria" panose="02040503050406030204" pitchFamily="18" charset="0"/>
            </a:rPr>
            <a:t>Guide</a:t>
          </a:r>
          <a:r>
            <a:rPr lang="en-US" sz="1100">
              <a:solidFill>
                <a:srgbClr val="1E5A28"/>
              </a:solidFill>
              <a:latin typeface="Cambria" panose="02040503050406030204" pitchFamily="18" charset="0"/>
              <a:ea typeface="Cambria" panose="02040503050406030204" pitchFamily="18" charset="0"/>
            </a:rPr>
            <a:t>: Monitors your internal development. Typically</a:t>
          </a:r>
          <a:r>
            <a:rPr lang="en-US" sz="1100" baseline="0">
              <a:solidFill>
                <a:srgbClr val="1E5A28"/>
              </a:solidFill>
              <a:latin typeface="Cambria" panose="02040503050406030204" pitchFamily="18" charset="0"/>
              <a:ea typeface="Cambria" panose="02040503050406030204" pitchFamily="18" charset="0"/>
            </a:rPr>
            <a:t> your personal counselor.</a:t>
          </a:r>
          <a:endParaRPr lang="en-US" sz="1100">
            <a:solidFill>
              <a:srgbClr val="1E5A28"/>
            </a:solidFill>
            <a:latin typeface="Cambria" panose="02040503050406030204" pitchFamily="18" charset="0"/>
            <a:ea typeface="Cambria" panose="02040503050406030204" pitchFamily="18" charset="0"/>
          </a:endParaRPr>
        </a:p>
      </xdr:txBody>
    </xdr:sp>
    <xdr:clientData/>
  </xdr:twoCellAnchor>
  <xdr:twoCellAnchor>
    <xdr:from>
      <xdr:col>7</xdr:col>
      <xdr:colOff>29883</xdr:colOff>
      <xdr:row>535</xdr:row>
      <xdr:rowOff>104588</xdr:rowOff>
    </xdr:from>
    <xdr:to>
      <xdr:col>12</xdr:col>
      <xdr:colOff>403412</xdr:colOff>
      <xdr:row>537</xdr:row>
      <xdr:rowOff>53788</xdr:rowOff>
    </xdr:to>
    <xdr:sp macro="" textlink="">
      <xdr:nvSpPr>
        <xdr:cNvPr id="747" name="Rectangle: Rounded Corners 746">
          <a:extLst>
            <a:ext uri="{FF2B5EF4-FFF2-40B4-BE49-F238E27FC236}">
              <a16:creationId xmlns:a16="http://schemas.microsoft.com/office/drawing/2014/main" id="{00000000-0008-0000-0000-0000EB020000}"/>
            </a:ext>
          </a:extLst>
        </xdr:cNvPr>
        <xdr:cNvSpPr/>
      </xdr:nvSpPr>
      <xdr:spPr>
        <a:xfrm>
          <a:off x="3145118" y="129256117"/>
          <a:ext cx="2876176" cy="4572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spc="-30" baseline="0">
              <a:solidFill>
                <a:srgbClr val="1E5A28"/>
              </a:solidFill>
              <a:latin typeface="Cambria" panose="02040503050406030204" pitchFamily="18" charset="0"/>
              <a:ea typeface="Cambria" panose="02040503050406030204" pitchFamily="18" charset="0"/>
            </a:rPr>
            <a:t>Advocate</a:t>
          </a:r>
          <a:r>
            <a:rPr lang="en-US" sz="1100" spc="-30" baseline="0">
              <a:solidFill>
                <a:srgbClr val="1E5A28"/>
              </a:solidFill>
              <a:latin typeface="Cambria" panose="02040503050406030204" pitchFamily="18" charset="0"/>
              <a:ea typeface="Cambria" panose="02040503050406030204" pitchFamily="18" charset="0"/>
            </a:rPr>
            <a:t>: Monitors your external development</a:t>
          </a:r>
          <a:r>
            <a:rPr lang="en-US" sz="1100">
              <a:solidFill>
                <a:srgbClr val="1E5A28"/>
              </a:solidFill>
              <a:latin typeface="Cambria" panose="02040503050406030204" pitchFamily="18" charset="0"/>
              <a:ea typeface="Cambria" panose="02040503050406030204" pitchFamily="18" charset="0"/>
            </a:rPr>
            <a:t>. Provided</a:t>
          </a:r>
          <a:r>
            <a:rPr lang="en-US" sz="1100" baseline="0">
              <a:solidFill>
                <a:srgbClr val="1E5A28"/>
              </a:solidFill>
              <a:latin typeface="Cambria" panose="02040503050406030204" pitchFamily="18" charset="0"/>
              <a:ea typeface="Cambria" panose="02040503050406030204" pitchFamily="18" charset="0"/>
            </a:rPr>
            <a:t> by Value Relating.</a:t>
          </a:r>
          <a:endParaRPr lang="en-US" sz="1100">
            <a:solidFill>
              <a:srgbClr val="1E5A28"/>
            </a:solidFill>
            <a:latin typeface="Cambria" panose="02040503050406030204" pitchFamily="18" charset="0"/>
            <a:ea typeface="Cambria" panose="02040503050406030204" pitchFamily="18" charset="0"/>
          </a:endParaRPr>
        </a:p>
      </xdr:txBody>
    </xdr:sp>
    <xdr:clientData/>
  </xdr:twoCellAnchor>
  <xdr:twoCellAnchor>
    <xdr:from>
      <xdr:col>1</xdr:col>
      <xdr:colOff>32870</xdr:colOff>
      <xdr:row>544</xdr:row>
      <xdr:rowOff>47812</xdr:rowOff>
    </xdr:from>
    <xdr:to>
      <xdr:col>12</xdr:col>
      <xdr:colOff>470647</xdr:colOff>
      <xdr:row>545</xdr:row>
      <xdr:rowOff>22412</xdr:rowOff>
    </xdr:to>
    <xdr:sp macro="" textlink="">
      <xdr:nvSpPr>
        <xdr:cNvPr id="748" name="Rectangle: Rounded Corners 747">
          <a:extLst>
            <a:ext uri="{FF2B5EF4-FFF2-40B4-BE49-F238E27FC236}">
              <a16:creationId xmlns:a16="http://schemas.microsoft.com/office/drawing/2014/main" id="{00000000-0008-0000-0000-0000EC020000}"/>
            </a:ext>
          </a:extLst>
        </xdr:cNvPr>
        <xdr:cNvSpPr/>
      </xdr:nvSpPr>
      <xdr:spPr>
        <a:xfrm>
          <a:off x="144929" y="131485341"/>
          <a:ext cx="5943600" cy="2286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i="1" spc="-10" baseline="0">
              <a:solidFill>
                <a:srgbClr val="1E5A28"/>
              </a:solidFill>
              <a:latin typeface="Cambria" panose="02040503050406030204" pitchFamily="18" charset="0"/>
              <a:ea typeface="Cambria" panose="02040503050406030204" pitchFamily="18" charset="0"/>
            </a:rPr>
            <a:t>Cause</a:t>
          </a:r>
          <a:r>
            <a:rPr lang="en-US" sz="1100" spc="-10" baseline="0">
              <a:solidFill>
                <a:srgbClr val="1E5A28"/>
              </a:solidFill>
              <a:latin typeface="Cambria" panose="02040503050406030204" pitchFamily="18" charset="0"/>
              <a:ea typeface="Cambria" panose="02040503050406030204" pitchFamily="18" charset="0"/>
            </a:rPr>
            <a:t>: Your passionate commitment to resolve a politicized need, with or without other's support.</a:t>
          </a:r>
        </a:p>
      </xdr:txBody>
    </xdr:sp>
    <xdr:clientData/>
  </xdr:twoCellAnchor>
  <xdr:twoCellAnchor>
    <xdr:from>
      <xdr:col>1</xdr:col>
      <xdr:colOff>32870</xdr:colOff>
      <xdr:row>543</xdr:row>
      <xdr:rowOff>17929</xdr:rowOff>
    </xdr:from>
    <xdr:to>
      <xdr:col>12</xdr:col>
      <xdr:colOff>470647</xdr:colOff>
      <xdr:row>543</xdr:row>
      <xdr:rowOff>246529</xdr:rowOff>
    </xdr:to>
    <xdr:sp macro="" textlink="">
      <xdr:nvSpPr>
        <xdr:cNvPr id="751" name="Rectangle: Rounded Corners 750">
          <a:extLst>
            <a:ext uri="{FF2B5EF4-FFF2-40B4-BE49-F238E27FC236}">
              <a16:creationId xmlns:a16="http://schemas.microsoft.com/office/drawing/2014/main" id="{00000000-0008-0000-0000-0000EF020000}"/>
            </a:ext>
          </a:extLst>
        </xdr:cNvPr>
        <xdr:cNvSpPr/>
      </xdr:nvSpPr>
      <xdr:spPr>
        <a:xfrm>
          <a:off x="144929" y="131201458"/>
          <a:ext cx="5943600" cy="2286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i="1" spc="-10" baseline="0">
              <a:solidFill>
                <a:srgbClr val="1E5A28"/>
              </a:solidFill>
              <a:latin typeface="Cambria" panose="02040503050406030204" pitchFamily="18" charset="0"/>
              <a:ea typeface="Cambria" panose="02040503050406030204" pitchFamily="18" charset="0"/>
            </a:rPr>
            <a:t>Campaign</a:t>
          </a:r>
          <a:r>
            <a:rPr lang="en-US" sz="1100" spc="-10" baseline="0">
              <a:solidFill>
                <a:srgbClr val="1E5A28"/>
              </a:solidFill>
              <a:latin typeface="Cambria" panose="02040503050406030204" pitchFamily="18" charset="0"/>
              <a:ea typeface="Cambria" panose="02040503050406030204" pitchFamily="18" charset="0"/>
            </a:rPr>
            <a:t>: Your supported effort to speak truth to political power to address a politicized need. </a:t>
          </a:r>
        </a:p>
      </xdr:txBody>
    </xdr:sp>
    <xdr:clientData/>
  </xdr:twoCellAnchor>
  <xdr:twoCellAnchor>
    <xdr:from>
      <xdr:col>1</xdr:col>
      <xdr:colOff>25398</xdr:colOff>
      <xdr:row>545</xdr:row>
      <xdr:rowOff>209174</xdr:rowOff>
    </xdr:from>
    <xdr:to>
      <xdr:col>12</xdr:col>
      <xdr:colOff>463175</xdr:colOff>
      <xdr:row>548</xdr:row>
      <xdr:rowOff>194235</xdr:rowOff>
    </xdr:to>
    <xdr:sp macro="" textlink="">
      <xdr:nvSpPr>
        <xdr:cNvPr id="752" name="TextBox 106">
          <a:extLst>
            <a:ext uri="{FF2B5EF4-FFF2-40B4-BE49-F238E27FC236}">
              <a16:creationId xmlns:a16="http://schemas.microsoft.com/office/drawing/2014/main" id="{00000000-0008-0000-0000-0000F0020000}"/>
            </a:ext>
          </a:extLst>
        </xdr:cNvPr>
        <xdr:cNvSpPr txBox="1"/>
      </xdr:nvSpPr>
      <xdr:spPr>
        <a:xfrm>
          <a:off x="137457" y="131900703"/>
          <a:ext cx="5943600" cy="7470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200">
              <a:effectLst/>
              <a:latin typeface="Cambria Math" panose="02040503050406030204" pitchFamily="18" charset="0"/>
              <a:ea typeface="Calibri" panose="020F0502020204030204" pitchFamily="34" charset="0"/>
              <a:cs typeface="Times New Roman" panose="02020603050405020304" pitchFamily="18" charset="0"/>
            </a:rPr>
            <a:t>Before launching your campaign</a:t>
          </a:r>
          <a:r>
            <a:rPr lang="en-US" sz="1200" baseline="0">
              <a:effectLst/>
              <a:latin typeface="Cambria Math" panose="02040503050406030204" pitchFamily="18" charset="0"/>
              <a:ea typeface="Calibri" panose="020F0502020204030204" pitchFamily="34" charset="0"/>
              <a:cs typeface="Times New Roman" panose="02020603050405020304" pitchFamily="18" charset="0"/>
            </a:rPr>
            <a:t>, we assess your initial level of anxiety and other levels of wellness. We compare these measures to see if the process improves your wellness or not. Select from the items below to estimate you readiness. It gives you a ballpark figure, and does not qualify or disqualify you for this journey ahead.</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clientData/>
  </xdr:twoCellAnchor>
  <xdr:twoCellAnchor>
    <xdr:from>
      <xdr:col>1</xdr:col>
      <xdr:colOff>29883</xdr:colOff>
      <xdr:row>563</xdr:row>
      <xdr:rowOff>59764</xdr:rowOff>
    </xdr:from>
    <xdr:to>
      <xdr:col>12</xdr:col>
      <xdr:colOff>467660</xdr:colOff>
      <xdr:row>566</xdr:row>
      <xdr:rowOff>75004</xdr:rowOff>
    </xdr:to>
    <xdr:sp macro="" textlink="">
      <xdr:nvSpPr>
        <xdr:cNvPr id="791" name="TextBox 106">
          <a:extLst>
            <a:ext uri="{FF2B5EF4-FFF2-40B4-BE49-F238E27FC236}">
              <a16:creationId xmlns:a16="http://schemas.microsoft.com/office/drawing/2014/main" id="{00000000-0008-0000-0000-000017030000}"/>
            </a:ext>
          </a:extLst>
        </xdr:cNvPr>
        <xdr:cNvSpPr txBox="1"/>
      </xdr:nvSpPr>
      <xdr:spPr>
        <a:xfrm>
          <a:off x="141942" y="135217646"/>
          <a:ext cx="5943600" cy="777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200" baseline="0">
              <a:effectLst/>
              <a:latin typeface="Cambria" panose="02040503050406030204" pitchFamily="18" charset="0"/>
              <a:ea typeface="Cambria" panose="02040503050406030204" pitchFamily="18" charset="0"/>
              <a:cs typeface="Times New Roman" panose="02020603050405020304" pitchFamily="18" charset="0"/>
            </a:rPr>
            <a:t>A higher readiness score portends a successful journey, but does not guarantee a postive outcome. A lower score may provide a strong comparison if this journey can boost that score. In another words, you may find yourself better prepared after you have tasted the fruits of this process. And that could inspire others to support your </a:t>
          </a:r>
          <a:r>
            <a:rPr lang="en-US" sz="1200" b="1" i="1" baseline="0">
              <a:effectLst/>
              <a:latin typeface="Cambria" panose="02040503050406030204" pitchFamily="18" charset="0"/>
              <a:ea typeface="Cambria" panose="02040503050406030204" pitchFamily="18" charset="0"/>
              <a:cs typeface="Times New Roman" panose="02020603050405020304" pitchFamily="18" charset="0"/>
            </a:rPr>
            <a:t>campaign cause</a:t>
          </a:r>
          <a:r>
            <a:rPr lang="en-US" sz="1200" baseline="0">
              <a:effectLst/>
              <a:latin typeface="Cambria" panose="02040503050406030204" pitchFamily="18" charset="0"/>
              <a:ea typeface="Cambria" panose="02040503050406030204" pitchFamily="18" charset="0"/>
              <a:cs typeface="Times New Roman" panose="02020603050405020304" pitchFamily="18" charset="0"/>
            </a:rPr>
            <a:t>.</a:t>
          </a:r>
        </a:p>
      </xdr:txBody>
    </xdr:sp>
    <xdr:clientData/>
  </xdr:twoCellAnchor>
  <xdr:twoCellAnchor>
    <xdr:from>
      <xdr:col>15</xdr:col>
      <xdr:colOff>50052</xdr:colOff>
      <xdr:row>556</xdr:row>
      <xdr:rowOff>52892</xdr:rowOff>
    </xdr:from>
    <xdr:to>
      <xdr:col>26</xdr:col>
      <xdr:colOff>490219</xdr:colOff>
      <xdr:row>566</xdr:row>
      <xdr:rowOff>75305</xdr:rowOff>
    </xdr:to>
    <xdr:sp macro="" textlink="">
      <xdr:nvSpPr>
        <xdr:cNvPr id="792" name="TextBox 106">
          <a:extLst>
            <a:ext uri="{FF2B5EF4-FFF2-40B4-BE49-F238E27FC236}">
              <a16:creationId xmlns:a16="http://schemas.microsoft.com/office/drawing/2014/main" id="{00000000-0008-0000-0000-000018030000}"/>
            </a:ext>
          </a:extLst>
        </xdr:cNvPr>
        <xdr:cNvSpPr txBox="1"/>
      </xdr:nvSpPr>
      <xdr:spPr>
        <a:xfrm>
          <a:off x="6427992" y="132922832"/>
          <a:ext cx="5972287" cy="2216973"/>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200">
              <a:effectLst/>
              <a:latin typeface="Arial Narrow" panose="020B0606020202030204" pitchFamily="34" charset="0"/>
              <a:ea typeface="Calibri" panose="020F0502020204030204" pitchFamily="34" charset="0"/>
              <a:cs typeface="Times New Roman" panose="02020603050405020304" pitchFamily="18" charset="0"/>
            </a:rPr>
            <a:t>Your responses suggest [$U$1336]. This is based on an average</a:t>
          </a: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 score between -1 and 1, and your responses put you at [$U$1337]. </a:t>
          </a:r>
          <a:r>
            <a:rPr lang="en-US" sz="1200">
              <a:effectLst/>
              <a:latin typeface="Arial Narrow" panose="020B0606020202030204" pitchFamily="34" charset="0"/>
              <a:ea typeface="Calibri" panose="020F0502020204030204" pitchFamily="34" charset="0"/>
              <a:cs typeface="Times New Roman" panose="02020603050405020304" pitchFamily="18" charset="0"/>
            </a:rPr>
            <a:t>Other qualifications</a:t>
          </a: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 may apply, and these could raise or lower your readiness score. </a:t>
          </a:r>
        </a:p>
        <a:p>
          <a:pPr marL="0" marR="0">
            <a:spcBef>
              <a:spcPts val="0"/>
            </a:spcBef>
            <a:spcAft>
              <a:spcPts val="0"/>
            </a:spcAft>
          </a:pPr>
          <a:endParaRPr lang="en-US" sz="1200" baseline="0">
            <a:effectLst/>
            <a:latin typeface="Arial Narrow" panose="020B0606020202030204" pitchFamily="34" charset="0"/>
            <a:ea typeface="Calibri" panose="020F0502020204030204" pitchFamily="34" charset="0"/>
            <a:cs typeface="Times New Roman" panose="02020603050405020304" pitchFamily="18" charset="0"/>
          </a:endParaRPr>
        </a:p>
        <a:p>
          <a:pPr marL="0" marR="0">
            <a:spcBef>
              <a:spcPts val="0"/>
            </a:spcBef>
            <a:spcAft>
              <a:spcPts val="0"/>
            </a:spcAft>
          </a:pPr>
          <a:r>
            <a:rPr lang="en-US" sz="1200" baseline="0">
              <a:solidFill>
                <a:srgbClr val="780091"/>
              </a:solidFill>
              <a:effectLst/>
              <a:latin typeface="Arial Narrow" panose="020B0606020202030204" pitchFamily="34" charset="0"/>
              <a:ea typeface="Calibri" panose="020F0502020204030204" pitchFamily="34" charset="0"/>
              <a:cs typeface="Times New Roman" panose="02020603050405020304" pitchFamily="18" charset="0"/>
            </a:rPr>
            <a:t>Select the best response to these five items to estimate your readiness for this journey. A low score is not necessarily a bad score. Power relations crashing in on your life could dampen your full readiness. But that's what this journey is for.</a:t>
          </a:r>
        </a:p>
        <a:p>
          <a:pPr marL="0" marR="0">
            <a:spcBef>
              <a:spcPts val="0"/>
            </a:spcBef>
            <a:spcAft>
              <a:spcPts val="0"/>
            </a:spcAft>
          </a:pPr>
          <a:endParaRPr lang="en-US" sz="1100" baseline="0">
            <a:effectLst/>
            <a:latin typeface="Arial Narrow" panose="020B0606020202030204" pitchFamily="34" charset="0"/>
            <a:ea typeface="Calibri" panose="020F0502020204030204" pitchFamily="34" charset="0"/>
            <a:cs typeface="Times New Roman" panose="02020603050405020304" pitchFamily="18" charset="0"/>
          </a:endParaRPr>
        </a:p>
        <a:p>
          <a:pPr marL="0" marR="0">
            <a:spcBef>
              <a:spcPts val="0"/>
            </a:spcBef>
            <a:spcAft>
              <a:spcPts val="0"/>
            </a:spcAft>
          </a:pP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A higher readiness score portends a successful journey, but does not guarantee a postive outcome. A lower score may provide a strong comparison if this journey can boost that score. In another words, you may find yourself better prepared after you have tasted the fruits of this process. And that could inspire others to support your </a:t>
          </a:r>
          <a:r>
            <a:rPr lang="en-US" sz="1200" b="1" i="1" baseline="0">
              <a:effectLst/>
              <a:latin typeface="Arial Narrow" panose="020B0606020202030204" pitchFamily="34" charset="0"/>
              <a:ea typeface="Calibri" panose="020F0502020204030204" pitchFamily="34" charset="0"/>
              <a:cs typeface="Times New Roman" panose="02020603050405020304" pitchFamily="18" charset="0"/>
            </a:rPr>
            <a:t>campaign cause</a:t>
          </a: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a:t>
          </a:r>
        </a:p>
      </xdr:txBody>
    </xdr:sp>
    <xdr:clientData/>
  </xdr:twoCellAnchor>
  <xdr:twoCellAnchor>
    <xdr:from>
      <xdr:col>1</xdr:col>
      <xdr:colOff>23309</xdr:colOff>
      <xdr:row>570</xdr:row>
      <xdr:rowOff>129987</xdr:rowOff>
    </xdr:from>
    <xdr:to>
      <xdr:col>12</xdr:col>
      <xdr:colOff>461086</xdr:colOff>
      <xdr:row>580</xdr:row>
      <xdr:rowOff>186765</xdr:rowOff>
    </xdr:to>
    <xdr:sp macro="" textlink="">
      <xdr:nvSpPr>
        <xdr:cNvPr id="793" name="TextBox 792">
          <a:extLst>
            <a:ext uri="{FF2B5EF4-FFF2-40B4-BE49-F238E27FC236}">
              <a16:creationId xmlns:a16="http://schemas.microsoft.com/office/drawing/2014/main" id="{00000000-0008-0000-0000-000019030000}"/>
            </a:ext>
          </a:extLst>
        </xdr:cNvPr>
        <xdr:cNvSpPr txBox="1"/>
      </xdr:nvSpPr>
      <xdr:spPr>
        <a:xfrm>
          <a:off x="135368" y="136998634"/>
          <a:ext cx="5943600" cy="25967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latin typeface="Cambria" panose="02040503050406030204" pitchFamily="18" charset="0"/>
              <a:ea typeface="Cambria" panose="02040503050406030204" pitchFamily="18" charset="0"/>
            </a:rPr>
            <a:t>You build your support team one engaging member at a time. You onboard them at their level of readiness to support you. You can always inspire them to increase their support level further into the journey.</a:t>
          </a:r>
        </a:p>
        <a:p>
          <a:endParaRPr lang="en-US" sz="1200" baseline="0">
            <a:latin typeface="Cambria" panose="02040503050406030204" pitchFamily="18" charset="0"/>
            <a:ea typeface="Cambria" panose="02040503050406030204" pitchFamily="18" charset="0"/>
          </a:endParaRPr>
        </a:p>
        <a:p>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Follower</a:t>
          </a:r>
        </a:p>
        <a:p>
          <a:r>
            <a:rPr lang="en-US" sz="1200" baseline="0">
              <a:latin typeface="Cambria" panose="02040503050406030204" pitchFamily="18" charset="0"/>
              <a:ea typeface="Cambria" panose="02040503050406030204" pitchFamily="18" charset="0"/>
            </a:rPr>
            <a:t>After crafting a list of likely supporters, invite each to "follow" your campaign. Without charge, they receive your regular progress reports. You invite their helpful feedback. You integrate their input. They coauthor your living narrative of love-based political change. Each report ends with a teaser to entice them into becoming your </a:t>
          </a:r>
          <a:r>
            <a:rPr lang="en-US" sz="1200" b="1" baseline="0">
              <a:latin typeface="Cambria" panose="02040503050406030204" pitchFamily="18" charset="0"/>
              <a:ea typeface="Cambria" panose="02040503050406030204" pitchFamily="18" charset="0"/>
            </a:rPr>
            <a:t>supporter</a:t>
          </a:r>
          <a:r>
            <a:rPr lang="en-US" sz="1200" baseline="0">
              <a:latin typeface="Cambria" panose="02040503050406030204" pitchFamily="18" charset="0"/>
              <a:ea typeface="Cambria" panose="02040503050406030204" pitchFamily="18" charset="0"/>
            </a:rPr>
            <a:t>.</a:t>
          </a:r>
        </a:p>
        <a:p>
          <a:endParaRPr lang="en-US" sz="1200" baseline="0">
            <a:latin typeface="Cambria" panose="02040503050406030204" pitchFamily="18" charset="0"/>
            <a:ea typeface="Cambria" panose="02040503050406030204" pitchFamily="18" charset="0"/>
          </a:endParaRPr>
        </a:p>
        <a:p>
          <a:pPr marL="0" indent="0"/>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Supporter</a:t>
          </a:r>
        </a:p>
        <a:p>
          <a:r>
            <a:rPr lang="en-US" sz="1200" baseline="0">
              <a:latin typeface="Cambria" panose="02040503050406030204" pitchFamily="18" charset="0"/>
              <a:ea typeface="Cambria" panose="02040503050406030204" pitchFamily="18" charset="0"/>
            </a:rPr>
            <a:t>At this level, your supporters keep in constant contact with you. They actively support you. They match your weekly payment, to share the costs of this journey and to share in some of its benefits. They get to live the narrative of love-based political change along with you.</a:t>
          </a:r>
        </a:p>
      </xdr:txBody>
    </xdr:sp>
    <xdr:clientData/>
  </xdr:twoCellAnchor>
  <xdr:twoCellAnchor>
    <xdr:from>
      <xdr:col>1</xdr:col>
      <xdr:colOff>22412</xdr:colOff>
      <xdr:row>592</xdr:row>
      <xdr:rowOff>209177</xdr:rowOff>
    </xdr:from>
    <xdr:to>
      <xdr:col>12</xdr:col>
      <xdr:colOff>433892</xdr:colOff>
      <xdr:row>599</xdr:row>
      <xdr:rowOff>122817</xdr:rowOff>
    </xdr:to>
    <xdr:sp macro="" textlink="">
      <xdr:nvSpPr>
        <xdr:cNvPr id="796" name="TextBox 795">
          <a:extLst>
            <a:ext uri="{FF2B5EF4-FFF2-40B4-BE49-F238E27FC236}">
              <a16:creationId xmlns:a16="http://schemas.microsoft.com/office/drawing/2014/main" id="{00000000-0008-0000-0000-00001C030000}"/>
            </a:ext>
          </a:extLst>
        </xdr:cNvPr>
        <xdr:cNvSpPr txBox="1"/>
      </xdr:nvSpPr>
      <xdr:spPr>
        <a:xfrm>
          <a:off x="134471" y="142665824"/>
          <a:ext cx="5917303" cy="1691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Revolutionary revenue model</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Unlike counseling, mediation, arbitration, other such services, you do not bear the costs of creating this value. Impactors who typically have greater resources from their advantaged positions have more to gain from your mutual need-resolving cause. We incentivize them to invest in your campaign, and compete with each other for the privilege.</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Your supporters vouch for you as a worthy investment. You prime the pump with that first ten dollar commitment. Each supporter matches that amount. The more supporters you line up for a weekly amount, the higher the price for patrons to later join your campaign.</a:t>
          </a:r>
        </a:p>
      </xdr:txBody>
    </xdr:sp>
    <xdr:clientData/>
  </xdr:twoCellAnchor>
  <xdr:twoCellAnchor>
    <xdr:from>
      <xdr:col>1</xdr:col>
      <xdr:colOff>22412</xdr:colOff>
      <xdr:row>603</xdr:row>
      <xdr:rowOff>74703</xdr:rowOff>
    </xdr:from>
    <xdr:to>
      <xdr:col>12</xdr:col>
      <xdr:colOff>433892</xdr:colOff>
      <xdr:row>627</xdr:row>
      <xdr:rowOff>194235</xdr:rowOff>
    </xdr:to>
    <xdr:sp macro="" textlink="">
      <xdr:nvSpPr>
        <xdr:cNvPr id="800" name="TextBox 799">
          <a:extLst>
            <a:ext uri="{FF2B5EF4-FFF2-40B4-BE49-F238E27FC236}">
              <a16:creationId xmlns:a16="http://schemas.microsoft.com/office/drawing/2014/main" id="{00000000-0008-0000-0000-000020030000}"/>
            </a:ext>
          </a:extLst>
        </xdr:cNvPr>
        <xdr:cNvSpPr txBox="1"/>
      </xdr:nvSpPr>
      <xdr:spPr>
        <a:xfrm>
          <a:off x="134471" y="145183409"/>
          <a:ext cx="5917303" cy="62155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Impactors invest your cause</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As your campaign builds momentum with an increasing weekly support amount, you reach </a:t>
          </a:r>
          <a:r>
            <a:rPr lang="en-US" sz="1200" spc="0" baseline="0">
              <a:solidFill>
                <a:schemeClr val="dk1"/>
              </a:solidFill>
              <a:latin typeface="Cambria" panose="02040503050406030204" pitchFamily="18" charset="0"/>
              <a:ea typeface="Cambria" panose="02040503050406030204" pitchFamily="18" charset="0"/>
              <a:cs typeface="+mn-cs"/>
            </a:rPr>
            <a:t>out to your first tier of Impactors</a:t>
          </a:r>
          <a:r>
            <a:rPr lang="en-US" sz="1200" spc="-10" baseline="0">
              <a:solidFill>
                <a:schemeClr val="dk1"/>
              </a:solidFill>
              <a:latin typeface="Cambria" panose="02040503050406030204" pitchFamily="18" charset="0"/>
              <a:ea typeface="Cambria" panose="02040503050406030204" pitchFamily="18" charset="0"/>
              <a:cs typeface="+mn-cs"/>
            </a:rPr>
            <a:t>. These become your </a:t>
          </a:r>
          <a:r>
            <a:rPr lang="en-US" sz="1200" b="1" spc="-10" baseline="0">
              <a:solidFill>
                <a:schemeClr val="dk1"/>
              </a:solidFill>
              <a:latin typeface="Cambria" panose="02040503050406030204" pitchFamily="18" charset="0"/>
              <a:ea typeface="Cambria" panose="02040503050406030204" pitchFamily="18" charset="0"/>
              <a:cs typeface="+mn-cs"/>
            </a:rPr>
            <a:t>cosponsors</a:t>
          </a:r>
          <a:r>
            <a:rPr lang="en-US" sz="1200" spc="-10" baseline="0">
              <a:solidFill>
                <a:schemeClr val="dk1"/>
              </a:solidFill>
              <a:latin typeface="Cambria" panose="02040503050406030204" pitchFamily="18" charset="0"/>
              <a:ea typeface="Cambria" panose="02040503050406030204" pitchFamily="18" charset="0"/>
              <a:cs typeface="+mn-cs"/>
            </a:rPr>
            <a:t>. You list anyone with the </a:t>
          </a:r>
          <a:r>
            <a:rPr lang="en-US" sz="1200" baseline="0">
              <a:solidFill>
                <a:schemeClr val="dk1"/>
              </a:solidFill>
              <a:latin typeface="Cambria" panose="02040503050406030204" pitchFamily="18" charset="0"/>
              <a:ea typeface="Cambria" panose="02040503050406030204" pitchFamily="18" charset="0"/>
              <a:cs typeface="+mn-cs"/>
            </a:rPr>
            <a:t>resources to support your cause, and who can significantly impact the desired results.</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Just as your supporters, you give them the option to "follow" your campaign. You invite them to get to know you and your team. You tease their interest with your latest progress reports. You give them the sense of missing out on this revolutionary new way to resolve politicized needs. By the time you invite them, it becomes awkward for them to say </a:t>
          </a:r>
          <a:r>
            <a:rPr lang="en-US" sz="1200" i="1" baseline="0">
              <a:solidFill>
                <a:schemeClr val="dk1"/>
              </a:solidFill>
              <a:latin typeface="Cambria" panose="02040503050406030204" pitchFamily="18" charset="0"/>
              <a:ea typeface="Cambria" panose="02040503050406030204" pitchFamily="18" charset="0"/>
              <a:cs typeface="+mn-cs"/>
            </a:rPr>
            <a:t>no</a:t>
          </a:r>
          <a:r>
            <a:rPr lang="en-US" sz="1200" baseline="0">
              <a:solidFill>
                <a:schemeClr val="dk1"/>
              </a:solidFill>
              <a:latin typeface="Cambria" panose="02040503050406030204" pitchFamily="18" charset="0"/>
              <a:ea typeface="Cambria" panose="02040503050406030204" pitchFamily="18" charset="0"/>
              <a:cs typeface="+mn-cs"/>
            </a:rPr>
            <a:t>.</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Base phase cosponsors</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 first onboard cosponsors during the </a:t>
          </a:r>
          <a:r>
            <a:rPr lang="en-US" sz="1200" b="1" baseline="0">
              <a:solidFill>
                <a:schemeClr val="dk1"/>
              </a:solidFill>
              <a:latin typeface="Cambria" panose="02040503050406030204" pitchFamily="18" charset="0"/>
              <a:ea typeface="Cambria" panose="02040503050406030204" pitchFamily="18" charset="0"/>
              <a:cs typeface="+mn-cs"/>
            </a:rPr>
            <a:t>base phase </a:t>
          </a:r>
          <a:r>
            <a:rPr lang="en-US" sz="1200" baseline="0">
              <a:solidFill>
                <a:schemeClr val="dk1"/>
              </a:solidFill>
              <a:latin typeface="Cambria" panose="02040503050406030204" pitchFamily="18" charset="0"/>
              <a:ea typeface="Cambria" panose="02040503050406030204" pitchFamily="18" charset="0"/>
              <a:cs typeface="+mn-cs"/>
            </a:rPr>
            <a:t>of your campaign. They serve as an governing board to your advisory team. Each consponsor in this first group joins your campaign at double the weekly amount you originally pledged. If ten dollars, they join in for twenty dollars. They add momentum to your campaign.</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Growth phase cosponsors</a:t>
          </a:r>
        </a:p>
        <a:p>
          <a:pPr marL="0" marR="0" lvl="0" indent="0" defTabSz="914400" eaLnBrk="1" fontAlgn="auto" latinLnBrk="0" hangingPunct="1">
            <a:lnSpc>
              <a:spcPct val="100000"/>
            </a:lnSpc>
            <a:spcBef>
              <a:spcPts val="600"/>
            </a:spcBef>
            <a:spcAft>
              <a:spcPts val="0"/>
            </a:spcAft>
            <a:buClrTx/>
            <a:buSzTx/>
            <a:buFontTx/>
            <a:buNone/>
            <a:tabLst/>
            <a:defRPr/>
          </a:pPr>
          <a:r>
            <a:rPr lang="en-US" sz="1200" spc="-20" baseline="0">
              <a:solidFill>
                <a:schemeClr val="dk1"/>
              </a:solidFill>
              <a:latin typeface="Cambria" panose="02040503050406030204" pitchFamily="18" charset="0"/>
              <a:ea typeface="Cambria" panose="02040503050406030204" pitchFamily="18" charset="0"/>
              <a:cs typeface="+mn-cs"/>
            </a:rPr>
            <a:t>After reaching agreed upon milestones to enter your campaign's </a:t>
          </a:r>
          <a:r>
            <a:rPr lang="en-US" sz="1200" b="1" spc="-20" baseline="0">
              <a:solidFill>
                <a:schemeClr val="dk1"/>
              </a:solidFill>
              <a:latin typeface="Cambria" panose="02040503050406030204" pitchFamily="18" charset="0"/>
              <a:ea typeface="Cambria" panose="02040503050406030204" pitchFamily="18" charset="0"/>
              <a:cs typeface="+mn-cs"/>
            </a:rPr>
            <a:t>growth phase</a:t>
          </a:r>
          <a:r>
            <a:rPr lang="en-US" sz="1200" spc="-20" baseline="0">
              <a:solidFill>
                <a:schemeClr val="dk1"/>
              </a:solidFill>
              <a:latin typeface="Cambria" panose="02040503050406030204" pitchFamily="18" charset="0"/>
              <a:ea typeface="Cambria" panose="02040503050406030204" pitchFamily="18" charset="0"/>
              <a:cs typeface="+mn-cs"/>
            </a:rPr>
            <a:t>, you onboard </a:t>
          </a:r>
          <a:r>
            <a:rPr lang="en-US" sz="1200" baseline="0">
              <a:solidFill>
                <a:schemeClr val="dk1"/>
              </a:solidFill>
              <a:latin typeface="Cambria" panose="02040503050406030204" pitchFamily="18" charset="0"/>
              <a:ea typeface="Cambria" panose="02040503050406030204" pitchFamily="18" charset="0"/>
              <a:cs typeface="+mn-cs"/>
            </a:rPr>
            <a:t>a second batch of consponsors. This second teir joins at double the earlier amount. If you are paying ten weekly, they pay forty. As your weekly amount climbs, you show potential patrons your competitive investment worth. Your campaign builds more momentum.</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Cause phase patrons</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By </a:t>
          </a:r>
          <a:r>
            <a:rPr lang="en-US" sz="1200" spc="-10" baseline="0">
              <a:solidFill>
                <a:schemeClr val="dk1"/>
              </a:solidFill>
              <a:latin typeface="Cambria" panose="02040503050406030204" pitchFamily="18" charset="0"/>
              <a:ea typeface="Cambria" panose="02040503050406030204" pitchFamily="18" charset="0"/>
              <a:cs typeface="+mn-cs"/>
            </a:rPr>
            <a:t>the time you reach your campaign's </a:t>
          </a:r>
          <a:r>
            <a:rPr lang="en-US" sz="1200" b="1" spc="-10" baseline="0">
              <a:solidFill>
                <a:schemeClr val="dk1"/>
              </a:solidFill>
              <a:latin typeface="Cambria" panose="02040503050406030204" pitchFamily="18" charset="0"/>
              <a:ea typeface="Cambria" panose="02040503050406030204" pitchFamily="18" charset="0"/>
              <a:cs typeface="+mn-cs"/>
            </a:rPr>
            <a:t>cause phase</a:t>
          </a:r>
          <a:r>
            <a:rPr lang="en-US" sz="1200" spc="-10" baseline="0">
              <a:solidFill>
                <a:schemeClr val="dk1"/>
              </a:solidFill>
              <a:latin typeface="Cambria" panose="02040503050406030204" pitchFamily="18" charset="0"/>
              <a:ea typeface="Cambria" panose="02040503050406030204" pitchFamily="18" charset="0"/>
              <a:cs typeface="+mn-cs"/>
            </a:rPr>
            <a:t>, you are ready to onboard patrons </a:t>
          </a:r>
          <a:r>
            <a:rPr lang="en-US" sz="1200" baseline="0">
              <a:solidFill>
                <a:schemeClr val="dk1"/>
              </a:solidFill>
              <a:latin typeface="Cambria" panose="02040503050406030204" pitchFamily="18" charset="0"/>
              <a:ea typeface="Cambria" panose="02040503050406030204" pitchFamily="18" charset="0"/>
              <a:cs typeface="+mn-cs"/>
            </a:rPr>
            <a:t>with significant means to cover the costs of your ambitious cause. Your cause could grow far beyond this campaign. With a patron or patrons on board, you may get to the point of spurring a movement of love-based political change.</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Patrons are likely high level professionals. They typically are directly involved in some way with the particular politicized need you are addressing. They also need your mutual-love approach to reach their political goals. They need you. </a:t>
          </a:r>
        </a:p>
        <a:p>
          <a:pPr marL="0" marR="0" lvl="0" indent="0" defTabSz="914400" eaLnBrk="1" fontAlgn="auto" latinLnBrk="0" hangingPunct="1">
            <a:lnSpc>
              <a:spcPct val="100000"/>
            </a:lnSpc>
            <a:spcBef>
              <a:spcPts val="600"/>
            </a:spcBef>
            <a:spcAft>
              <a:spcPts val="0"/>
            </a:spcAft>
            <a:buClrTx/>
            <a:buSzTx/>
            <a:buFontTx/>
            <a:buNone/>
            <a:tabLst/>
            <a:defRPr/>
          </a:pPr>
          <a:r>
            <a:rPr lang="en-US" sz="1200" spc="-10" baseline="0">
              <a:solidFill>
                <a:schemeClr val="dk1"/>
              </a:solidFill>
              <a:latin typeface="Cambria" panose="02040503050406030204" pitchFamily="18" charset="0"/>
              <a:ea typeface="Cambria" panose="02040503050406030204" pitchFamily="18" charset="0"/>
              <a:cs typeface="+mn-cs"/>
            </a:rPr>
            <a:t>If we play our cards right, they will pay handsomely for the privilege to invest in your cause. </a:t>
          </a:r>
          <a:r>
            <a:rPr lang="en-US" sz="1200" baseline="0">
              <a:solidFill>
                <a:schemeClr val="dk1"/>
              </a:solidFill>
              <a:latin typeface="Cambria" panose="02040503050406030204" pitchFamily="18" charset="0"/>
              <a:ea typeface="Cambria" panose="02040503050406030204" pitchFamily="18" charset="0"/>
              <a:cs typeface="+mn-cs"/>
            </a:rPr>
            <a:t>If you improve their lives along with your own, not to mention others similarly situated, shouldn't these beneficiaries become your benefactors? Assess each Impactor by these qualifying criteria. Start with those identified with a green arrow at the left.</a:t>
          </a:r>
        </a:p>
      </xdr:txBody>
    </xdr:sp>
    <xdr:clientData/>
  </xdr:twoCellAnchor>
  <xdr:twoCellAnchor>
    <xdr:from>
      <xdr:col>0</xdr:col>
      <xdr:colOff>89647</xdr:colOff>
      <xdr:row>468</xdr:row>
      <xdr:rowOff>246530</xdr:rowOff>
    </xdr:from>
    <xdr:to>
      <xdr:col>5</xdr:col>
      <xdr:colOff>490071</xdr:colOff>
      <xdr:row>470</xdr:row>
      <xdr:rowOff>134471</xdr:rowOff>
    </xdr:to>
    <xdr:sp macro="" textlink="">
      <xdr:nvSpPr>
        <xdr:cNvPr id="808" name="TextBox 807">
          <a:extLst>
            <a:ext uri="{FF2B5EF4-FFF2-40B4-BE49-F238E27FC236}">
              <a16:creationId xmlns:a16="http://schemas.microsoft.com/office/drawing/2014/main" id="{00000000-0008-0000-0000-000028030000}"/>
            </a:ext>
          </a:extLst>
        </xdr:cNvPr>
        <xdr:cNvSpPr txBox="1"/>
      </xdr:nvSpPr>
      <xdr:spPr>
        <a:xfrm>
          <a:off x="89647" y="112484648"/>
          <a:ext cx="2514600" cy="395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200">
              <a:ln>
                <a:noFill/>
              </a:ln>
              <a:solidFill>
                <a:srgbClr val="00823C"/>
              </a:solidFill>
              <a:effectLst>
                <a:glow rad="38100">
                  <a:schemeClr val="bg1"/>
                </a:glow>
              </a:effectLst>
              <a:latin typeface="Impact" panose="020B0806030902050204" pitchFamily="34" charset="0"/>
            </a:rPr>
            <a:t>IMPACTEE = You are impacted</a:t>
          </a:r>
          <a:r>
            <a:rPr lang="en-US" sz="1200" baseline="0">
              <a:ln>
                <a:noFill/>
              </a:ln>
              <a:solidFill>
                <a:srgbClr val="00823C"/>
              </a:solidFill>
              <a:effectLst>
                <a:glow rad="38100">
                  <a:schemeClr val="bg1"/>
                </a:glow>
              </a:effectLst>
              <a:latin typeface="Impact" panose="020B0806030902050204" pitchFamily="34" charset="0"/>
            </a:rPr>
            <a:t> by the relationship more than you impact it.</a:t>
          </a:r>
          <a:endParaRPr lang="en-US" sz="1200">
            <a:ln>
              <a:noFill/>
            </a:ln>
            <a:solidFill>
              <a:srgbClr val="00823C"/>
            </a:solidFill>
            <a:effectLst>
              <a:glow rad="38100">
                <a:schemeClr val="bg1"/>
              </a:glow>
            </a:effectLst>
            <a:latin typeface="Impact" panose="020B0806030902050204" pitchFamily="34" charset="0"/>
          </a:endParaRPr>
        </a:p>
      </xdr:txBody>
    </xdr:sp>
    <xdr:clientData/>
  </xdr:twoCellAnchor>
  <xdr:twoCellAnchor>
    <xdr:from>
      <xdr:col>7</xdr:col>
      <xdr:colOff>381001</xdr:colOff>
      <xdr:row>469</xdr:row>
      <xdr:rowOff>0</xdr:rowOff>
    </xdr:from>
    <xdr:to>
      <xdr:col>12</xdr:col>
      <xdr:colOff>392954</xdr:colOff>
      <xdr:row>470</xdr:row>
      <xdr:rowOff>141941</xdr:rowOff>
    </xdr:to>
    <xdr:sp macro="" textlink="">
      <xdr:nvSpPr>
        <xdr:cNvPr id="809" name="TextBox 808">
          <a:extLst>
            <a:ext uri="{FF2B5EF4-FFF2-40B4-BE49-F238E27FC236}">
              <a16:creationId xmlns:a16="http://schemas.microsoft.com/office/drawing/2014/main" id="{00000000-0008-0000-0000-000029030000}"/>
            </a:ext>
          </a:extLst>
        </xdr:cNvPr>
        <xdr:cNvSpPr txBox="1"/>
      </xdr:nvSpPr>
      <xdr:spPr>
        <a:xfrm>
          <a:off x="3496236" y="112492118"/>
          <a:ext cx="2514600" cy="395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200">
              <a:ln>
                <a:noFill/>
              </a:ln>
              <a:solidFill>
                <a:srgbClr val="780091"/>
              </a:solidFill>
              <a:effectLst>
                <a:glow rad="38100">
                  <a:schemeClr val="bg1"/>
                </a:glow>
              </a:effectLst>
              <a:latin typeface="Impact" panose="020B0806030902050204" pitchFamily="34" charset="0"/>
            </a:rPr>
            <a:t>IMPACTOR = You impact</a:t>
          </a:r>
          <a:r>
            <a:rPr lang="en-US" sz="1200" baseline="0">
              <a:ln>
                <a:noFill/>
              </a:ln>
              <a:solidFill>
                <a:srgbClr val="780091"/>
              </a:solidFill>
              <a:effectLst>
                <a:glow rad="38100">
                  <a:schemeClr val="bg1"/>
                </a:glow>
              </a:effectLst>
              <a:latin typeface="Impact" panose="020B0806030902050204" pitchFamily="34" charset="0"/>
            </a:rPr>
            <a:t> the relationship more than you are impacted </a:t>
          </a:r>
          <a:r>
            <a:rPr lang="en-US" sz="1200" baseline="0">
              <a:ln>
                <a:noFill/>
              </a:ln>
              <a:solidFill>
                <a:srgbClr val="780091"/>
              </a:solidFill>
              <a:effectLst>
                <a:glow rad="38100">
                  <a:schemeClr val="bg1"/>
                </a:glow>
              </a:effectLst>
              <a:latin typeface="Impact" panose="020B0806030902050204" pitchFamily="34" charset="0"/>
              <a:ea typeface="+mn-ea"/>
              <a:cs typeface="+mn-cs"/>
            </a:rPr>
            <a:t>by it.</a:t>
          </a:r>
        </a:p>
      </xdr:txBody>
    </xdr:sp>
    <xdr:clientData/>
  </xdr:twoCellAnchor>
  <xdr:twoCellAnchor>
    <xdr:from>
      <xdr:col>1</xdr:col>
      <xdr:colOff>0</xdr:colOff>
      <xdr:row>679</xdr:row>
      <xdr:rowOff>0</xdr:rowOff>
    </xdr:from>
    <xdr:to>
      <xdr:col>12</xdr:col>
      <xdr:colOff>437777</xdr:colOff>
      <xdr:row>712</xdr:row>
      <xdr:rowOff>0</xdr:rowOff>
    </xdr:to>
    <xdr:sp macro="" textlink="">
      <xdr:nvSpPr>
        <xdr:cNvPr id="600" name="Text Box 364">
          <a:extLst>
            <a:ext uri="{FF2B5EF4-FFF2-40B4-BE49-F238E27FC236}">
              <a16:creationId xmlns:a16="http://schemas.microsoft.com/office/drawing/2014/main" id="{00000000-0008-0000-0000-000058020000}"/>
            </a:ext>
          </a:extLst>
        </xdr:cNvPr>
        <xdr:cNvSpPr txBox="1"/>
      </xdr:nvSpPr>
      <xdr:spPr>
        <a:xfrm>
          <a:off x="114300" y="161452560"/>
          <a:ext cx="5969897" cy="7459980"/>
        </a:xfrm>
        <a:prstGeom prst="rect">
          <a:avLst/>
        </a:prstGeom>
        <a:solidFill>
          <a:srgbClr val="D2FFE6"/>
        </a:solidFill>
        <a:ln w="6350">
          <a:noFill/>
        </a:ln>
      </xdr:spPr>
      <xdr:txBody>
        <a:bodyPr rot="0" spcFirstLastPara="0" vert="horz" wrap="square" lIns="0" tIns="0" rIns="0" bIns="0" numCol="1" spcCol="0" rtlCol="0" fromWordArt="0" anchor="t" anchorCtr="0" forceAA="0" compatLnSpc="1">
          <a:prstTxWarp prst="textNoShape">
            <a:avLst/>
          </a:prstTxWarp>
          <a:noAutofit/>
        </a:bodyPr>
        <a:lstStyle/>
        <a:p>
          <a:pPr marL="0" marR="0">
            <a:spcBef>
              <a:spcPts val="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1. You check if this is right for you</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You</a:t>
          </a:r>
          <a:r>
            <a:rPr lang="en-US" sz="1100">
              <a:effectLst/>
              <a:latin typeface="Cambria" panose="02040503050406030204" pitchFamily="18" charset="0"/>
              <a:ea typeface="Cambria" panose="02040503050406030204" pitchFamily="18" charset="0"/>
              <a:cs typeface="Times New Roman" panose="02020603050405020304" pitchFamily="18" charset="0"/>
            </a:rPr>
            <a:t> contact </a:t>
          </a:r>
          <a:r>
            <a:rPr lang="en-US" sz="1000">
              <a:solidFill>
                <a:srgbClr val="00823C"/>
              </a:solidFill>
              <a:effectLst/>
              <a:latin typeface="Arial Black" panose="020B0A04020102020204" pitchFamily="34" charset="0"/>
              <a:ea typeface="Cambria" panose="02040503050406030204" pitchFamily="18" charset="0"/>
              <a:cs typeface="Times New Roman" panose="02020603050405020304" pitchFamily="18" charset="0"/>
            </a:rPr>
            <a:t>Value</a:t>
          </a:r>
          <a:r>
            <a:rPr lang="en-US" sz="1000">
              <a:effectLst/>
              <a:latin typeface="Arial Black" panose="020B0A04020102020204" pitchFamily="34" charset="0"/>
              <a:ea typeface="Cambria" panose="02040503050406030204" pitchFamily="18" charset="0"/>
              <a:cs typeface="Times New Roman" panose="02020603050405020304" pitchFamily="18" charset="0"/>
            </a:rPr>
            <a:t> </a:t>
          </a:r>
          <a:r>
            <a:rPr lang="en-US" sz="1000">
              <a:solidFill>
                <a:srgbClr val="780091"/>
              </a:solidFill>
              <a:effectLst/>
              <a:latin typeface="Arial Black" panose="020B0A04020102020204" pitchFamily="34" charset="0"/>
              <a:ea typeface="Cambria" panose="02040503050406030204" pitchFamily="18" charset="0"/>
              <a:cs typeface="Times New Roman" panose="02020603050405020304" pitchFamily="18" charset="0"/>
            </a:rPr>
            <a:t>Relating</a:t>
          </a:r>
          <a:r>
            <a:rPr lang="en-US" sz="1000">
              <a:effectLst/>
              <a:latin typeface="Arial Black" panose="020B0A04020102020204" pitchFamily="34" charset="0"/>
              <a:ea typeface="Cambria" panose="02040503050406030204" pitchFamily="18" charset="0"/>
              <a:cs typeface="Times New Roman" panose="02020603050405020304" pitchFamily="18" charset="0"/>
            </a:rPr>
            <a:t> </a:t>
          </a:r>
          <a:r>
            <a:rPr lang="en-US" sz="1100">
              <a:effectLst/>
              <a:latin typeface="Cambria" panose="02040503050406030204" pitchFamily="18" charset="0"/>
              <a:ea typeface="Cambria" panose="02040503050406030204" pitchFamily="18" charset="0"/>
              <a:cs typeface="Times New Roman" panose="02020603050405020304" pitchFamily="18" charset="0"/>
            </a:rPr>
            <a:t>to inquire if this is a good fit for you. We meet online to go over the details. We match you with a guide and advocate.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342900" marR="0" lvl="0" indent="-342900">
            <a:spcBef>
              <a:spcPts val="0"/>
            </a:spcBef>
            <a:spcAft>
              <a:spcPts val="0"/>
            </a:spcAft>
            <a:buFont typeface="Wingdings 3" panose="05040102010807070707" pitchFamily="18" charset="2"/>
            <a:buChar char=""/>
            <a:tabLst>
              <a:tab pos="457200" algn="l"/>
            </a:tabLst>
          </a:pPr>
          <a:r>
            <a:rPr lang="en-US" sz="1100">
              <a:effectLst/>
              <a:latin typeface="Cambria" panose="02040503050406030204" pitchFamily="18" charset="0"/>
              <a:ea typeface="Cambria" panose="02040503050406030204" pitchFamily="18" charset="0"/>
              <a:cs typeface="Times New Roman" panose="02020603050405020304" pitchFamily="18" charset="0"/>
            </a:rPr>
            <a:t>Your </a:t>
          </a:r>
          <a:r>
            <a:rPr lang="en-US" sz="1100" b="1">
              <a:effectLst/>
              <a:latin typeface="Cambria" panose="02040503050406030204" pitchFamily="18" charset="0"/>
              <a:ea typeface="Cambria" panose="02040503050406030204" pitchFamily="18" charset="0"/>
              <a:cs typeface="Times New Roman" panose="02020603050405020304" pitchFamily="18" charset="0"/>
            </a:rPr>
            <a:t>counselor</a:t>
          </a:r>
          <a:r>
            <a:rPr lang="en-US" sz="1100">
              <a:effectLst/>
              <a:latin typeface="Cambria" panose="02040503050406030204" pitchFamily="18" charset="0"/>
              <a:ea typeface="Cambria" panose="02040503050406030204" pitchFamily="18" charset="0"/>
              <a:cs typeface="Times New Roman" panose="02020603050405020304" pitchFamily="18" charset="0"/>
            </a:rPr>
            <a:t> guides your personal journey with a personal touch.</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342900" marR="0" lvl="0" indent="-342900">
            <a:spcBef>
              <a:spcPts val="0"/>
            </a:spcBef>
            <a:spcAft>
              <a:spcPts val="0"/>
            </a:spcAft>
            <a:buFont typeface="Wingdings 3" panose="05040102010807070707" pitchFamily="18" charset="2"/>
            <a:buChar char=""/>
            <a:tabLst>
              <a:tab pos="457200" algn="l"/>
            </a:tabLst>
          </a:pPr>
          <a:r>
            <a:rPr lang="en-US" sz="1100">
              <a:effectLst/>
              <a:latin typeface="Cambria" panose="02040503050406030204" pitchFamily="18" charset="0"/>
              <a:ea typeface="Cambria" panose="02040503050406030204" pitchFamily="18" charset="0"/>
              <a:cs typeface="Times New Roman" panose="02020603050405020304" pitchFamily="18" charset="0"/>
            </a:rPr>
            <a:t>Your </a:t>
          </a:r>
          <a:r>
            <a:rPr lang="en-US" sz="1100" b="1">
              <a:effectLst/>
              <a:latin typeface="Cambria" panose="02040503050406030204" pitchFamily="18" charset="0"/>
              <a:ea typeface="Cambria" panose="02040503050406030204" pitchFamily="18" charset="0"/>
              <a:cs typeface="Times New Roman" panose="02020603050405020304" pitchFamily="18" charset="0"/>
            </a:rPr>
            <a:t>advocate</a:t>
          </a:r>
          <a:r>
            <a:rPr lang="en-US" sz="1100">
              <a:effectLst/>
              <a:latin typeface="Cambria" panose="02040503050406030204" pitchFamily="18" charset="0"/>
              <a:ea typeface="Cambria" panose="02040503050406030204" pitchFamily="18" charset="0"/>
              <a:cs typeface="Times New Roman" panose="02020603050405020304" pitchFamily="18" charset="0"/>
            </a:rPr>
            <a:t> covers all the external matters to help you reach your goal.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put down a starting amount. You weekly invests $1 to $25, to put skin in the game. You choose an amount you can trust potential supporters to match each week throughout your campaign. Yoo then use our template to practice presenting your passionate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90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2. You announce your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start with a vision to resolve a politicized need by addressing the specific needs of those on each side. With </a:t>
          </a:r>
          <a:r>
            <a:rPr lang="en-US" sz="1100">
              <a:ln w="9525" cap="flat" cmpd="sng" algn="ctr">
                <a:solidFill>
                  <a:srgbClr val="00823C"/>
                </a:solidFill>
                <a:prstDash val="solid"/>
                <a:round/>
              </a:ln>
              <a:effectLst/>
              <a:latin typeface="Cambria" panose="02040503050406030204" pitchFamily="18" charset="0"/>
              <a:ea typeface="Cambria" panose="02040503050406030204" pitchFamily="18" charset="0"/>
              <a:cs typeface="Times New Roman" panose="02020603050405020304" pitchFamily="18" charset="0"/>
            </a:rPr>
            <a:t>Harmony</a:t>
          </a:r>
          <a:r>
            <a:rPr lang="en-US" sz="1100">
              <a:effectLst/>
              <a:latin typeface="Cambria" panose="02040503050406030204" pitchFamily="18" charset="0"/>
              <a:ea typeface="Cambria" panose="02040503050406030204" pitchFamily="18" charset="0"/>
              <a:cs typeface="Times New Roman" panose="02020603050405020304" pitchFamily="18" charset="0"/>
            </a:rPr>
            <a:t> </a:t>
          </a:r>
          <a:r>
            <a:rPr lang="en-US" sz="1100">
              <a:ln w="9525" cap="flat" cmpd="sng" algn="ctr">
                <a:solidFill>
                  <a:srgbClr val="780091"/>
                </a:solidFill>
                <a:prstDash val="solid"/>
                <a:round/>
              </a:ln>
              <a:effectLst/>
              <a:latin typeface="Cambria" panose="02040503050406030204" pitchFamily="18" charset="0"/>
              <a:ea typeface="Cambria" panose="02040503050406030204" pitchFamily="18" charset="0"/>
              <a:cs typeface="Times New Roman" panose="02020603050405020304" pitchFamily="18" charset="0"/>
            </a:rPr>
            <a:t>Politics</a:t>
          </a:r>
          <a:r>
            <a:rPr lang="en-US" sz="1100">
              <a:effectLst/>
              <a:latin typeface="Cambria" panose="02040503050406030204" pitchFamily="18" charset="0"/>
              <a:ea typeface="Cambria" panose="02040503050406030204" pitchFamily="18" charset="0"/>
              <a:cs typeface="Times New Roman" panose="02020603050405020304" pitchFamily="18" charset="0"/>
            </a:rPr>
            <a:t>'s unique conciliatory process, you inspire others to support your passionate cause. You upload your video, and send the link to your list of potential supporters.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90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3. You attract support</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grow a team of supporters to help your passionate need-resolving cause to become a reality.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invite your prospect supporters to support your cause at the level that is right for them.</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1)	Followers </a:t>
          </a:r>
          <a:r>
            <a:rPr lang="en-US" sz="1100">
              <a:effectLst/>
              <a:latin typeface="Cambria" panose="02040503050406030204" pitchFamily="18" charset="0"/>
              <a:ea typeface="Cambria" panose="02040503050406030204" pitchFamily="18" charset="0"/>
              <a:cs typeface="Times New Roman" panose="02020603050405020304" pitchFamily="18" charset="0"/>
            </a:rPr>
            <a:t>sign up to receive regular reports of your progress. </a:t>
          </a:r>
          <a:r>
            <a:rPr lang="en-US" sz="1100" b="1" i="1">
              <a:effectLst/>
              <a:latin typeface="Cambria" panose="02040503050406030204" pitchFamily="18" charset="0"/>
              <a:ea typeface="Cambria" panose="02040503050406030204" pitchFamily="18" charset="0"/>
              <a:cs typeface="Times New Roman" panose="02020603050405020304" pitchFamily="18" charset="0"/>
            </a:rPr>
            <a:t>FREEMIUM</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They emotionally but not yet financially invest in your cause.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Lowest return on investment, or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follow liberating narrative as it happens.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2)	Supporters </a:t>
          </a:r>
          <a:r>
            <a:rPr lang="en-US" sz="1100">
              <a:effectLst/>
              <a:latin typeface="Cambria" panose="02040503050406030204" pitchFamily="18" charset="0"/>
              <a:ea typeface="Cambria" panose="02040503050406030204" pitchFamily="18" charset="0"/>
              <a:cs typeface="Times New Roman" panose="02020603050405020304" pitchFamily="18" charset="0"/>
            </a:rPr>
            <a:t>pledge a weeky amount that helps cover the costs of this service. </a:t>
          </a:r>
          <a:r>
            <a:rPr lang="en-US" sz="1100" b="1" i="1">
              <a:effectLst/>
              <a:latin typeface="Cambria" panose="02040503050406030204" pitchFamily="18" charset="0"/>
              <a:ea typeface="Cambria" panose="02040503050406030204" pitchFamily="18" charset="0"/>
              <a:cs typeface="Times New Roman" panose="02020603050405020304" pitchFamily="18" charset="0"/>
            </a:rPr>
            <a:t>BASIC</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In addition to regular updates, your supporters serve as advisors to your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Mid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coauthor liberating narrative in real time.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3)	Cosponsors </a:t>
          </a:r>
          <a:r>
            <a:rPr lang="en-US" sz="1100">
              <a:effectLst/>
              <a:latin typeface="Cambria" panose="02040503050406030204" pitchFamily="18" charset="0"/>
              <a:ea typeface="Cambria" panose="02040503050406030204" pitchFamily="18" charset="0"/>
              <a:cs typeface="Times New Roman" panose="02020603050405020304" pitchFamily="18" charset="0"/>
            </a:rPr>
            <a:t>double the amount of the previous level of weekly pledges. </a:t>
          </a:r>
          <a:r>
            <a:rPr lang="en-US" sz="1100" b="1" i="1">
              <a:effectLst/>
              <a:latin typeface="Cambria" panose="02040503050406030204" pitchFamily="18" charset="0"/>
              <a:ea typeface="Cambria" panose="02040503050406030204" pitchFamily="18" charset="0"/>
              <a:cs typeface="Times New Roman" panose="02020603050405020304" pitchFamily="18" charset="0"/>
            </a:rPr>
            <a:t>PREMIUM</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In addition to updates, your cosponsors serve as a governing board to boost your success.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High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co-create inspiring narrative with necessary funding.</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4)	Patrons </a:t>
          </a:r>
          <a:r>
            <a:rPr lang="en-US" sz="1100">
              <a:effectLst/>
              <a:latin typeface="Cambria" panose="02040503050406030204" pitchFamily="18" charset="0"/>
              <a:ea typeface="Cambria" panose="02040503050406030204" pitchFamily="18" charset="0"/>
              <a:cs typeface="Times New Roman" panose="02020603050405020304" pitchFamily="18" charset="0"/>
            </a:rPr>
            <a:t>double the weekly amount of the previous level of co-sponsorship. </a:t>
          </a:r>
          <a:r>
            <a:rPr lang="en-US" sz="1100" b="1" i="1">
              <a:effectLst/>
              <a:latin typeface="Cambria" panose="02040503050406030204" pitchFamily="18" charset="0"/>
              <a:ea typeface="Cambria" panose="02040503050406030204" pitchFamily="18" charset="0"/>
              <a:cs typeface="Times New Roman" panose="02020603050405020304" pitchFamily="18" charset="0"/>
            </a:rPr>
            <a:t>PLUS</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In addition to the above, patrons invest the resources necessary to fulfill your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Highest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boost their own branding, and their competitive legitimacy.</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90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4. You launch your campaign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After you have invited prospect supporters to join your team, you work with your guide and advocate to lay the foundation for your campaign cause. You agree upon milestones along the way. You strategize the best way forward.</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list the Impactors affecting your life. You draft invitations to send out to each of them, at the right time. You invite your invited supporters to weigh in. You give them a taste of the amazing things to come, if enough of them support you.</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Your launch is merely the first of four campaign phases.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1)	</a:t>
          </a:r>
          <a:r>
            <a:rPr lang="en-US" sz="1100" b="1">
              <a:effectLst/>
              <a:latin typeface="Cambria" panose="02040503050406030204" pitchFamily="18" charset="0"/>
              <a:ea typeface="Cambria" panose="02040503050406030204" pitchFamily="18" charset="0"/>
              <a:cs typeface="Times New Roman" panose="02020603050405020304" pitchFamily="18" charset="0"/>
            </a:rPr>
            <a:t>Launch</a:t>
          </a:r>
          <a:r>
            <a:rPr lang="en-US" sz="1100">
              <a:effectLst/>
              <a:latin typeface="Cambria" panose="02040503050406030204" pitchFamily="18" charset="0"/>
              <a:ea typeface="Cambria" panose="02040503050406030204" pitchFamily="18" charset="0"/>
              <a:cs typeface="Times New Roman" panose="02020603050405020304" pitchFamily="18" charset="0"/>
            </a:rPr>
            <a:t>: At this point, it's just you you, your guide, and your advocate.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2)	</a:t>
          </a:r>
          <a:r>
            <a:rPr lang="en-US" sz="1100" b="1">
              <a:effectLst/>
              <a:latin typeface="Cambria" panose="02040503050406030204" pitchFamily="18" charset="0"/>
              <a:ea typeface="Cambria" panose="02040503050406030204" pitchFamily="18" charset="0"/>
              <a:cs typeface="Times New Roman" panose="02020603050405020304" pitchFamily="18" charset="0"/>
            </a:rPr>
            <a:t>Base</a:t>
          </a:r>
          <a:r>
            <a:rPr lang="en-US" sz="1100">
              <a:effectLst/>
              <a:latin typeface="Cambria" panose="02040503050406030204" pitchFamily="18" charset="0"/>
              <a:ea typeface="Cambria" panose="02040503050406030204" pitchFamily="18" charset="0"/>
              <a:cs typeface="Times New Roman" panose="02020603050405020304" pitchFamily="18" charset="0"/>
            </a:rPr>
            <a:t>: You onboard your team of followers and supporters.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3)	</a:t>
          </a:r>
          <a:r>
            <a:rPr lang="en-US" sz="1100" b="1">
              <a:effectLst/>
              <a:latin typeface="Cambria" panose="02040503050406030204" pitchFamily="18" charset="0"/>
              <a:ea typeface="Cambria" panose="02040503050406030204" pitchFamily="18" charset="0"/>
              <a:cs typeface="Times New Roman" panose="02020603050405020304" pitchFamily="18" charset="0"/>
            </a:rPr>
            <a:t>Growth</a:t>
          </a:r>
          <a:r>
            <a:rPr lang="en-US" sz="1100">
              <a:effectLst/>
              <a:latin typeface="Cambria" panose="02040503050406030204" pitchFamily="18" charset="0"/>
              <a:ea typeface="Cambria" panose="02040503050406030204" pitchFamily="18" charset="0"/>
              <a:cs typeface="Times New Roman" panose="02020603050405020304" pitchFamily="18" charset="0"/>
            </a:rPr>
            <a:t>: You onboard your cosponsors.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4)	</a:t>
          </a:r>
          <a:r>
            <a:rPr lang="en-US" sz="1100" b="1">
              <a:effectLst/>
              <a:latin typeface="Cambria" panose="02040503050406030204" pitchFamily="18" charset="0"/>
              <a:ea typeface="Cambria" panose="02040503050406030204" pitchFamily="18" charset="0"/>
              <a:cs typeface="Times New Roman" panose="02020603050405020304" pitchFamily="18" charset="0"/>
            </a:rPr>
            <a:t>Cause</a:t>
          </a:r>
          <a:r>
            <a:rPr lang="en-US" sz="1100">
              <a:effectLst/>
              <a:latin typeface="Cambria" panose="02040503050406030204" pitchFamily="18" charset="0"/>
              <a:ea typeface="Cambria" panose="02040503050406030204" pitchFamily="18" charset="0"/>
              <a:cs typeface="Times New Roman" panose="02020603050405020304" pitchFamily="18" charset="0"/>
            </a:rPr>
            <a:t>: You onboard your patron or patrons.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Check below for how each phase unfolds.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clientData/>
  </xdr:twoCellAnchor>
  <xdr:twoCellAnchor>
    <xdr:from>
      <xdr:col>1</xdr:col>
      <xdr:colOff>22412</xdr:colOff>
      <xdr:row>752</xdr:row>
      <xdr:rowOff>7471</xdr:rowOff>
    </xdr:from>
    <xdr:to>
      <xdr:col>12</xdr:col>
      <xdr:colOff>460189</xdr:colOff>
      <xdr:row>779</xdr:row>
      <xdr:rowOff>7470</xdr:rowOff>
    </xdr:to>
    <xdr:sp macro="" textlink="">
      <xdr:nvSpPr>
        <xdr:cNvPr id="606" name="TextBox 605">
          <a:extLst>
            <a:ext uri="{FF2B5EF4-FFF2-40B4-BE49-F238E27FC236}">
              <a16:creationId xmlns:a16="http://schemas.microsoft.com/office/drawing/2014/main" id="{00000000-0008-0000-0000-00005E020000}"/>
            </a:ext>
          </a:extLst>
        </xdr:cNvPr>
        <xdr:cNvSpPr txBox="1"/>
      </xdr:nvSpPr>
      <xdr:spPr>
        <a:xfrm>
          <a:off x="134471" y="171024177"/>
          <a:ext cx="5943600" cy="68579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latin typeface="Cambria" panose="02040503050406030204" pitchFamily="18" charset="0"/>
              <a:ea typeface="Cambria" panose="02040503050406030204" pitchFamily="18" charset="0"/>
            </a:rPr>
            <a:t>You start shortly after qualifying with your demonstration video. As currently envisioned, you launch your campaign as soon as you raise enough weekly support. To convince a guide and an advocate to grow your campaign, you must demonstrate from the start you have the backing for a sustianable launch.</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Price point pace</a:t>
          </a:r>
        </a:p>
        <a:p>
          <a:r>
            <a:rPr lang="en-US" sz="1200" baseline="0">
              <a:latin typeface="Cambria" panose="02040503050406030204" pitchFamily="18" charset="0"/>
              <a:ea typeface="Cambria" panose="02040503050406030204" pitchFamily="18" charset="0"/>
            </a:rPr>
            <a:t>Until you reach the billing threshold in each phase, your campaign does not raise revenue and your guide and advocate work with you at a slower pace. We work at the pace of your raised support. When enough supporters join your cause, you qualify for the next phase. </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Anticipate attrition if your campaign faulters and loses momentum. Keep seeking support. Ask your supporters to invite others to follow your campaign. You build your support team as you create more need-resolving value with momentum.</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Baseline measures</a:t>
          </a:r>
        </a:p>
        <a:p>
          <a:r>
            <a:rPr lang="en-US" sz="1200" baseline="0">
              <a:latin typeface="Cambria" panose="02040503050406030204" pitchFamily="18" charset="0"/>
              <a:ea typeface="Cambria" panose="02040503050406030204" pitchFamily="18" charset="0"/>
            </a:rPr>
            <a:t>We assess your wellness levels. We need to capture your levels of anxiety and depression to compare later. If we find you starting with a high level of anxiety and it later drops as you find courage with this process, we can use this to attract more support. This includes identifying your impacted needs. How will your wellness improve if your politically impacted needs can resolve? How would this help others similarly situataed?</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Your internal foundation</a:t>
          </a:r>
        </a:p>
        <a:p>
          <a:r>
            <a:rPr lang="en-US" sz="1200" baseline="0">
              <a:latin typeface="Cambria" panose="02040503050406030204" pitchFamily="18" charset="0"/>
              <a:ea typeface="Cambria" panose="02040503050406030204" pitchFamily="18" charset="0"/>
            </a:rPr>
            <a:t>You and your guide ensure you have the stamina to move forward. You get real about the likely challenges ahead. You find strength in your passion to resolve the politicized need, which inspires you to overcome obstacles thrown your way. You inspire others along the way. Your internal strengths grow stronger, with an internal feedback loop.</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Your social reach</a:t>
          </a:r>
        </a:p>
        <a:p>
          <a:r>
            <a:rPr lang="en-US" sz="1200" baseline="0">
              <a:latin typeface="Cambria" panose="02040503050406030204" pitchFamily="18" charset="0"/>
              <a:ea typeface="Cambria" panose="02040503050406030204" pitchFamily="18" charset="0"/>
            </a:rPr>
            <a:t>You brainstorm a list of your social contacts. You consider who among your social capital will make good candidates for your team. How can each contribute to your cause to resolve the politicized need? What can they offer? What to they expect in return?</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Day one</a:t>
          </a:r>
        </a:p>
        <a:p>
          <a:r>
            <a:rPr lang="en-US" sz="1200" baseline="0">
              <a:latin typeface="Cambria" panose="02040503050406030204" pitchFamily="18" charset="0"/>
              <a:ea typeface="Cambria" panose="02040503050406030204" pitchFamily="18" charset="0"/>
            </a:rPr>
            <a:t>You send out invitations. You announce your intentions. You set yourself apart from the self-serving status quo. Even if no one ever replies to your invitations</a:t>
          </a:r>
          <a:r>
            <a:rPr lang="en-US" sz="1100">
              <a:solidFill>
                <a:schemeClr val="dk1"/>
              </a:solidFill>
              <a:effectLst/>
              <a:latin typeface="+mn-lt"/>
              <a:ea typeface="+mn-ea"/>
              <a:cs typeface="+mn-cs"/>
            </a:rPr>
            <a:t>—</a:t>
          </a:r>
          <a:r>
            <a:rPr lang="en-US" sz="1200" baseline="0">
              <a:latin typeface="Cambria" panose="02040503050406030204" pitchFamily="18" charset="0"/>
              <a:ea typeface="Cambria" panose="02040503050406030204" pitchFamily="18" charset="0"/>
            </a:rPr>
            <a:t>a worse case scenario</a:t>
          </a:r>
          <a:r>
            <a:rPr lang="en-US" sz="1100">
              <a:solidFill>
                <a:schemeClr val="dk1"/>
              </a:solidFill>
              <a:effectLst/>
              <a:latin typeface="+mn-lt"/>
              <a:ea typeface="+mn-ea"/>
              <a:cs typeface="+mn-cs"/>
            </a:rPr>
            <a:t>—</a:t>
          </a:r>
          <a:r>
            <a:rPr lang="en-US" sz="1200" baseline="0">
              <a:latin typeface="Cambria" panose="02040503050406030204" pitchFamily="18" charset="0"/>
              <a:ea typeface="Cambria" panose="02040503050406030204" pitchFamily="18" charset="0"/>
            </a:rPr>
            <a:t>you leap forward into a realm of wellness few will ever know. Your guide and advocate help you avoid a number of pitfalls that risk ending your campaign in failure.</a:t>
          </a:r>
        </a:p>
      </xdr:txBody>
    </xdr:sp>
    <xdr:clientData/>
  </xdr:twoCellAnchor>
  <xdr:twoCellAnchor>
    <xdr:from>
      <xdr:col>1</xdr:col>
      <xdr:colOff>899</xdr:colOff>
      <xdr:row>717</xdr:row>
      <xdr:rowOff>84720</xdr:rowOff>
    </xdr:from>
    <xdr:to>
      <xdr:col>13</xdr:col>
      <xdr:colOff>31827</xdr:colOff>
      <xdr:row>733</xdr:row>
      <xdr:rowOff>216198</xdr:rowOff>
    </xdr:to>
    <xdr:sp macro="" textlink="">
      <xdr:nvSpPr>
        <xdr:cNvPr id="620" name="TextBox 619">
          <a:extLst>
            <a:ext uri="{FF2B5EF4-FFF2-40B4-BE49-F238E27FC236}">
              <a16:creationId xmlns:a16="http://schemas.microsoft.com/office/drawing/2014/main" id="{00000000-0008-0000-0000-00006C020000}"/>
            </a:ext>
          </a:extLst>
        </xdr:cNvPr>
        <xdr:cNvSpPr txBox="1"/>
      </xdr:nvSpPr>
      <xdr:spPr>
        <a:xfrm>
          <a:off x="115199" y="169934520"/>
          <a:ext cx="6065968" cy="4154838"/>
        </a:xfrm>
        <a:prstGeom prst="rect">
          <a:avLst/>
        </a:prstGeom>
        <a:solidFill>
          <a:srgbClr val="D2FFE6"/>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spc="-10" baseline="0">
              <a:solidFill>
                <a:schemeClr val="dk1"/>
              </a:solidFill>
              <a:latin typeface="Cambria" panose="02040503050406030204" pitchFamily="18" charset="0"/>
              <a:ea typeface="Cambria" panose="02040503050406030204" pitchFamily="18" charset="0"/>
              <a:cs typeface="+mn-cs"/>
            </a:rPr>
            <a:t>Your supporters are lined up. You have listed the Impactors who could effect change. You have </a:t>
          </a:r>
          <a:r>
            <a:rPr lang="en-US" sz="1200" baseline="0">
              <a:solidFill>
                <a:schemeClr val="dk1"/>
              </a:solidFill>
              <a:latin typeface="Cambria" panose="02040503050406030204" pitchFamily="18" charset="0"/>
              <a:ea typeface="Cambria" panose="02040503050406030204" pitchFamily="18" charset="0"/>
              <a:cs typeface="+mn-cs"/>
            </a:rPr>
            <a:t>publicy announced your commitment to mutually resolve needs affected by the politicized issue. You are eager yet understandably nervous about speaking truth to political power.</a:t>
          </a:r>
          <a:endParaRPr lang="en-US" sz="1600" b="1" baseline="0">
            <a:latin typeface="Tahoma" panose="020B0604030504040204" pitchFamily="34" charset="0"/>
            <a:ea typeface="Tahoma" panose="020B0604030504040204" pitchFamily="34" charset="0"/>
            <a:cs typeface="Tahoma" panose="020B0604030504040204" pitchFamily="34" charset="0"/>
          </a:endParaRPr>
        </a:p>
        <a:p>
          <a:pPr>
            <a:spcBef>
              <a:spcPts val="1200"/>
            </a:spcBef>
          </a:pPr>
          <a:r>
            <a:rPr lang="en-US" sz="1600" b="1" baseline="0">
              <a:latin typeface="Tahoma" panose="020B0604030504040204" pitchFamily="34" charset="0"/>
              <a:ea typeface="Tahoma" panose="020B0604030504040204" pitchFamily="34" charset="0"/>
              <a:cs typeface="Tahoma" panose="020B0604030504040204" pitchFamily="34" charset="0"/>
            </a:rPr>
            <a:t>Finding your voice</a:t>
          </a:r>
        </a:p>
        <a:p>
          <a:pPr>
            <a:spcAft>
              <a:spcPts val="900"/>
            </a:spcAft>
          </a:pPr>
          <a:r>
            <a:rPr lang="en-US" sz="1200" baseline="0">
              <a:latin typeface="Cambria" panose="02040503050406030204" pitchFamily="18" charset="0"/>
              <a:ea typeface="Cambria" panose="02040503050406030204" pitchFamily="18" charset="0"/>
            </a:rPr>
            <a:t>We nurture you to </a:t>
          </a:r>
          <a:r>
            <a:rPr lang="en-US" sz="1200" baseline="0">
              <a:ln>
                <a:solidFill>
                  <a:srgbClr val="780091"/>
                </a:solidFill>
              </a:ln>
              <a:latin typeface="Cambria" panose="02040503050406030204" pitchFamily="18" charset="0"/>
              <a:ea typeface="Cambria" panose="02040503050406030204" pitchFamily="18" charset="0"/>
            </a:rPr>
            <a:t>speak truth to power</a:t>
          </a:r>
          <a:r>
            <a:rPr lang="en-US" sz="1200" baseline="0">
              <a:latin typeface="Cambria" panose="02040503050406030204" pitchFamily="18" charset="0"/>
              <a:ea typeface="Cambria" panose="02040503050406030204" pitchFamily="18" charset="0"/>
            </a:rPr>
            <a:t> from the start. You begin by speaking boldy to your </a:t>
          </a:r>
          <a:r>
            <a:rPr lang="en-US" sz="1200" b="1" baseline="0">
              <a:latin typeface="Cambria" panose="02040503050406030204" pitchFamily="18" charset="0"/>
              <a:ea typeface="Cambria" panose="02040503050406030204" pitchFamily="18" charset="0"/>
            </a:rPr>
            <a:t>guide</a:t>
          </a:r>
          <a:r>
            <a:rPr lang="en-US" sz="1200" baseline="0">
              <a:latin typeface="Cambria" panose="02040503050406030204" pitchFamily="18" charset="0"/>
              <a:ea typeface="Cambria" panose="02040503050406030204" pitchFamily="18" charset="0"/>
            </a:rPr>
            <a:t> and to your </a:t>
          </a:r>
          <a:r>
            <a:rPr lang="en-US" sz="1200" b="1" baseline="0">
              <a:latin typeface="Cambria" panose="02040503050406030204" pitchFamily="18" charset="0"/>
              <a:ea typeface="Cambria" panose="02040503050406030204" pitchFamily="18" charset="0"/>
            </a:rPr>
            <a:t>advocate</a:t>
          </a:r>
          <a:r>
            <a:rPr lang="en-US" sz="1200" baseline="0">
              <a:latin typeface="Cambria" panose="02040503050406030204" pitchFamily="18" charset="0"/>
              <a:ea typeface="Cambria" panose="02040503050406030204" pitchFamily="18" charset="0"/>
            </a:rPr>
            <a:t>. We put you through some exercises to build your courage, and to sharpen your tact. </a:t>
          </a:r>
        </a:p>
        <a:p>
          <a:pPr>
            <a:spcAft>
              <a:spcPts val="900"/>
            </a:spcAft>
          </a:pPr>
          <a:r>
            <a:rPr lang="en-US" sz="1200" baseline="0">
              <a:latin typeface="Cambria" panose="02040503050406030204" pitchFamily="18" charset="0"/>
              <a:ea typeface="Cambria" panose="02040503050406030204" pitchFamily="18" charset="0"/>
            </a:rPr>
            <a:t>Your reliance upon the guide and advocate puts them in positions of power over you. You also retain authority over them. This working triangle creates a microcosm of the larger world of power relations. As you practice speaking truth to power with them, you gain the confidence to address the politically powerful.</a:t>
          </a:r>
        </a:p>
        <a:p>
          <a:pPr>
            <a:spcAft>
              <a:spcPts val="0"/>
            </a:spcAft>
          </a:pPr>
          <a:r>
            <a:rPr lang="en-US" sz="1200" baseline="0">
              <a:latin typeface="Cambria" panose="02040503050406030204" pitchFamily="18" charset="0"/>
              <a:ea typeface="Cambria" panose="02040503050406030204" pitchFamily="18" charset="0"/>
            </a:rPr>
            <a:t>If both your guide and advocate agree on something you know is not right for you, you can </a:t>
          </a:r>
          <a:r>
            <a:rPr lang="en-US" sz="1200" spc="-10" baseline="0">
              <a:latin typeface="Cambria" panose="02040503050406030204" pitchFamily="18" charset="0"/>
              <a:ea typeface="Cambria" panose="02040503050406030204" pitchFamily="18" charset="0"/>
            </a:rPr>
            <a:t>appeal to your supporters. Their majority vote can veto this guide-advocate consensus. Unlike </a:t>
          </a:r>
          <a:r>
            <a:rPr lang="en-US" sz="1200" baseline="0">
              <a:latin typeface="Cambria" panose="02040503050406030204" pitchFamily="18" charset="0"/>
              <a:ea typeface="Cambria" panose="02040503050406030204" pitchFamily="18" charset="0"/>
            </a:rPr>
            <a:t>political elites, they remain directly accountable to you. They must produce results for you.</a:t>
          </a:r>
        </a:p>
        <a:p>
          <a:pPr>
            <a:spcBef>
              <a:spcPts val="1500"/>
            </a:spcBef>
          </a:pPr>
          <a:r>
            <a:rPr lang="en-US" sz="1400" b="1" baseline="0">
              <a:latin typeface="Tahoma" panose="020B0604030504040204" pitchFamily="34" charset="0"/>
              <a:ea typeface="Tahoma" panose="020B0604030504040204" pitchFamily="34" charset="0"/>
              <a:cs typeface="Tahoma" panose="020B0604030504040204" pitchFamily="34" charset="0"/>
            </a:rPr>
            <a:t>Your weekly progress update</a:t>
          </a:r>
        </a:p>
        <a:p>
          <a:pPr>
            <a:spcAft>
              <a:spcPts val="0"/>
            </a:spcAft>
          </a:pPr>
          <a:r>
            <a:rPr lang="en-US" sz="1200" baseline="0">
              <a:latin typeface="Cambria" panose="02040503050406030204" pitchFamily="18" charset="0"/>
              <a:ea typeface="Cambria" panose="02040503050406030204" pitchFamily="18" charset="0"/>
            </a:rPr>
            <a:t>At the end of each week, you draft a progress report. You utilize a template that simpliefies the process. Your guide and advocate give their inputs. Once satisfied with how it sounds, you press send to distribute it to all your supporters. Later, your cosponsors and patrons will have access to these. Your progress updates provides the history of your journey.</a:t>
          </a:r>
        </a:p>
        <a:p>
          <a:pPr>
            <a:spcBef>
              <a:spcPts val="1000"/>
            </a:spcBef>
            <a:spcAft>
              <a:spcPts val="0"/>
            </a:spcAft>
          </a:pP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Sample progress update</a:t>
          </a:r>
        </a:p>
      </xdr:txBody>
    </xdr:sp>
    <xdr:clientData/>
  </xdr:twoCellAnchor>
  <xdr:twoCellAnchor>
    <xdr:from>
      <xdr:col>14</xdr:col>
      <xdr:colOff>83833</xdr:colOff>
      <xdr:row>734</xdr:row>
      <xdr:rowOff>69993</xdr:rowOff>
    </xdr:from>
    <xdr:to>
      <xdr:col>27</xdr:col>
      <xdr:colOff>462</xdr:colOff>
      <xdr:row>745</xdr:row>
      <xdr:rowOff>91440</xdr:rowOff>
    </xdr:to>
    <xdr:sp macro="" textlink="">
      <xdr:nvSpPr>
        <xdr:cNvPr id="624" name="TextBox 623">
          <a:extLst>
            <a:ext uri="{FF2B5EF4-FFF2-40B4-BE49-F238E27FC236}">
              <a16:creationId xmlns:a16="http://schemas.microsoft.com/office/drawing/2014/main" id="{00000000-0008-0000-0000-000070020000}"/>
            </a:ext>
          </a:extLst>
        </xdr:cNvPr>
        <xdr:cNvSpPr txBox="1"/>
      </xdr:nvSpPr>
      <xdr:spPr>
        <a:xfrm>
          <a:off x="6347473" y="174194613"/>
          <a:ext cx="6065969" cy="2795127"/>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400" b="1" baseline="0">
              <a:latin typeface="Tahoma" panose="020B0604030504040204" pitchFamily="34" charset="0"/>
              <a:ea typeface="Tahoma" panose="020B0604030504040204" pitchFamily="34" charset="0"/>
              <a:cs typeface="Tahoma" panose="020B0604030504040204" pitchFamily="34" charset="0"/>
            </a:rPr>
            <a:t>Sample progress update</a:t>
          </a:r>
        </a:p>
        <a:p>
          <a:endParaRPr lang="en-US" sz="1200" baseline="0">
            <a:latin typeface="Cambria" panose="02040503050406030204" pitchFamily="18" charset="0"/>
            <a:ea typeface="Cambria" panose="02040503050406030204" pitchFamily="18" charset="0"/>
          </a:endParaRPr>
        </a:p>
        <a:p>
          <a:r>
            <a:rPr lang="en-US" sz="1200" baseline="0">
              <a:solidFill>
                <a:schemeClr val="dk1"/>
              </a:solidFill>
              <a:latin typeface="Cambria" panose="02040503050406030204" pitchFamily="18" charset="0"/>
              <a:ea typeface="Cambria" panose="02040503050406030204" pitchFamily="18" charset="0"/>
              <a:cs typeface="+mn-cs"/>
            </a:rPr>
            <a:t>This week, I received my first reply from one of the political leaders I contacted. It was encouraging. The more I speak truth to power, the more I find my addiction to [ADDICTION LIST] has less of a hold on me. My intense fear of [ANXIETY LIST] also subsides. Now that I feel more empowered over my life, I no longer suffer as much from [DEPRESSION SYMPTOMS LIST].</a:t>
          </a:r>
        </a:p>
        <a:p>
          <a:r>
            <a:rPr lang="en-US" sz="1200" baseline="0">
              <a:solidFill>
                <a:schemeClr val="dk1"/>
              </a:solidFill>
              <a:latin typeface="Cambria" panose="02040503050406030204" pitchFamily="18" charset="0"/>
              <a:ea typeface="Cambria" panose="02040503050406030204" pitchFamily="18" charset="0"/>
              <a:cs typeface="+mn-cs"/>
            </a:rPr>
            <a:t> </a:t>
          </a:r>
        </a:p>
        <a:p>
          <a:r>
            <a:rPr lang="en-US" sz="1200" baseline="0">
              <a:solidFill>
                <a:schemeClr val="dk1"/>
              </a:solidFill>
              <a:latin typeface="Cambria" panose="02040503050406030204" pitchFamily="18" charset="0"/>
              <a:ea typeface="Cambria" panose="02040503050406030204" pitchFamily="18" charset="0"/>
              <a:cs typeface="+mn-cs"/>
            </a:rPr>
            <a:t>As for anxiety, I started with a BAI score of 23. I am now down to 11. As for depression, I started with a BDI score of 26. I am now down to 12. As for hopelessness, I started with a BHI score of 19. I am now down to 8. I ascribe the bulk of such improvement to feeling empowered. I now have a better sense of my [EMPOWERMENT LIST]. I can rely less on political generalizing, to address each other’s specific [ISSUE] affected needs.</a:t>
          </a:r>
        </a:p>
      </xdr:txBody>
    </xdr:sp>
    <xdr:clientData/>
  </xdr:twoCellAnchor>
  <xdr:twoCellAnchor>
    <xdr:from>
      <xdr:col>1</xdr:col>
      <xdr:colOff>25998</xdr:colOff>
      <xdr:row>821</xdr:row>
      <xdr:rowOff>79936</xdr:rowOff>
    </xdr:from>
    <xdr:to>
      <xdr:col>12</xdr:col>
      <xdr:colOff>463177</xdr:colOff>
      <xdr:row>827</xdr:row>
      <xdr:rowOff>29883</xdr:rowOff>
    </xdr:to>
    <xdr:sp macro="" textlink="">
      <xdr:nvSpPr>
        <xdr:cNvPr id="639" name="TextBox 638">
          <a:extLst>
            <a:ext uri="{FF2B5EF4-FFF2-40B4-BE49-F238E27FC236}">
              <a16:creationId xmlns:a16="http://schemas.microsoft.com/office/drawing/2014/main" id="{00000000-0008-0000-0000-00007F020000}"/>
            </a:ext>
          </a:extLst>
        </xdr:cNvPr>
        <xdr:cNvSpPr txBox="1"/>
      </xdr:nvSpPr>
      <xdr:spPr>
        <a:xfrm>
          <a:off x="138057" y="196533995"/>
          <a:ext cx="5943002" cy="126477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2400" b="1" baseline="0">
              <a:ln>
                <a:solidFill>
                  <a:srgbClr val="CC00CC"/>
                </a:solidFill>
              </a:ln>
              <a:solidFill>
                <a:srgbClr val="780091"/>
              </a:solidFill>
              <a:effectLst>
                <a:innerShdw blurRad="63500" dist="50800" dir="162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The price of leadership just went up. Opportunity for leaders to positively impact others now soars far higher.</a:t>
          </a:r>
        </a:p>
      </xdr:txBody>
    </xdr:sp>
    <xdr:clientData/>
  </xdr:twoCellAnchor>
  <xdr:twoCellAnchor>
    <xdr:from>
      <xdr:col>15</xdr:col>
      <xdr:colOff>0</xdr:colOff>
      <xdr:row>784</xdr:row>
      <xdr:rowOff>0</xdr:rowOff>
    </xdr:from>
    <xdr:to>
      <xdr:col>27</xdr:col>
      <xdr:colOff>28687</xdr:colOff>
      <xdr:row>813</xdr:row>
      <xdr:rowOff>218141</xdr:rowOff>
    </xdr:to>
    <xdr:sp macro="" textlink="">
      <xdr:nvSpPr>
        <xdr:cNvPr id="642" name="TextBox 89">
          <a:extLst>
            <a:ext uri="{FF2B5EF4-FFF2-40B4-BE49-F238E27FC236}">
              <a16:creationId xmlns:a16="http://schemas.microsoft.com/office/drawing/2014/main" id="{00000000-0008-0000-0000-000082020000}"/>
            </a:ext>
          </a:extLst>
        </xdr:cNvPr>
        <xdr:cNvSpPr txBox="1"/>
      </xdr:nvSpPr>
      <xdr:spPr>
        <a:xfrm>
          <a:off x="6342529" y="187601412"/>
          <a:ext cx="6035040" cy="73152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0" marR="0">
            <a:spcBef>
              <a:spcPts val="0"/>
            </a:spcBef>
            <a:spcAft>
              <a:spcPts val="0"/>
            </a:spcAft>
          </a:pPr>
          <a:r>
            <a:rPr lang="en-US" sz="1100">
              <a:solidFill>
                <a:srgbClr val="CC00CC"/>
              </a:solidFill>
              <a:effectLst/>
              <a:latin typeface="Cambria" panose="02040503050406030204" pitchFamily="18" charset="0"/>
              <a:ea typeface="Cambria" panose="02040503050406030204" pitchFamily="18" charset="0"/>
              <a:cs typeface="Times New Roman" panose="02020603050405020304" pitchFamily="18" charset="0"/>
            </a:rPr>
            <a:t>Place yourself in the shoes of political actors: journalists who follow politics for their living, think tanks conducting political research, public servants answering to elected leaders, and to your elected leaders themselves. If you give them the opportunity to bring all sides of a political issue together in love, what do you think would be their likely response?</a:t>
          </a:r>
          <a:endParaRPr lang="en-US" sz="1100">
            <a:solidFill>
              <a:srgbClr val="CC00CC"/>
            </a:solidFill>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journalist</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public servant</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elected official</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[Disregard me as some nut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J</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Unlikely. But if so, pass on them. There are more fish in this sea.</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P</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may redirect you to some other government agency.</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risk political damage if they disregard you.</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[Ignore me as irrelevant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Life is busy. After three attempts, mark as unresponsive and move on.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could get lost in the bureaucratic shuffle. They again, and again.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don’t mention you’re in their voting district, they just might.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[Reply politely to try to shut me up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Unlikely. If not a subscriber, they may not respond. Give ‘em a reason.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may get a form letter response. Try again, then move 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are in their voting district, they will inevitably respond.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[Tell me they don’t handle such inquiries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Know their audience and pain points. Ask them what they need.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Then have them refer you to an agency or nonprofit that does.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may forward you to the proper agency, even if not really helpful.</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[Tell me they will have to get back to me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to their word. Tell them you will move on if not heard soon.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accountable. Follow up in a few days.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you’re in their voting district, you can count on a follow-up.</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[Be excited to be part of this game changing plan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Great! Keep in touch. Check if their enthusiasm has roots.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likely will mention all the restrictions they are under.</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nailed their pain points, they just might show some excitement.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[Get right back to me with investment in hand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Amazing! Put them at the top of your list. You’re onto something.</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Personally they might. If their institution let them act on their own.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Unlikely without plenty of effort from you and your team.</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The point here is to being responsive to their needs. Along the way, we assess their responsiveness to your impacted needs. We rate their legitimacy. We grab the power.</a:t>
          </a:r>
        </a:p>
      </xdr:txBody>
    </xdr:sp>
    <xdr:clientData/>
  </xdr:twoCellAnchor>
  <xdr:twoCellAnchor>
    <xdr:from>
      <xdr:col>39</xdr:col>
      <xdr:colOff>190500</xdr:colOff>
      <xdr:row>797</xdr:row>
      <xdr:rowOff>133350</xdr:rowOff>
    </xdr:from>
    <xdr:to>
      <xdr:col>49</xdr:col>
      <xdr:colOff>104551</xdr:colOff>
      <xdr:row>815</xdr:row>
      <xdr:rowOff>38735</xdr:rowOff>
    </xdr:to>
    <xdr:grpSp>
      <xdr:nvGrpSpPr>
        <xdr:cNvPr id="69" name="Group 68">
          <a:extLst>
            <a:ext uri="{FF2B5EF4-FFF2-40B4-BE49-F238E27FC236}">
              <a16:creationId xmlns:a16="http://schemas.microsoft.com/office/drawing/2014/main" id="{46472582-A001-4F32-95F1-AF320A0A6515}"/>
            </a:ext>
          </a:extLst>
        </xdr:cNvPr>
        <xdr:cNvGrpSpPr/>
      </xdr:nvGrpSpPr>
      <xdr:grpSpPr>
        <a:xfrm>
          <a:off x="9425940" y="189635130"/>
          <a:ext cx="0" cy="4111625"/>
          <a:chOff x="25869900" y="184194450"/>
          <a:chExt cx="6010051" cy="4039235"/>
        </a:xfrm>
      </xdr:grpSpPr>
      <xdr:sp macro="" textlink="">
        <xdr:nvSpPr>
          <xdr:cNvPr id="655" name="TextBox 89">
            <a:extLst>
              <a:ext uri="{FF2B5EF4-FFF2-40B4-BE49-F238E27FC236}">
                <a16:creationId xmlns:a16="http://schemas.microsoft.com/office/drawing/2014/main" id="{00000000-0008-0000-0000-00008F020000}"/>
              </a:ext>
            </a:extLst>
          </xdr:cNvPr>
          <xdr:cNvSpPr txBox="1"/>
        </xdr:nvSpPr>
        <xdr:spPr>
          <a:xfrm>
            <a:off x="25871805" y="184194450"/>
            <a:ext cx="6008146" cy="133985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J</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Unlikely. But if so, pass on them. There are more fish in this sea.</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Life is busy. After three attempts, mark as unresponsive and move on.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Unlikely. If not a subscriber, they may not respond. Give ‘em a reason.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Know their audience and pain points. Ask them what they need.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to their word. Tell them you will move on if not heard soon.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Great! Keep in touch. Check if their enthusiasm has roots.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Amazing! Put them at the top of your list. You’re onto something.</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 </a:t>
            </a:r>
          </a:p>
        </xdr:txBody>
      </xdr:sp>
      <xdr:sp macro="" textlink="">
        <xdr:nvSpPr>
          <xdr:cNvPr id="661" name="TextBox 89">
            <a:extLst>
              <a:ext uri="{FF2B5EF4-FFF2-40B4-BE49-F238E27FC236}">
                <a16:creationId xmlns:a16="http://schemas.microsoft.com/office/drawing/2014/main" id="{00000000-0008-0000-0000-000095020000}"/>
              </a:ext>
            </a:extLst>
          </xdr:cNvPr>
          <xdr:cNvSpPr txBox="1"/>
        </xdr:nvSpPr>
        <xdr:spPr>
          <a:xfrm>
            <a:off x="25871170" y="185534300"/>
            <a:ext cx="6008146" cy="136779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P</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may redirect you to some other government agency.</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could get lost in the bureaucratic shuffle. They again, and again.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may get a form letter response. Try again, then move 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Then have them refer you to an agency or nonprofit that does.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accountable. Follow up in a few days.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likely will mention all the restrictions they are under.</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Personally they might. If their institution let them act on their own.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 </a:t>
            </a:r>
          </a:p>
        </xdr:txBody>
      </xdr:sp>
      <xdr:sp macro="" textlink="">
        <xdr:nvSpPr>
          <xdr:cNvPr id="662" name="TextBox 89">
            <a:extLst>
              <a:ext uri="{FF2B5EF4-FFF2-40B4-BE49-F238E27FC236}">
                <a16:creationId xmlns:a16="http://schemas.microsoft.com/office/drawing/2014/main" id="{00000000-0008-0000-0000-000096020000}"/>
              </a:ext>
            </a:extLst>
          </xdr:cNvPr>
          <xdr:cNvSpPr txBox="1"/>
        </xdr:nvSpPr>
        <xdr:spPr>
          <a:xfrm>
            <a:off x="25869900" y="186900185"/>
            <a:ext cx="6008146" cy="13335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risk political damage if they disregard you.</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don’t mention you’re in their voting district, they just might.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are in their voting district, they will inevitably respond.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may forward you to the proper agency, even if not really helpful.</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you’re in their voting district, you can count on a follow-up.</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nailed their pain points, they just might show some excitement.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Unlikely without plenty of effort from you and your team.</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 </a:t>
            </a:r>
          </a:p>
        </xdr:txBody>
      </xdr:sp>
    </xdr:grpSp>
    <xdr:clientData/>
  </xdr:twoCellAnchor>
  <xdr:twoCellAnchor>
    <xdr:from>
      <xdr:col>14</xdr:col>
      <xdr:colOff>75901</xdr:colOff>
      <xdr:row>831</xdr:row>
      <xdr:rowOff>55882</xdr:rowOff>
    </xdr:from>
    <xdr:to>
      <xdr:col>26</xdr:col>
      <xdr:colOff>493059</xdr:colOff>
      <xdr:row>833</xdr:row>
      <xdr:rowOff>233682</xdr:rowOff>
    </xdr:to>
    <xdr:sp macro="" textlink="">
      <xdr:nvSpPr>
        <xdr:cNvPr id="667" name="TextBox 666">
          <a:extLst>
            <a:ext uri="{FF2B5EF4-FFF2-40B4-BE49-F238E27FC236}">
              <a16:creationId xmlns:a16="http://schemas.microsoft.com/office/drawing/2014/main" id="{00000000-0008-0000-0000-00009B020000}"/>
            </a:ext>
          </a:extLst>
        </xdr:cNvPr>
        <xdr:cNvSpPr txBox="1"/>
      </xdr:nvSpPr>
      <xdr:spPr>
        <a:xfrm>
          <a:off x="6306372" y="198840764"/>
          <a:ext cx="6035040" cy="6858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050" baseline="0">
              <a:latin typeface="Cambria" panose="02040503050406030204" pitchFamily="18" charset="0"/>
              <a:ea typeface="Cambria" panose="02040503050406030204" pitchFamily="18" charset="0"/>
            </a:rPr>
            <a:t>You typically opt for avoidance unconsciously. This process illuminates those options, to compel Impactors to realize the consequences of their coercive influence.</a:t>
          </a:r>
        </a:p>
        <a:p>
          <a:r>
            <a:rPr lang="en-US" sz="1050" baseline="0">
              <a:latin typeface="Cambria" panose="02040503050406030204" pitchFamily="18" charset="0"/>
              <a:ea typeface="Cambria" panose="02040503050406030204" pitchFamily="18" charset="0"/>
            </a:rPr>
            <a:t>If you continue to [AVOIDANT OPTION], you will find it next to impossible to resolve needs. By speaking truth to power, you break the spell of such avoidance. </a:t>
          </a:r>
        </a:p>
      </xdr:txBody>
    </xdr:sp>
    <xdr:clientData/>
  </xdr:twoCellAnchor>
  <xdr:twoCellAnchor>
    <xdr:from>
      <xdr:col>14</xdr:col>
      <xdr:colOff>75901</xdr:colOff>
      <xdr:row>835</xdr:row>
      <xdr:rowOff>40941</xdr:rowOff>
    </xdr:from>
    <xdr:to>
      <xdr:col>26</xdr:col>
      <xdr:colOff>493059</xdr:colOff>
      <xdr:row>837</xdr:row>
      <xdr:rowOff>218741</xdr:rowOff>
    </xdr:to>
    <xdr:sp macro="" textlink="">
      <xdr:nvSpPr>
        <xdr:cNvPr id="673" name="TextBox 672">
          <a:extLst>
            <a:ext uri="{FF2B5EF4-FFF2-40B4-BE49-F238E27FC236}">
              <a16:creationId xmlns:a16="http://schemas.microsoft.com/office/drawing/2014/main" id="{00000000-0008-0000-0000-0000A1020000}"/>
            </a:ext>
          </a:extLst>
        </xdr:cNvPr>
        <xdr:cNvSpPr txBox="1"/>
      </xdr:nvSpPr>
      <xdr:spPr>
        <a:xfrm>
          <a:off x="6306372" y="199841823"/>
          <a:ext cx="6035040" cy="6858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050" baseline="0">
              <a:latin typeface="Cambria" panose="02040503050406030204" pitchFamily="18" charset="0"/>
              <a:ea typeface="Cambria" panose="02040503050406030204" pitchFamily="18" charset="0"/>
            </a:rPr>
            <a:t>Your adversarial options likely erupt when you must stop the mounting pain. These can give you leverage. Impactors will likely prefer any conciliatory options you can offer.</a:t>
          </a:r>
        </a:p>
        <a:p>
          <a:r>
            <a:rPr lang="en-US" sz="1050" baseline="0">
              <a:latin typeface="Cambria" panose="02040503050406030204" pitchFamily="18" charset="0"/>
              <a:ea typeface="Cambria" panose="02040503050406030204" pitchFamily="18" charset="0"/>
            </a:rPr>
            <a:t>If you let yourself [ADVERSARIAL OPTION] to ease the pain, you risk damaging your chance to resolve your power impacted needs By engaging with power, you can remove that pain. </a:t>
          </a:r>
        </a:p>
      </xdr:txBody>
    </xdr:sp>
    <xdr:clientData/>
  </xdr:twoCellAnchor>
  <xdr:twoCellAnchor>
    <xdr:from>
      <xdr:col>14</xdr:col>
      <xdr:colOff>75901</xdr:colOff>
      <xdr:row>839</xdr:row>
      <xdr:rowOff>33470</xdr:rowOff>
    </xdr:from>
    <xdr:to>
      <xdr:col>26</xdr:col>
      <xdr:colOff>493059</xdr:colOff>
      <xdr:row>841</xdr:row>
      <xdr:rowOff>211270</xdr:rowOff>
    </xdr:to>
    <xdr:sp macro="" textlink="">
      <xdr:nvSpPr>
        <xdr:cNvPr id="681" name="TextBox 680">
          <a:extLst>
            <a:ext uri="{FF2B5EF4-FFF2-40B4-BE49-F238E27FC236}">
              <a16:creationId xmlns:a16="http://schemas.microsoft.com/office/drawing/2014/main" id="{00000000-0008-0000-0000-0000A9020000}"/>
            </a:ext>
          </a:extLst>
        </xdr:cNvPr>
        <xdr:cNvSpPr txBox="1"/>
      </xdr:nvSpPr>
      <xdr:spPr>
        <a:xfrm>
          <a:off x="6306372" y="200850352"/>
          <a:ext cx="6035040" cy="6858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050" baseline="0">
              <a:latin typeface="Cambria" panose="02040503050406030204" pitchFamily="18" charset="0"/>
              <a:ea typeface="Cambria" panose="02040503050406030204" pitchFamily="18" charset="0"/>
            </a:rPr>
            <a:t>You leverge your conciliatory options as preferable to your avoidant and adversrial options. You both agree to address each </a:t>
          </a:r>
          <a:r>
            <a:rPr lang="en-US" sz="1050" baseline="0">
              <a:solidFill>
                <a:schemeClr val="dk1"/>
              </a:solidFill>
              <a:latin typeface="Cambria" panose="02040503050406030204" pitchFamily="18" charset="0"/>
              <a:ea typeface="Cambria" panose="02040503050406030204" pitchFamily="18" charset="0"/>
              <a:cs typeface="+mn-cs"/>
            </a:rPr>
            <a:t>other's affected needs for each to get beyond the pain.</a:t>
          </a:r>
        </a:p>
        <a:p>
          <a:r>
            <a:rPr lang="en-US" sz="1050" baseline="0">
              <a:solidFill>
                <a:schemeClr val="dk1"/>
              </a:solidFill>
              <a:latin typeface="Cambria" panose="02040503050406030204" pitchFamily="18" charset="0"/>
              <a:ea typeface="Cambria" panose="02040503050406030204" pitchFamily="18" charset="0"/>
              <a:cs typeface="+mn-cs"/>
            </a:rPr>
            <a:t>Power isn't really power unless it resolves needs. Otherwise it's just coercive force.  The more you both [CONCILIATORY OPTION], the closer you can reach your goal</a:t>
          </a:r>
          <a:r>
            <a:rPr lang="en-US" sz="1050" baseline="0">
              <a:latin typeface="Cambria" panose="02040503050406030204" pitchFamily="18" charset="0"/>
              <a:ea typeface="Cambria" panose="02040503050406030204" pitchFamily="18" charset="0"/>
            </a:rPr>
            <a:t>.</a:t>
          </a:r>
        </a:p>
      </xdr:txBody>
    </xdr:sp>
    <xdr:clientData/>
  </xdr:twoCellAnchor>
  <xdr:twoCellAnchor>
    <xdr:from>
      <xdr:col>0</xdr:col>
      <xdr:colOff>97117</xdr:colOff>
      <xdr:row>842</xdr:row>
      <xdr:rowOff>119529</xdr:rowOff>
    </xdr:from>
    <xdr:to>
      <xdr:col>13</xdr:col>
      <xdr:colOff>35970</xdr:colOff>
      <xdr:row>851</xdr:row>
      <xdr:rowOff>156359</xdr:rowOff>
    </xdr:to>
    <xdr:grpSp>
      <xdr:nvGrpSpPr>
        <xdr:cNvPr id="686" name="traffic light levels">
          <a:extLst>
            <a:ext uri="{FF2B5EF4-FFF2-40B4-BE49-F238E27FC236}">
              <a16:creationId xmlns:a16="http://schemas.microsoft.com/office/drawing/2014/main" id="{00000000-0008-0000-0000-0000AE020000}"/>
            </a:ext>
          </a:extLst>
        </xdr:cNvPr>
        <xdr:cNvGrpSpPr/>
      </xdr:nvGrpSpPr>
      <xdr:grpSpPr>
        <a:xfrm>
          <a:off x="97117" y="200464569"/>
          <a:ext cx="6088193" cy="2299970"/>
          <a:chOff x="0" y="0"/>
          <a:chExt cx="6086798" cy="2765832"/>
        </a:xfrm>
      </xdr:grpSpPr>
      <xdr:sp macro="" textlink="">
        <xdr:nvSpPr>
          <xdr:cNvPr id="690" name="Value Relating">
            <a:extLst>
              <a:ext uri="{FF2B5EF4-FFF2-40B4-BE49-F238E27FC236}">
                <a16:creationId xmlns:a16="http://schemas.microsoft.com/office/drawing/2014/main" id="{00000000-0008-0000-0000-0000B2020000}"/>
              </a:ext>
            </a:extLst>
          </xdr:cNvPr>
          <xdr:cNvSpPr txBox="1"/>
        </xdr:nvSpPr>
        <xdr:spPr>
          <a:xfrm>
            <a:off x="626602" y="99072"/>
            <a:ext cx="5460196" cy="26667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lIns="0" rIns="0" bIns="73152" rtlCol="0" anchor="b" anchorCtr="1"/>
          <a:lstStyle/>
          <a:p>
            <a:pPr marL="457200" marR="0" algn="ctr">
              <a:lnSpc>
                <a:spcPts val="1200"/>
              </a:lnSpc>
              <a:spcBef>
                <a:spcPts val="0"/>
              </a:spcBef>
              <a:spcAft>
                <a:spcPts val="800"/>
              </a:spcAft>
            </a:pPr>
            <a:r>
              <a:rPr lang="en-US" sz="1100" b="1">
                <a:solidFill>
                  <a:srgbClr val="00B050"/>
                </a:solidFill>
                <a:effectLst>
                  <a:outerShdw blurRad="114300" sx="0" sy="0">
                    <a:srgbClr val="000000"/>
                  </a:outerShdw>
                </a:effectLst>
                <a:latin typeface="Arial Black" panose="020B0A04020102020204" pitchFamily="34" charset="0"/>
                <a:ea typeface="Tahoma" panose="020B0604030504040204" pitchFamily="34" charset="0"/>
                <a:cs typeface="Tahoma" panose="020B0604030504040204" pitchFamily="34" charset="0"/>
              </a:rPr>
              <a:t>Value</a:t>
            </a:r>
            <a:r>
              <a:rPr lang="en-US" sz="1100" b="1">
                <a:solidFill>
                  <a:srgbClr val="000000"/>
                </a:solidFill>
                <a:effectLst>
                  <a:outerShdw blurRad="114300" sx="0" sy="0">
                    <a:srgbClr val="000000"/>
                  </a:outerShdw>
                </a:effectLst>
                <a:latin typeface="Arial Black" panose="020B0A04020102020204" pitchFamily="34" charset="0"/>
                <a:ea typeface="Tahoma" panose="020B0604030504040204" pitchFamily="34" charset="0"/>
                <a:cs typeface="Tahoma" panose="020B0604030504040204" pitchFamily="34" charset="0"/>
              </a:rPr>
              <a:t> </a:t>
            </a:r>
            <a:r>
              <a:rPr lang="en-US" sz="1100" b="1">
                <a:solidFill>
                  <a:srgbClr val="7030A0"/>
                </a:solidFill>
                <a:effectLst>
                  <a:outerShdw blurRad="114300" sx="0" sy="0">
                    <a:srgbClr val="000000"/>
                  </a:outerShdw>
                </a:effectLst>
                <a:latin typeface="Arial Black" panose="020B0A04020102020204" pitchFamily="34" charset="0"/>
                <a:ea typeface="Tahoma" panose="020B0604030504040204" pitchFamily="34" charset="0"/>
                <a:cs typeface="Tahoma" panose="020B0604030504040204" pitchFamily="34" charset="0"/>
              </a:rPr>
              <a:t>Relating </a:t>
            </a:r>
            <a:r>
              <a:rPr lang="en-US" sz="1000" b="1">
                <a:solidFill>
                  <a:srgbClr val="595959"/>
                </a:solidFill>
                <a:effectLst/>
                <a:latin typeface="Tahoma" panose="020B0604030504040204" pitchFamily="34" charset="0"/>
                <a:ea typeface="Tahoma" panose="020B0604030504040204" pitchFamily="34" charset="0"/>
                <a:cs typeface="Times New Roman" panose="02020603050405020304" pitchFamily="18" charset="0"/>
              </a:rPr>
              <a:t>is currently the only provider of this service.</a:t>
            </a:r>
            <a:endParaRPr lang="en-US" sz="1100">
              <a:effectLst/>
              <a:ea typeface="Calibri" panose="020F0502020204030204" pitchFamily="34" charset="0"/>
              <a:cs typeface="Times New Roman" panose="02020603050405020304" pitchFamily="18" charset="0"/>
            </a:endParaRPr>
          </a:p>
        </xdr:txBody>
      </xdr:sp>
      <xdr:sp macro="" textlink="">
        <xdr:nvSpPr>
          <xdr:cNvPr id="691" name="Recover...">
            <a:extLst>
              <a:ext uri="{FF2B5EF4-FFF2-40B4-BE49-F238E27FC236}">
                <a16:creationId xmlns:a16="http://schemas.microsoft.com/office/drawing/2014/main" id="{00000000-0008-0000-0000-0000B3020000}"/>
              </a:ext>
            </a:extLst>
          </xdr:cNvPr>
          <xdr:cNvSpPr txBox="1"/>
        </xdr:nvSpPr>
        <xdr:spPr>
          <a:xfrm>
            <a:off x="1293818" y="106683"/>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wrap="square" tIns="18288" bIns="0" rtlCol="0" anchor="t"/>
          <a:lstStyle/>
          <a:p>
            <a:pPr marL="114300" marR="0">
              <a:lnSpc>
                <a:spcPct val="107000"/>
              </a:lnSpc>
              <a:spcBef>
                <a:spcPts val="0"/>
              </a:spcBef>
              <a:spcAft>
                <a:spcPts val="200"/>
              </a:spcAft>
            </a:pPr>
            <a:r>
              <a:rPr lang="en-US" sz="11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Recover stage</a:t>
            </a:r>
            <a:endParaRPr lang="en-US" sz="1100">
              <a:effectLst/>
              <a:ea typeface="Calibri" panose="020F0502020204030204" pitchFamily="34" charset="0"/>
              <a:cs typeface="Times New Roman" panose="02020603050405020304" pitchFamily="18" charset="0"/>
            </a:endParaRPr>
          </a:p>
          <a:p>
            <a:pPr marL="114300" marR="0">
              <a:lnSpc>
                <a:spcPts val="1000"/>
              </a:lnSpc>
              <a:spcBef>
                <a:spcPts val="0"/>
              </a:spcBef>
              <a:spcAft>
                <a:spcPts val="800"/>
              </a:spcAft>
            </a:pPr>
            <a:r>
              <a:rPr lang="en-US" sz="1000" b="1">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First, Harmony Politics stops damage over political differences</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You set yourself apart from contentious partisans when you connect more deeply with each other’s affected needs. You go deeper to the underlying needs. You position yourself in high demand.</a:t>
            </a:r>
            <a:endParaRPr lang="en-US" sz="1100">
              <a:effectLst/>
              <a:ea typeface="Calibri" panose="020F0502020204030204" pitchFamily="34" charset="0"/>
              <a:cs typeface="Times New Roman" panose="02020603050405020304" pitchFamily="18" charset="0"/>
            </a:endParaRPr>
          </a:p>
        </xdr:txBody>
      </xdr:sp>
      <xdr:sp macro="" textlink="">
        <xdr:nvSpPr>
          <xdr:cNvPr id="700" name="Sustain...">
            <a:extLst>
              <a:ext uri="{FF2B5EF4-FFF2-40B4-BE49-F238E27FC236}">
                <a16:creationId xmlns:a16="http://schemas.microsoft.com/office/drawing/2014/main" id="{00000000-0008-0000-0000-0000BC020000}"/>
              </a:ext>
            </a:extLst>
          </xdr:cNvPr>
          <xdr:cNvSpPr txBox="1"/>
        </xdr:nvSpPr>
        <xdr:spPr>
          <a:xfrm>
            <a:off x="1293818" y="853443"/>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wrap="square" tIns="18288" bIns="0" rtlCol="0" anchor="t"/>
          <a:lstStyle/>
          <a:p>
            <a:pPr marL="114300" marR="0">
              <a:lnSpc>
                <a:spcPct val="107000"/>
              </a:lnSpc>
              <a:spcBef>
                <a:spcPts val="0"/>
              </a:spcBef>
              <a:spcAft>
                <a:spcPts val="200"/>
              </a:spcAft>
            </a:pPr>
            <a:r>
              <a:rPr lang="en-US" sz="11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Sustain stage</a:t>
            </a:r>
            <a:endParaRPr lang="en-US" sz="1100">
              <a:effectLst/>
              <a:ea typeface="Calibri" panose="020F0502020204030204" pitchFamily="34" charset="0"/>
              <a:cs typeface="Times New Roman" panose="02020603050405020304" pitchFamily="18" charset="0"/>
            </a:endParaRPr>
          </a:p>
          <a:p>
            <a:pPr marL="114300" marR="0">
              <a:lnSpc>
                <a:spcPts val="1000"/>
              </a:lnSpc>
              <a:spcBef>
                <a:spcPts val="0"/>
              </a:spcBef>
              <a:spcAft>
                <a:spcPts val="800"/>
              </a:spcAft>
            </a:pPr>
            <a:r>
              <a:rPr lang="en-US" sz="1000" b="1">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Second, Harmony Politics slows damage between opposing sides</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You stand out as bridge </a:t>
            </a:r>
            <a:r>
              <a:rPr lang="en-US" sz="1000" spc="-1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builder between political sides. You have a team to grow into a enduring entity for spreading this love</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We need a healing unifier like you. How much must that be worth?</a:t>
            </a:r>
            <a:endParaRPr lang="en-US" sz="1100">
              <a:effectLst/>
              <a:ea typeface="Calibri" panose="020F0502020204030204" pitchFamily="34" charset="0"/>
              <a:cs typeface="Times New Roman" panose="02020603050405020304" pitchFamily="18" charset="0"/>
            </a:endParaRPr>
          </a:p>
        </xdr:txBody>
      </xdr:sp>
      <xdr:sp macro="" textlink="">
        <xdr:nvSpPr>
          <xdr:cNvPr id="702" name="Thrive...">
            <a:extLst>
              <a:ext uri="{FF2B5EF4-FFF2-40B4-BE49-F238E27FC236}">
                <a16:creationId xmlns:a16="http://schemas.microsoft.com/office/drawing/2014/main" id="{00000000-0008-0000-0000-0000BE020000}"/>
              </a:ext>
            </a:extLst>
          </xdr:cNvPr>
          <xdr:cNvSpPr txBox="1"/>
        </xdr:nvSpPr>
        <xdr:spPr>
          <a:xfrm>
            <a:off x="1293818" y="1600203"/>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wrap="square" tIns="18288" bIns="0" rtlCol="0" anchor="t"/>
          <a:lstStyle/>
          <a:p>
            <a:pPr marL="114300" marR="0">
              <a:lnSpc>
                <a:spcPct val="107000"/>
              </a:lnSpc>
              <a:spcBef>
                <a:spcPts val="0"/>
              </a:spcBef>
              <a:spcAft>
                <a:spcPts val="200"/>
              </a:spcAft>
            </a:pPr>
            <a:r>
              <a:rPr lang="en-US" sz="11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Thrive stage</a:t>
            </a:r>
            <a:endParaRPr lang="en-US" sz="1100">
              <a:effectLst/>
              <a:ea typeface="Calibri" panose="020F0502020204030204" pitchFamily="34" charset="0"/>
              <a:cs typeface="Times New Roman" panose="02020603050405020304" pitchFamily="18" charset="0"/>
            </a:endParaRPr>
          </a:p>
          <a:p>
            <a:pPr marL="114300" marR="0">
              <a:lnSpc>
                <a:spcPts val="1000"/>
              </a:lnSpc>
              <a:spcBef>
                <a:spcPts val="0"/>
              </a:spcBef>
              <a:spcAft>
                <a:spcPts val="800"/>
              </a:spcAft>
            </a:pPr>
            <a:r>
              <a:rPr lang="en-US" sz="1000" b="1">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Lastly, Harmony Politics speeds up our untapped potential</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a:t>
            </a:r>
            <a:r>
              <a:rPr lang="en-US" sz="1000" spc="-1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You grow into a thriving force for</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spreading love. You establish routines for resolving affected needs on all sides to an issue. You position yourself as a go-to person to heal the land. How much is such love worth?</a:t>
            </a:r>
            <a:endParaRPr lang="en-US" sz="1100">
              <a:effectLst/>
              <a:ea typeface="Calibri" panose="020F0502020204030204" pitchFamily="34" charset="0"/>
              <a:cs typeface="Times New Roman" panose="02020603050405020304" pitchFamily="18" charset="0"/>
            </a:endParaRPr>
          </a:p>
        </xdr:txBody>
      </xdr:sp>
      <xdr:pic>
        <xdr:nvPicPr>
          <xdr:cNvPr id="707" name="traffic light pgn">
            <a:extLst>
              <a:ext uri="{FF2B5EF4-FFF2-40B4-BE49-F238E27FC236}">
                <a16:creationId xmlns:a16="http://schemas.microsoft.com/office/drawing/2014/main" id="{00000000-0008-0000-0000-0000C3020000}"/>
              </a:ext>
            </a:extLst>
          </xdr:cNvPr>
          <xdr:cNvPicPr>
            <a:picLocks noChangeAspect="1"/>
          </xdr:cNvPicPr>
        </xdr:nvPicPr>
        <xdr:blipFill rotWithShape="1">
          <a:blip xmlns:r="http://schemas.openxmlformats.org/officeDocument/2006/relationships" r:embed="rId6"/>
          <a:srcRect b="275"/>
          <a:stretch/>
        </xdr:blipFill>
        <xdr:spPr>
          <a:xfrm>
            <a:off x="0" y="0"/>
            <a:ext cx="1449327" cy="2758356"/>
          </a:xfrm>
          <a:prstGeom prst="rect">
            <a:avLst/>
          </a:prstGeom>
        </xdr:spPr>
      </xdr:pic>
    </xdr:grpSp>
    <xdr:clientData/>
  </xdr:twoCellAnchor>
  <xdr:twoCellAnchor>
    <xdr:from>
      <xdr:col>6</xdr:col>
      <xdr:colOff>171824</xdr:colOff>
      <xdr:row>898</xdr:row>
      <xdr:rowOff>254000</xdr:rowOff>
    </xdr:from>
    <xdr:to>
      <xdr:col>12</xdr:col>
      <xdr:colOff>277608</xdr:colOff>
      <xdr:row>907</xdr:row>
      <xdr:rowOff>22414</xdr:rowOff>
    </xdr:to>
    <xdr:grpSp>
      <xdr:nvGrpSpPr>
        <xdr:cNvPr id="68" name="praise sandwich">
          <a:extLst>
            <a:ext uri="{FF2B5EF4-FFF2-40B4-BE49-F238E27FC236}">
              <a16:creationId xmlns:a16="http://schemas.microsoft.com/office/drawing/2014/main" id="{00000000-0008-0000-0000-000044000000}"/>
            </a:ext>
          </a:extLst>
        </xdr:cNvPr>
        <xdr:cNvGrpSpPr/>
      </xdr:nvGrpSpPr>
      <xdr:grpSpPr>
        <a:xfrm>
          <a:off x="2800724" y="212996780"/>
          <a:ext cx="3123304" cy="1955354"/>
          <a:chOff x="3668060" y="213512399"/>
          <a:chExt cx="2423495" cy="1879003"/>
        </a:xfrm>
      </xdr:grpSpPr>
      <xdr:pic>
        <xdr:nvPicPr>
          <xdr:cNvPr id="773" name="3 fields">
            <a:extLst>
              <a:ext uri="{FF2B5EF4-FFF2-40B4-BE49-F238E27FC236}">
                <a16:creationId xmlns:a16="http://schemas.microsoft.com/office/drawing/2014/main" id="{00000000-0008-0000-0000-000005030000}"/>
              </a:ext>
            </a:extLst>
          </xdr:cNvPr>
          <xdr:cNvPicPr>
            <a:picLocks noChangeAspect="1"/>
          </xdr:cNvPicPr>
        </xdr:nvPicPr>
        <xdr:blipFill>
          <a:blip xmlns:r="http://schemas.openxmlformats.org/officeDocument/2006/relationships" r:embed="rId53"/>
          <a:stretch>
            <a:fillRect/>
          </a:stretch>
        </xdr:blipFill>
        <xdr:spPr>
          <a:xfrm>
            <a:off x="3685989" y="213512399"/>
            <a:ext cx="2405566" cy="1875119"/>
          </a:xfrm>
          <a:prstGeom prst="rect">
            <a:avLst/>
          </a:prstGeom>
        </xdr:spPr>
      </xdr:pic>
      <xdr:sp macro="" textlink="">
        <xdr:nvSpPr>
          <xdr:cNvPr id="780" name="translucent">
            <a:extLst>
              <a:ext uri="{FF2B5EF4-FFF2-40B4-BE49-F238E27FC236}">
                <a16:creationId xmlns:a16="http://schemas.microsoft.com/office/drawing/2014/main" id="{00000000-0008-0000-0000-00000C030000}"/>
              </a:ext>
            </a:extLst>
          </xdr:cNvPr>
          <xdr:cNvSpPr>
            <a:spLocks noChangeAspect="1"/>
          </xdr:cNvSpPr>
        </xdr:nvSpPr>
        <xdr:spPr>
          <a:xfrm>
            <a:off x="3668060" y="213516882"/>
            <a:ext cx="2418734" cy="1874520"/>
          </a:xfrm>
          <a:prstGeom prst="rect">
            <a:avLst/>
          </a:prstGeom>
          <a:blipFill dpi="0" rotWithShape="1">
            <a:blip xmlns:r="http://schemas.openxmlformats.org/officeDocument/2006/relationships" r:embed="rId54">
              <a:alphaModFix amt="25000"/>
            </a:blip>
            <a:srcRect/>
            <a:stretch>
              <a:fillRect/>
            </a:stretch>
          </a:bli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14</xdr:col>
      <xdr:colOff>102496</xdr:colOff>
      <xdr:row>426</xdr:row>
      <xdr:rowOff>182729</xdr:rowOff>
    </xdr:from>
    <xdr:to>
      <xdr:col>27</xdr:col>
      <xdr:colOff>18975</xdr:colOff>
      <xdr:row>459</xdr:row>
      <xdr:rowOff>79857</xdr:rowOff>
    </xdr:to>
    <xdr:sp macro="" textlink="">
      <xdr:nvSpPr>
        <xdr:cNvPr id="602" name="Rectangle 601">
          <a:extLst>
            <a:ext uri="{FF2B5EF4-FFF2-40B4-BE49-F238E27FC236}">
              <a16:creationId xmlns:a16="http://schemas.microsoft.com/office/drawing/2014/main" id="{00000000-0008-0000-0000-00005A020000}"/>
            </a:ext>
          </a:extLst>
        </xdr:cNvPr>
        <xdr:cNvSpPr/>
      </xdr:nvSpPr>
      <xdr:spPr>
        <a:xfrm>
          <a:off x="6366136" y="102633629"/>
          <a:ext cx="6065819" cy="7052308"/>
        </a:xfrm>
        <a:prstGeom prst="rect">
          <a:avLst/>
        </a:prstGeom>
        <a:solidFill>
          <a:srgbClr val="D2FFE6"/>
        </a:solidFill>
      </xdr:spPr>
      <xdr:txBody>
        <a:bodyPr wrap="square" lIns="0" tIns="0" rIns="0" bIns="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2000" b="1" cap="none" spc="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Q: How</a:t>
          </a: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 did politics turn so divisive? </a:t>
          </a:r>
        </a:p>
        <a:p>
          <a:pPr marL="0" marR="0" lvl="0" indent="0" algn="ctr" defTabSz="914400" eaLnBrk="1" fontAlgn="auto" latinLnBrk="0" hangingPunct="1">
            <a:lnSpc>
              <a:spcPct val="100000"/>
            </a:lnSpc>
            <a:spcBef>
              <a:spcPts val="0"/>
            </a:spcBef>
            <a:spcAft>
              <a:spcPts val="600"/>
            </a:spcAft>
            <a:buClrTx/>
            <a:buSzTx/>
            <a:buFontTx/>
            <a:buNone/>
            <a:tabLst/>
            <a:defRPr/>
          </a:pPr>
          <a:r>
            <a:rPr lang="en-US" sz="2000" b="1" cap="none" spc="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A: Because politics is a </a:t>
          </a:r>
          <a:r>
            <a:rPr lang="en-US" sz="2000" b="1" i="1" cap="none" spc="0">
              <a:ln w="12700" cmpd="sng">
                <a:solidFill>
                  <a:srgbClr val="CC00CC"/>
                </a:solidFill>
                <a:prstDash val="solid"/>
              </a:ln>
              <a:solidFill>
                <a:sysClr val="windowText" lastClr="000000"/>
              </a:solidFill>
              <a:effectLst/>
              <a:latin typeface="Tahoma" panose="020B0604030504040204" pitchFamily="34" charset="0"/>
              <a:ea typeface="Tahoma" panose="020B0604030504040204" pitchFamily="34" charset="0"/>
              <a:cs typeface="Tahoma" panose="020B0604030504040204" pitchFamily="34" charset="0"/>
            </a:rPr>
            <a:t>mass institution</a:t>
          </a:r>
          <a:r>
            <a:rPr lang="en-US" sz="2000" b="0" i="0" cap="none" spc="0">
              <a:ln w="12700" cmpd="sng">
                <a:solidFill>
                  <a:srgbClr val="CC00CC"/>
                </a:solidFill>
                <a:prstDash val="solid"/>
              </a:ln>
              <a:solidFill>
                <a:sysClr val="windowText" lastClr="000000"/>
              </a:solidFill>
              <a:effectLst/>
              <a:latin typeface="Tahoma" panose="020B0604030504040204" pitchFamily="34" charset="0"/>
              <a:ea typeface="Tahoma" panose="020B0604030504040204" pitchFamily="34" charset="0"/>
              <a:cs typeface="Tahoma" panose="020B0604030504040204" pitchFamily="34" charset="0"/>
            </a:rPr>
            <a:t>.</a:t>
          </a:r>
        </a:p>
        <a:p>
          <a:pPr algn="l"/>
          <a:r>
            <a:rPr lang="en-US" sz="1600" b="1" cap="none" spc="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 </a:t>
          </a:r>
          <a:r>
            <a:rPr lang="en-US" sz="1600" b="1" cap="none" spc="0">
              <a:ln w="12700" cmpd="sng">
                <a:noFill/>
                <a:prstDash val="solid"/>
              </a:ln>
              <a:solidFill>
                <a:srgbClr val="00823C"/>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mass institution </a:t>
          </a:r>
          <a:r>
            <a:rPr lang="en-US" sz="1600" b="1" cap="none" spc="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serves needs which individuals or</a:t>
          </a:r>
          <a:r>
            <a:rPr lang="en-US" sz="1600" b="1" cap="none" spc="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small </a:t>
          </a:r>
          <a:r>
            <a:rPr lang="en-US" sz="1600" b="1" cap="none" spc="-4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groups cannot address on their own. Politics organizes public </a:t>
          </a:r>
          <a:r>
            <a:rPr lang="en-US" sz="1600" b="1" cap="none" spc="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resources to address such needs on a national scale. Every politicized need require societal cooperation.</a:t>
          </a:r>
        </a:p>
        <a:p>
          <a:pPr algn="l"/>
          <a:endPar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While largely helpful, </a:t>
          </a:r>
          <a:r>
            <a:rPr lang="en-US" sz="1600" b="1" cap="none" spc="-30">
              <a:ln w="12700" cmpd="sng">
                <a:noFill/>
                <a:prstDash val="solid"/>
              </a:ln>
              <a:solidFill>
                <a:srgbClr val="00823C"/>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mass institutions</a:t>
          </a:r>
          <a:r>
            <a:rPr lang="en-US" sz="1600" b="1" cap="none" spc="-3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a:t>
          </a:r>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feature some defects</a:t>
          </a:r>
          <a:r>
            <a:rPr lang="en-US" sz="1600" b="1" cap="none" spc="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t>
          </a:r>
        </a:p>
        <a:p>
          <a:pPr marL="0" marR="0" lvl="0" indent="0" algn="l" defTabSz="914400" eaLnBrk="1" fontAlgn="auto" latinLnBrk="0" hangingPunct="1">
            <a:lnSpc>
              <a:spcPct val="100000"/>
            </a:lnSpc>
            <a:spcBef>
              <a:spcPts val="0"/>
            </a:spcBef>
            <a:spcAft>
              <a:spcPts val="0"/>
            </a:spcAft>
            <a:buClrTx/>
            <a:buSzTx/>
            <a:buFontTx/>
            <a:buNone/>
            <a:tabLst/>
            <a:defRPr/>
          </a:pPr>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1. MI's tend to rely on binary oppositions. It easily exaggerates your differences. Then pits you against others. </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2. MI's impose power relations. To address your need, you are pulled into </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3. don't know what they don't know</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4. general-over-specific</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5. relieve-over-resolve</a:t>
          </a:r>
          <a:endParaRPr lang="en-US" sz="1600" b="1" cap="none" spc="-3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algn="ctr"/>
          <a:endPar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Q: What can you do about divisive politics?</a:t>
          </a:r>
        </a:p>
        <a:p>
          <a:pPr algn="ctr">
            <a:spcAft>
              <a:spcPts val="600"/>
            </a:spcAft>
          </a:pP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A: Replace it with </a:t>
          </a:r>
          <a:r>
            <a:rPr lang="en-US" sz="2000" b="1" i="1" cap="none" spc="0">
              <a:ln w="12700" cmpd="sng">
                <a:solidFill>
                  <a:srgbClr val="CC00CC"/>
                </a:solidFill>
                <a:prstDash val="solid"/>
              </a:ln>
              <a:solidFill>
                <a:sysClr val="windowText" lastClr="000000"/>
              </a:solidFill>
              <a:effectLst/>
              <a:latin typeface="Tahoma" panose="020B0604030504040204" pitchFamily="34" charset="0"/>
              <a:ea typeface="Tahoma" panose="020B0604030504040204" pitchFamily="34" charset="0"/>
              <a:cs typeface="Tahoma" panose="020B0604030504040204" pitchFamily="34" charset="0"/>
            </a:rPr>
            <a:t>Harmony Politics</a:t>
          </a: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a:t>
          </a:r>
        </a:p>
        <a:p>
          <a:pPr algn="ct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After you discover this</a:t>
          </a: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path of love to resolve needs, </a:t>
          </a:r>
          <a:endPar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algn="ctr"/>
          <a:r>
            <a:rPr lang="en-US" sz="1600" b="1" cap="none" spc="0">
              <a:ln w="12700" cmpd="sng">
                <a:solidFill>
                  <a:srgbClr val="00823C"/>
                </a:solidFill>
                <a:prstDash val="solid"/>
              </a:ln>
              <a:solidFill>
                <a:srgbClr val="00B050"/>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Harmony</a:t>
          </a: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 </a:t>
          </a:r>
          <a:r>
            <a:rPr lang="en-US" sz="1600" b="1" cap="none" spc="0">
              <a:ln w="12700" cmpd="sng">
                <a:solidFill>
                  <a:srgbClr val="780091"/>
                </a:solidFill>
                <a:prstDash val="solid"/>
              </a:ln>
              <a:solidFill>
                <a:srgbClr val="7030A0"/>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Politics</a:t>
          </a: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 </a:t>
          </a: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invites</a:t>
          </a: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you on a journey to resolve your politicized needs.</a:t>
          </a:r>
        </a:p>
        <a:p>
          <a:pPr algn="ct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With or without the support of political leaders. </a:t>
          </a:r>
        </a:p>
        <a:p>
          <a:pPr algn="ct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You become the leader. </a:t>
          </a:r>
        </a:p>
        <a:p>
          <a:pPr algn="ct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Others see your need-resolving value and increasingly invest in your </a:t>
          </a:r>
          <a:r>
            <a:rPr lang="en-US" sz="1600" b="1" i="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cause</a:t>
          </a: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to mutually resolve the politicized need. Ready? Read on to learn more.</a:t>
          </a:r>
          <a:endPar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107869</xdr:colOff>
      <xdr:row>426</xdr:row>
      <xdr:rowOff>190058</xdr:rowOff>
    </xdr:from>
    <xdr:to>
      <xdr:col>13</xdr:col>
      <xdr:colOff>24497</xdr:colOff>
      <xdr:row>459</xdr:row>
      <xdr:rowOff>152400</xdr:rowOff>
    </xdr:to>
    <xdr:sp macro="" textlink="">
      <xdr:nvSpPr>
        <xdr:cNvPr id="617" name="Rectangle 616">
          <a:extLst>
            <a:ext uri="{FF2B5EF4-FFF2-40B4-BE49-F238E27FC236}">
              <a16:creationId xmlns:a16="http://schemas.microsoft.com/office/drawing/2014/main" id="{00000000-0008-0000-0000-000069020000}"/>
            </a:ext>
          </a:extLst>
        </xdr:cNvPr>
        <xdr:cNvSpPr/>
      </xdr:nvSpPr>
      <xdr:spPr>
        <a:xfrm>
          <a:off x="107869" y="102640958"/>
          <a:ext cx="6065968" cy="7117522"/>
        </a:xfrm>
        <a:prstGeom prst="rect">
          <a:avLst/>
        </a:prstGeom>
        <a:noFill/>
      </xdr:spPr>
      <xdr:txBody>
        <a:bodyPr wrap="square" lIns="0" tIns="0" rIns="0" bIns="0">
          <a:noAutofit/>
        </a:bodyPr>
        <a:lstStyle/>
        <a:p>
          <a:pPr marL="0" marR="0" algn="ctr">
            <a:lnSpc>
              <a:spcPct val="100000"/>
            </a:lnSpc>
            <a:spcBef>
              <a:spcPts val="600"/>
            </a:spcBef>
            <a:spcAft>
              <a:spcPts val="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Q</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How did politics turn so divisive? </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60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A</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Because politics is a </a:t>
          </a:r>
          <a:r>
            <a:rPr lang="en-US" sz="2000" b="1" i="1">
              <a:ln w="12700" cap="flat" cmpd="sng" algn="ctr">
                <a:noFill/>
                <a:prstDash val="solid"/>
                <a:round/>
              </a:ln>
              <a:solidFill>
                <a:srgbClr val="4B0064"/>
              </a:solidFill>
              <a:effectLst/>
              <a:latin typeface="Tahoma" panose="020B0604030504040204" pitchFamily="34" charset="0"/>
              <a:ea typeface="Tahoma" panose="020B0604030504040204" pitchFamily="34" charset="0"/>
              <a:cs typeface="Times New Roman" panose="02020603050405020304" pitchFamily="18" charset="0"/>
            </a:rPr>
            <a:t>mass institution</a:t>
          </a:r>
          <a:r>
            <a:rPr lang="en-US" sz="2000">
              <a:ln w="12700" cap="flat" cmpd="sng" algn="ctr">
                <a:noFill/>
                <a:prstDash val="solid"/>
                <a:round/>
              </a:ln>
              <a:solidFill>
                <a:srgbClr val="000000"/>
              </a:solidFill>
              <a:effectLst/>
              <a:latin typeface="Tahoma" panose="020B0604030504040204" pitchFamily="34" charset="0"/>
              <a:ea typeface="Tahoma" panose="020B0604030504040204" pitchFamily="34" charset="0"/>
              <a:cs typeface="Times New Roman" panose="02020603050405020304" pitchFamily="18" charset="0"/>
            </a:rPr>
            <a:t>.</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nSpc>
              <a:spcPct val="100000"/>
            </a:lnSpc>
            <a:spcBef>
              <a:spcPts val="0"/>
            </a:spcBef>
            <a:spcAft>
              <a:spcPts val="0"/>
            </a:spcAft>
          </a:pP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 </a:t>
          </a:r>
          <a:r>
            <a:rPr lang="en-US" sz="1600" b="1">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mass institution </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serves needs which individuals or small </a:t>
          </a:r>
          <a:r>
            <a:rPr lang="en-US" sz="1600" b="1" spc="-4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groups cannot address on their own. Politics organizes public </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resources to address such needs on a national scale. Every politicized need require societal cooperation.</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0" marR="0">
            <a:lnSpc>
              <a:spcPct val="107000"/>
            </a:lnSpc>
            <a:spcBef>
              <a:spcPts val="0"/>
            </a:spcBef>
            <a:spcAft>
              <a:spcPts val="80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While largely helpful,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mass institutions</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feature some defects</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1.	MI's often rely on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binary oppositions</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It easily exaggerates your differences. Then pits you against others. </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2.	MI's impose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power relations</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It pulls you into dependence on experts</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to address your needs.</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3.	MI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experts don't know what they don't know</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Nor</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do they ask enough. You fit their needs more than they fit yours.</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4.	Norms evolve to simply</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MI tasks. Generalizing displaces relevant specifics. </a:t>
          </a:r>
          <a:r>
            <a:rPr lang="en-US" sz="1600" b="1" spc="-30" baseline="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General-over-specifics</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5.	</a:t>
          </a:r>
          <a:r>
            <a:rPr lang="en-US" sz="1600" b="1" spc="-4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MIs often do more to relieve your pain than resolve</a:t>
          </a:r>
          <a:r>
            <a:rPr lang="en-US" sz="1600" b="1" spc="-4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needs </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that would remove that pain. </a:t>
          </a:r>
          <a:r>
            <a:rPr lang="en-US" sz="1600" b="1" spc="-30" baseline="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Relieve-over-resolve</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t>
          </a:r>
          <a:endPar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endParaRPr>
        </a:p>
        <a:p>
          <a:pPr marL="228600" marR="0" indent="-228600">
            <a:lnSpc>
              <a:spcPct val="100000"/>
            </a:lnSpc>
            <a:spcBef>
              <a:spcPts val="0"/>
            </a:spcBef>
            <a:spcAft>
              <a:spcPts val="0"/>
            </a:spcAft>
          </a:pP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600"/>
            </a:spcBef>
            <a:spcAft>
              <a:spcPts val="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Q</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What can you do about divisive politics?</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60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A</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Replace it with </a:t>
          </a:r>
          <a:r>
            <a:rPr lang="en-US" sz="2000" b="1" i="1">
              <a:ln w="12700" cap="flat" cmpd="sng" algn="ctr">
                <a:noFill/>
                <a:prstDash val="solid"/>
                <a:round/>
              </a:ln>
              <a:solidFill>
                <a:srgbClr val="000000"/>
              </a:solidFill>
              <a:effectLst/>
              <a:latin typeface="Tahoma" panose="020B0604030504040204" pitchFamily="34" charset="0"/>
              <a:ea typeface="Tahoma" panose="020B0604030504040204" pitchFamily="34" charset="0"/>
              <a:cs typeface="Times New Roman" panose="02020603050405020304" pitchFamily="18" charset="0"/>
            </a:rPr>
            <a:t>Harmony Politics</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0"/>
            </a:spcAft>
          </a:pP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After you discover this path of love to resolve needs, </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0"/>
            </a:spcAft>
          </a:pPr>
          <a:r>
            <a:rPr lang="en-US" sz="1600" b="1">
              <a:ln>
                <a:noFill/>
              </a:ln>
              <a:solidFill>
                <a:srgbClr val="00B050"/>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Harmony</a:t>
          </a:r>
          <a:r>
            <a:rPr lang="en-US" sz="1600" b="1">
              <a:ln>
                <a:noFill/>
              </a:ln>
              <a:solidFill>
                <a:srgbClr val="2DFF87"/>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 </a:t>
          </a:r>
          <a:r>
            <a:rPr lang="en-US" sz="1600" b="1">
              <a:ln>
                <a:noFill/>
              </a:ln>
              <a:solidFill>
                <a:srgbClr val="7030A0"/>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Politics</a:t>
          </a:r>
          <a:r>
            <a:rPr lang="en-US" sz="1600" b="1">
              <a:ln>
                <a:noFill/>
              </a:ln>
              <a:solidFill>
                <a:srgbClr val="2DFF87"/>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 </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invites you on a journey to resolve your politicized needs. With or without the support of political leaders. You become the leader. Others see your need-resolving value and increasingly invest in your </a:t>
          </a:r>
          <a:r>
            <a:rPr lang="en-US" sz="1600" b="1" i="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cause</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to mutually resolve the politicized need. Ready? Read on.</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1</xdr:col>
      <xdr:colOff>34359</xdr:colOff>
      <xdr:row>900</xdr:row>
      <xdr:rowOff>92635</xdr:rowOff>
    </xdr:from>
    <xdr:to>
      <xdr:col>6</xdr:col>
      <xdr:colOff>112059</xdr:colOff>
      <xdr:row>906</xdr:row>
      <xdr:rowOff>194234</xdr:rowOff>
    </xdr:to>
    <xdr:sp macro="" textlink="">
      <xdr:nvSpPr>
        <xdr:cNvPr id="621" name="TextBox 620">
          <a:extLst>
            <a:ext uri="{FF2B5EF4-FFF2-40B4-BE49-F238E27FC236}">
              <a16:creationId xmlns:a16="http://schemas.microsoft.com/office/drawing/2014/main" id="{00000000-0008-0000-0000-00006D020000}"/>
            </a:ext>
          </a:extLst>
        </xdr:cNvPr>
        <xdr:cNvSpPr txBox="1"/>
      </xdr:nvSpPr>
      <xdr:spPr>
        <a:xfrm>
          <a:off x="146418" y="214461164"/>
          <a:ext cx="2580347" cy="14911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solidFill>
                <a:schemeClr val="dk1"/>
              </a:solidFill>
              <a:latin typeface="Cambria" panose="02040503050406030204" pitchFamily="18" charset="0"/>
              <a:ea typeface="Cambria" panose="02040503050406030204" pitchFamily="18" charset="0"/>
              <a:cs typeface="+mn-cs"/>
            </a:rPr>
            <a:t>Start where they are at. Then ease them into your new orientation of mutually and responsibly respecting each other's needs. You place a link to these terms in your email footer. Each phase raises the standard. Each phase mirrors the "</a:t>
          </a:r>
          <a:r>
            <a:rPr lang="en-US" sz="1200" b="1" i="0" baseline="0">
              <a:solidFill>
                <a:schemeClr val="dk1"/>
              </a:solidFill>
              <a:latin typeface="Cambria" panose="02040503050406030204" pitchFamily="18" charset="0"/>
              <a:ea typeface="Cambria" panose="02040503050406030204" pitchFamily="18" charset="0"/>
              <a:cs typeface="+mn-cs"/>
            </a:rPr>
            <a:t>praise sandwich</a:t>
          </a:r>
          <a:r>
            <a:rPr lang="en-US" sz="1200" baseline="0">
              <a:solidFill>
                <a:schemeClr val="dk1"/>
              </a:solidFill>
              <a:latin typeface="Cambria" panose="02040503050406030204" pitchFamily="18" charset="0"/>
              <a:ea typeface="Cambria" panose="02040503050406030204" pitchFamily="18" charset="0"/>
              <a:cs typeface="+mn-cs"/>
            </a:rPr>
            <a:t>" with a positive then a negative, concluding on a positive.</a:t>
          </a:r>
        </a:p>
      </xdr:txBody>
    </xdr:sp>
    <xdr:clientData/>
  </xdr:twoCellAnchor>
  <xdr:twoCellAnchor>
    <xdr:from>
      <xdr:col>1</xdr:col>
      <xdr:colOff>26888</xdr:colOff>
      <xdr:row>896</xdr:row>
      <xdr:rowOff>9860</xdr:rowOff>
    </xdr:from>
    <xdr:to>
      <xdr:col>13</xdr:col>
      <xdr:colOff>55575</xdr:colOff>
      <xdr:row>898</xdr:row>
      <xdr:rowOff>246528</xdr:rowOff>
    </xdr:to>
    <xdr:sp macro="" textlink="">
      <xdr:nvSpPr>
        <xdr:cNvPr id="623" name="TextBox 622">
          <a:extLst>
            <a:ext uri="{FF2B5EF4-FFF2-40B4-BE49-F238E27FC236}">
              <a16:creationId xmlns:a16="http://schemas.microsoft.com/office/drawing/2014/main" id="{00000000-0008-0000-0000-00006F020000}"/>
            </a:ext>
          </a:extLst>
        </xdr:cNvPr>
        <xdr:cNvSpPr txBox="1"/>
      </xdr:nvSpPr>
      <xdr:spPr>
        <a:xfrm>
          <a:off x="138947" y="213743389"/>
          <a:ext cx="6035040" cy="804433"/>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200" baseline="0">
              <a:solidFill>
                <a:schemeClr val="dk1"/>
              </a:solidFill>
              <a:latin typeface="Cambria" panose="02040503050406030204" pitchFamily="18" charset="0"/>
              <a:ea typeface="Cambria" panose="02040503050406030204" pitchFamily="18" charset="0"/>
              <a:cs typeface="+mn-cs"/>
            </a:rPr>
            <a:t>You </a:t>
          </a:r>
          <a:r>
            <a:rPr lang="en-US" sz="1200" spc="-10" baseline="0">
              <a:solidFill>
                <a:schemeClr val="dk1"/>
              </a:solidFill>
              <a:latin typeface="Cambria" panose="02040503050406030204" pitchFamily="18" charset="0"/>
              <a:ea typeface="Cambria" panose="02040503050406030204" pitchFamily="18" charset="0"/>
              <a:cs typeface="+mn-cs"/>
            </a:rPr>
            <a:t>now set the conditions for how others best treat you. You speak truth to power by setting </a:t>
          </a:r>
          <a:r>
            <a:rPr lang="en-US" sz="1200" baseline="0">
              <a:solidFill>
                <a:schemeClr val="dk1"/>
              </a:solidFill>
              <a:latin typeface="Cambria" panose="02040503050406030204" pitchFamily="18" charset="0"/>
              <a:ea typeface="Cambria" panose="02040503050406030204" pitchFamily="18" charset="0"/>
              <a:cs typeface="+mn-cs"/>
            </a:rPr>
            <a:t>a </a:t>
          </a:r>
          <a:r>
            <a:rPr lang="en-US" sz="1200" spc="-10" baseline="0">
              <a:solidFill>
                <a:schemeClr val="dk1"/>
              </a:solidFill>
              <a:latin typeface="Cambria" panose="02040503050406030204" pitchFamily="18" charset="0"/>
              <a:ea typeface="Cambria" panose="02040503050406030204" pitchFamily="18" charset="0"/>
              <a:cs typeface="+mn-cs"/>
            </a:rPr>
            <a:t>higher standard grounded in love. You model how they are to act toward you by being </a:t>
          </a:r>
          <a:r>
            <a:rPr lang="en-US" sz="1200" baseline="0">
              <a:solidFill>
                <a:schemeClr val="dk1"/>
              </a:solidFill>
              <a:latin typeface="Cambria" panose="02040503050406030204" pitchFamily="18" charset="0"/>
              <a:ea typeface="Cambria" panose="02040503050406030204" pitchFamily="18" charset="0"/>
              <a:cs typeface="+mn-cs"/>
            </a:rPr>
            <a:t>more </a:t>
          </a:r>
          <a:r>
            <a:rPr lang="en-US" sz="1200" spc="-10" baseline="0">
              <a:solidFill>
                <a:schemeClr val="dk1"/>
              </a:solidFill>
              <a:latin typeface="Cambria" panose="02040503050406030204" pitchFamily="18" charset="0"/>
              <a:ea typeface="Cambria" panose="02040503050406030204" pitchFamily="18" charset="0"/>
              <a:cs typeface="+mn-cs"/>
            </a:rPr>
            <a:t>measurably responsive to their needs as they are to yours</a:t>
          </a:r>
          <a:r>
            <a:rPr lang="en-US" sz="1200" baseline="0">
              <a:solidFill>
                <a:schemeClr val="dk1"/>
              </a:solidFill>
              <a:latin typeface="Cambria" panose="02040503050406030204" pitchFamily="18" charset="0"/>
              <a:ea typeface="Cambria" panose="02040503050406030204" pitchFamily="18" charset="0"/>
              <a:cs typeface="+mn-cs"/>
            </a:rPr>
            <a:t>. You establish increasingly heavier terms in each phase of the campaign. See samples below, and its 'praise sandwich' summary.</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xdr:col>
      <xdr:colOff>0</xdr:colOff>
      <xdr:row>934</xdr:row>
      <xdr:rowOff>52295</xdr:rowOff>
    </xdr:from>
    <xdr:to>
      <xdr:col>13</xdr:col>
      <xdr:colOff>28687</xdr:colOff>
      <xdr:row>935</xdr:row>
      <xdr:rowOff>188259</xdr:rowOff>
    </xdr:to>
    <xdr:sp macro="" textlink="">
      <xdr:nvSpPr>
        <xdr:cNvPr id="599" name="TextBox 598">
          <a:extLst>
            <a:ext uri="{FF2B5EF4-FFF2-40B4-BE49-F238E27FC236}">
              <a16:creationId xmlns:a16="http://schemas.microsoft.com/office/drawing/2014/main" id="{45F0D94D-3723-4946-B1DF-A92E397917D2}"/>
            </a:ext>
          </a:extLst>
        </xdr:cNvPr>
        <xdr:cNvSpPr txBox="1"/>
      </xdr:nvSpPr>
      <xdr:spPr>
        <a:xfrm>
          <a:off x="116541" y="221417777"/>
          <a:ext cx="6052970" cy="5752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200" baseline="0">
              <a:solidFill>
                <a:schemeClr val="dk1"/>
              </a:solidFill>
              <a:latin typeface="Cambria" panose="02040503050406030204" pitchFamily="18" charset="0"/>
              <a:ea typeface="Cambria" panose="02040503050406030204" pitchFamily="18" charset="0"/>
              <a:cs typeface="+mn-cs"/>
            </a:rPr>
            <a:t>There is no free lunch. Everything comes with a cost. It's time to expose the costs of coersion. Poweful impactors need this data to improve their branding. And you will give it, for a price.  Now </a:t>
          </a:r>
          <a:r>
            <a:rPr lang="en-US" sz="1200" spc="-10" baseline="0">
              <a:solidFill>
                <a:schemeClr val="dk1"/>
              </a:solidFill>
              <a:latin typeface="Cambria" panose="02040503050406030204" pitchFamily="18" charset="0"/>
              <a:ea typeface="Cambria" panose="02040503050406030204" pitchFamily="18" charset="0"/>
              <a:cs typeface="+mn-cs"/>
            </a:rPr>
            <a:t>it is your turn to ask those coercing you against your will, "How much is it worth to you</a:t>
          </a:r>
          <a:r>
            <a:rPr lang="en-US" sz="1200" baseline="0">
              <a:solidFill>
                <a:schemeClr val="dk1"/>
              </a:solidFill>
              <a:latin typeface="Cambria" panose="02040503050406030204" pitchFamily="18" charset="0"/>
              <a:ea typeface="Cambria" panose="02040503050406030204" pitchFamily="18" charset="0"/>
              <a:cs typeface="+mn-cs"/>
            </a:rPr>
            <a:t>?"</a:t>
          </a:r>
        </a:p>
      </xdr:txBody>
    </xdr:sp>
    <xdr:clientData/>
  </xdr:twoCellAnchor>
  <xdr:twoCellAnchor>
    <xdr:from>
      <xdr:col>36</xdr:col>
      <xdr:colOff>1342</xdr:colOff>
      <xdr:row>932</xdr:row>
      <xdr:rowOff>36008</xdr:rowOff>
    </xdr:from>
    <xdr:to>
      <xdr:col>43</xdr:col>
      <xdr:colOff>40338</xdr:colOff>
      <xdr:row>934</xdr:row>
      <xdr:rowOff>433344</xdr:rowOff>
    </xdr:to>
    <xdr:sp macro="" textlink="">
      <xdr:nvSpPr>
        <xdr:cNvPr id="622" name="Text Box 367">
          <a:extLst>
            <a:ext uri="{FF2B5EF4-FFF2-40B4-BE49-F238E27FC236}">
              <a16:creationId xmlns:a16="http://schemas.microsoft.com/office/drawing/2014/main" id="{5E7B3EF9-71D5-494F-A7CD-00ECF17611EF}"/>
            </a:ext>
          </a:extLst>
        </xdr:cNvPr>
        <xdr:cNvSpPr txBox="1"/>
      </xdr:nvSpPr>
      <xdr:spPr>
        <a:xfrm>
          <a:off x="16899813" y="221087726"/>
          <a:ext cx="4306196" cy="711100"/>
        </a:xfrm>
        <a:prstGeom prst="rect">
          <a:avLst/>
        </a:prstGeom>
        <a:solidFill>
          <a:schemeClr val="accent4">
            <a:lumMod val="20000"/>
            <a:lumOff val="80000"/>
          </a:schemeClr>
        </a:solidFill>
        <a:ln w="6350">
          <a:solidFill>
            <a:prstClr val="black"/>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tabLst>
              <a:tab pos="3200400" algn="r"/>
            </a:tabLst>
          </a:pPr>
          <a:r>
            <a:rPr lang="en-US" sz="1200" b="1">
              <a:effectLst/>
              <a:latin typeface="Tahoma" panose="020B0604030504040204" pitchFamily="34" charset="0"/>
              <a:ea typeface="Tahoma" panose="020B0604030504040204" pitchFamily="34" charset="0"/>
              <a:cs typeface="Tahoma" panose="020B0604030504040204" pitchFamily="34" charset="0"/>
            </a:rPr>
            <a:t>Coersion cost; Cost in time; unit</a:t>
          </a:r>
          <a:r>
            <a:rPr lang="en-US" sz="1200" b="1" baseline="0">
              <a:effectLst/>
              <a:latin typeface="Tahoma" panose="020B0604030504040204" pitchFamily="34" charset="0"/>
              <a:ea typeface="Tahoma" panose="020B0604030504040204" pitchFamily="34" charset="0"/>
              <a:cs typeface="Tahoma" panose="020B0604030504040204" pitchFamily="34" charset="0"/>
            </a:rPr>
            <a:t> price; Calc amt</a:t>
          </a:r>
          <a:endParaRPr lang="en-US" sz="1200" b="1">
            <a:effectLst/>
            <a:latin typeface="Tahoma" panose="020B0604030504040204" pitchFamily="34" charset="0"/>
            <a:ea typeface="Tahoma" panose="020B0604030504040204" pitchFamily="34" charset="0"/>
            <a:cs typeface="Tahoma" panose="020B0604030504040204" pitchFamily="34" charset="0"/>
          </a:endParaRPr>
        </a:p>
        <a:p>
          <a:pPr marL="0" marR="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p>
      </xdr:txBody>
    </xdr:sp>
    <xdr:clientData/>
  </xdr:twoCellAnchor>
  <xdr:twoCellAnchor>
    <xdr:from>
      <xdr:col>1</xdr:col>
      <xdr:colOff>0</xdr:colOff>
      <xdr:row>969</xdr:row>
      <xdr:rowOff>159870</xdr:rowOff>
    </xdr:from>
    <xdr:to>
      <xdr:col>13</xdr:col>
      <xdr:colOff>28687</xdr:colOff>
      <xdr:row>972</xdr:row>
      <xdr:rowOff>152400</xdr:rowOff>
    </xdr:to>
    <xdr:sp macro="" textlink="">
      <xdr:nvSpPr>
        <xdr:cNvPr id="775" name="TextBox 774">
          <a:extLst>
            <a:ext uri="{FF2B5EF4-FFF2-40B4-BE49-F238E27FC236}">
              <a16:creationId xmlns:a16="http://schemas.microsoft.com/office/drawing/2014/main" id="{9F55B992-C3A4-4EA6-A1EE-F2C5D5F6D6B5}"/>
            </a:ext>
          </a:extLst>
        </xdr:cNvPr>
        <xdr:cNvSpPr txBox="1"/>
      </xdr:nvSpPr>
      <xdr:spPr>
        <a:xfrm>
          <a:off x="116541" y="229961141"/>
          <a:ext cx="6052970" cy="7455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200" baseline="0">
              <a:solidFill>
                <a:schemeClr val="dk1"/>
              </a:solidFill>
              <a:latin typeface="Cambria" panose="02040503050406030204" pitchFamily="18" charset="0"/>
              <a:ea typeface="Cambria" panose="02040503050406030204" pitchFamily="18" charset="0"/>
              <a:cs typeface="+mn-cs"/>
            </a:rPr>
            <a:t>Authority figures base their legitimacy on law, on representative democracy, and upon the idea they are essential for large-scale needs. Let them demonstrate their legitimacy to impact your life. Give your trust to those most responsive to your power-impacted needs. Withhold your trust from those who fail to pass an audit of their competitive legitimacy.</a:t>
          </a:r>
        </a:p>
      </xdr:txBody>
    </xdr:sp>
    <xdr:clientData/>
  </xdr:twoCellAnchor>
  <xdr:twoCellAnchor>
    <xdr:from>
      <xdr:col>1</xdr:col>
      <xdr:colOff>229627</xdr:colOff>
      <xdr:row>510</xdr:row>
      <xdr:rowOff>229945</xdr:rowOff>
    </xdr:from>
    <xdr:to>
      <xdr:col>12</xdr:col>
      <xdr:colOff>239005</xdr:colOff>
      <xdr:row>515</xdr:row>
      <xdr:rowOff>244161</xdr:rowOff>
    </xdr:to>
    <xdr:grpSp>
      <xdr:nvGrpSpPr>
        <xdr:cNvPr id="16" name="Group 15">
          <a:extLst>
            <a:ext uri="{FF2B5EF4-FFF2-40B4-BE49-F238E27FC236}">
              <a16:creationId xmlns:a16="http://schemas.microsoft.com/office/drawing/2014/main" id="{D9E2DC5F-977C-4F97-9F6A-41A763A3AF1D}"/>
            </a:ext>
          </a:extLst>
        </xdr:cNvPr>
        <xdr:cNvGrpSpPr/>
      </xdr:nvGrpSpPr>
      <xdr:grpSpPr>
        <a:xfrm>
          <a:off x="343927" y="122622385"/>
          <a:ext cx="5541498" cy="1271516"/>
          <a:chOff x="9480307" y="120747865"/>
          <a:chExt cx="5541498" cy="1271516"/>
        </a:xfrm>
      </xdr:grpSpPr>
      <xdr:sp macro="" textlink="">
        <xdr:nvSpPr>
          <xdr:cNvPr id="789" name="Text Box 2">
            <a:extLst>
              <a:ext uri="{FF2B5EF4-FFF2-40B4-BE49-F238E27FC236}">
                <a16:creationId xmlns:a16="http://schemas.microsoft.com/office/drawing/2014/main" id="{EA6B26B4-72D4-4D16-A894-00A1EC368055}"/>
              </a:ext>
            </a:extLst>
          </xdr:cNvPr>
          <xdr:cNvSpPr txBox="1"/>
        </xdr:nvSpPr>
        <xdr:spPr>
          <a:xfrm>
            <a:off x="12262757" y="120747865"/>
            <a:ext cx="2759048" cy="356328"/>
          </a:xfrm>
          <a:prstGeom prst="rect">
            <a:avLst/>
          </a:prstGeom>
          <a:solidFill>
            <a:srgbClr val="FF99FF">
              <a:alpha val="80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600" b="1">
                <a:solidFill>
                  <a:srgbClr val="7030A1"/>
                </a:solidFill>
                <a:effectLst/>
                <a:latin typeface="Tahoma" panose="020B0604030504040204" pitchFamily="34" charset="0"/>
                <a:ea typeface="Calibri" panose="020F0502020204030204" pitchFamily="34" charset="0"/>
              </a:rPr>
              <a:t>Powerful Impactor </a:t>
            </a:r>
            <a:r>
              <a:rPr lang="en-US" sz="1600" b="0">
                <a:solidFill>
                  <a:srgbClr val="7030A1"/>
                </a:solidFill>
                <a:effectLst/>
                <a:latin typeface="Tahoma" panose="020B0604030504040204" pitchFamily="34" charset="0"/>
                <a:ea typeface="Calibri" panose="020F0502020204030204" pitchFamily="34" charset="0"/>
              </a:rPr>
              <a:t>(AI)</a:t>
            </a:r>
            <a:endParaRPr lang="en-US" sz="1100" b="0">
              <a:effectLst/>
              <a:latin typeface="Tahoma" panose="020B0604030504040204" pitchFamily="34" charset="0"/>
              <a:ea typeface="Calibri" panose="020F0502020204030204" pitchFamily="34" charset="0"/>
            </a:endParaRPr>
          </a:p>
        </xdr:txBody>
      </xdr:sp>
      <xdr:sp macro="" textlink="">
        <xdr:nvSpPr>
          <xdr:cNvPr id="790" name="Text Box 3">
            <a:extLst>
              <a:ext uri="{FF2B5EF4-FFF2-40B4-BE49-F238E27FC236}">
                <a16:creationId xmlns:a16="http://schemas.microsoft.com/office/drawing/2014/main" id="{869AFB8A-8563-4099-9876-10CBB968943D}"/>
              </a:ext>
            </a:extLst>
          </xdr:cNvPr>
          <xdr:cNvSpPr txBox="1"/>
        </xdr:nvSpPr>
        <xdr:spPr>
          <a:xfrm>
            <a:off x="9480307" y="120747865"/>
            <a:ext cx="2759048" cy="356328"/>
          </a:xfrm>
          <a:prstGeom prst="rect">
            <a:avLst/>
          </a:prstGeom>
          <a:solidFill>
            <a:srgbClr val="99FF99">
              <a:alpha val="80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600" b="1">
                <a:solidFill>
                  <a:srgbClr val="00B050"/>
                </a:solidFill>
                <a:effectLst/>
                <a:latin typeface="Tahoma" panose="020B0604030504040204" pitchFamily="34" charset="0"/>
                <a:ea typeface="Calibri" panose="020F0502020204030204" pitchFamily="34" charset="0"/>
              </a:rPr>
              <a:t>Powerless Impactee</a:t>
            </a:r>
            <a:r>
              <a:rPr lang="en-US" sz="1600" b="1" baseline="0">
                <a:solidFill>
                  <a:srgbClr val="00B050"/>
                </a:solidFill>
                <a:effectLst/>
                <a:latin typeface="Tahoma" panose="020B0604030504040204" pitchFamily="34" charset="0"/>
                <a:ea typeface="Calibri" panose="020F0502020204030204" pitchFamily="34" charset="0"/>
              </a:rPr>
              <a:t> </a:t>
            </a:r>
            <a:r>
              <a:rPr lang="en-US" sz="1600" b="0" baseline="0">
                <a:solidFill>
                  <a:srgbClr val="00B050"/>
                </a:solidFill>
                <a:effectLst/>
                <a:latin typeface="Tahoma" panose="020B0604030504040204" pitchFamily="34" charset="0"/>
                <a:ea typeface="Calibri" panose="020F0502020204030204" pitchFamily="34" charset="0"/>
              </a:rPr>
              <a:t>(RI)</a:t>
            </a:r>
            <a:endParaRPr lang="en-US" sz="1100" b="0">
              <a:solidFill>
                <a:srgbClr val="00B050"/>
              </a:solidFill>
              <a:effectLst/>
              <a:latin typeface="Tahoma" panose="020B0604030504040204" pitchFamily="34" charset="0"/>
              <a:ea typeface="Calibri" panose="020F0502020204030204" pitchFamily="34" charset="0"/>
            </a:endParaRPr>
          </a:p>
        </xdr:txBody>
      </xdr:sp>
      <xdr:sp macro="" textlink="">
        <xdr:nvSpPr>
          <xdr:cNvPr id="797" name="Text Box 4">
            <a:extLst>
              <a:ext uri="{FF2B5EF4-FFF2-40B4-BE49-F238E27FC236}">
                <a16:creationId xmlns:a16="http://schemas.microsoft.com/office/drawing/2014/main" id="{DF0BBF40-9A22-44EE-9612-A6F76A537A68}"/>
              </a:ext>
            </a:extLst>
          </xdr:cNvPr>
          <xdr:cNvSpPr txBox="1"/>
        </xdr:nvSpPr>
        <xdr:spPr>
          <a:xfrm>
            <a:off x="12262757" y="121119356"/>
            <a:ext cx="2759048"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feels confident &amp; optimistic</a:t>
            </a:r>
          </a:p>
        </xdr:txBody>
      </xdr:sp>
      <xdr:sp macro="" textlink="">
        <xdr:nvSpPr>
          <xdr:cNvPr id="798" name="Text Box 5">
            <a:extLst>
              <a:ext uri="{FF2B5EF4-FFF2-40B4-BE49-F238E27FC236}">
                <a16:creationId xmlns:a16="http://schemas.microsoft.com/office/drawing/2014/main" id="{E8B4C39A-FA5D-4A79-988B-F2B15DBF75B4}"/>
              </a:ext>
            </a:extLst>
          </xdr:cNvPr>
          <xdr:cNvSpPr txBox="1"/>
        </xdr:nvSpPr>
        <xdr:spPr>
          <a:xfrm>
            <a:off x="9480307" y="121119356"/>
            <a:ext cx="2759048"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feels discouraged &amp; pessimistic</a:t>
            </a:r>
          </a:p>
        </xdr:txBody>
      </xdr:sp>
      <xdr:sp macro="" textlink="">
        <xdr:nvSpPr>
          <xdr:cNvPr id="799" name="Text Box 6">
            <a:extLst>
              <a:ext uri="{FF2B5EF4-FFF2-40B4-BE49-F238E27FC236}">
                <a16:creationId xmlns:a16="http://schemas.microsoft.com/office/drawing/2014/main" id="{5FBA3DBC-A26C-406F-82D1-B77EBA8E0539}"/>
              </a:ext>
            </a:extLst>
          </xdr:cNvPr>
          <xdr:cNvSpPr txBox="1"/>
        </xdr:nvSpPr>
        <xdr:spPr>
          <a:xfrm>
            <a:off x="12262757" y="121344633"/>
            <a:ext cx="2759048"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sees opportunities, not threats</a:t>
            </a:r>
          </a:p>
        </xdr:txBody>
      </xdr:sp>
      <xdr:sp macro="" textlink="">
        <xdr:nvSpPr>
          <xdr:cNvPr id="801" name="Text Box 7">
            <a:extLst>
              <a:ext uri="{FF2B5EF4-FFF2-40B4-BE49-F238E27FC236}">
                <a16:creationId xmlns:a16="http://schemas.microsoft.com/office/drawing/2014/main" id="{2392EACF-C9ED-49CD-8552-6BC976E555A3}"/>
              </a:ext>
            </a:extLst>
          </xdr:cNvPr>
          <xdr:cNvSpPr txBox="1"/>
        </xdr:nvSpPr>
        <xdr:spPr>
          <a:xfrm>
            <a:off x="9480307" y="121344633"/>
            <a:ext cx="2759048"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sees threats, not opportunities</a:t>
            </a:r>
          </a:p>
        </xdr:txBody>
      </xdr:sp>
      <xdr:sp macro="" textlink="">
        <xdr:nvSpPr>
          <xdr:cNvPr id="806" name="Text Box 12">
            <a:extLst>
              <a:ext uri="{FF2B5EF4-FFF2-40B4-BE49-F238E27FC236}">
                <a16:creationId xmlns:a16="http://schemas.microsoft.com/office/drawing/2014/main" id="{EC21C1F5-CE99-48CA-8A0B-5F77886E08BF}"/>
              </a:ext>
            </a:extLst>
          </xdr:cNvPr>
          <xdr:cNvSpPr txBox="1"/>
        </xdr:nvSpPr>
        <xdr:spPr>
          <a:xfrm>
            <a:off x="12262757" y="121572076"/>
            <a:ext cx="2758829"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approaches, not avoid</a:t>
            </a:r>
          </a:p>
        </xdr:txBody>
      </xdr:sp>
      <xdr:sp macro="" textlink="">
        <xdr:nvSpPr>
          <xdr:cNvPr id="807" name="Text Box 13">
            <a:extLst>
              <a:ext uri="{FF2B5EF4-FFF2-40B4-BE49-F238E27FC236}">
                <a16:creationId xmlns:a16="http://schemas.microsoft.com/office/drawing/2014/main" id="{82584DFC-07E1-45EC-AD27-93A6EC33F80B}"/>
              </a:ext>
            </a:extLst>
          </xdr:cNvPr>
          <xdr:cNvSpPr txBox="1"/>
        </xdr:nvSpPr>
        <xdr:spPr>
          <a:xfrm>
            <a:off x="9480307" y="121572076"/>
            <a:ext cx="2758829"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avoids, not approach</a:t>
            </a:r>
          </a:p>
        </xdr:txBody>
      </xdr:sp>
      <xdr:sp macro="" textlink="">
        <xdr:nvSpPr>
          <xdr:cNvPr id="810" name="Text Box 14">
            <a:extLst>
              <a:ext uri="{FF2B5EF4-FFF2-40B4-BE49-F238E27FC236}">
                <a16:creationId xmlns:a16="http://schemas.microsoft.com/office/drawing/2014/main" id="{0EFD9D10-86BB-4C40-B9D1-2780F5662BC5}"/>
              </a:ext>
            </a:extLst>
          </xdr:cNvPr>
          <xdr:cNvSpPr txBox="1"/>
        </xdr:nvSpPr>
        <xdr:spPr>
          <a:xfrm>
            <a:off x="12262757" y="121791938"/>
            <a:ext cx="2758829"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free to present authentic self</a:t>
            </a:r>
          </a:p>
        </xdr:txBody>
      </xdr:sp>
      <xdr:sp macro="" textlink="">
        <xdr:nvSpPr>
          <xdr:cNvPr id="811" name="Text Box 15">
            <a:extLst>
              <a:ext uri="{FF2B5EF4-FFF2-40B4-BE49-F238E27FC236}">
                <a16:creationId xmlns:a16="http://schemas.microsoft.com/office/drawing/2014/main" id="{9A8B5D6A-1B86-4BD1-A6CB-B0A857FCC3B3}"/>
              </a:ext>
            </a:extLst>
          </xdr:cNvPr>
          <xdr:cNvSpPr txBox="1"/>
        </xdr:nvSpPr>
        <xdr:spPr>
          <a:xfrm>
            <a:off x="9480307" y="121791938"/>
            <a:ext cx="2758829"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coerced to present social façade</a:t>
            </a:r>
          </a:p>
        </xdr:txBody>
      </xdr:sp>
    </xdr:grpSp>
    <xdr:clientData/>
  </xdr:twoCellAnchor>
  <xdr:twoCellAnchor>
    <xdr:from>
      <xdr:col>14</xdr:col>
      <xdr:colOff>91737</xdr:colOff>
      <xdr:row>1013</xdr:row>
      <xdr:rowOff>144032</xdr:rowOff>
    </xdr:from>
    <xdr:to>
      <xdr:col>27</xdr:col>
      <xdr:colOff>8365</xdr:colOff>
      <xdr:row>1022</xdr:row>
      <xdr:rowOff>0</xdr:rowOff>
    </xdr:to>
    <xdr:sp macro="" textlink="">
      <xdr:nvSpPr>
        <xdr:cNvPr id="163" name="TextBox 162">
          <a:extLst>
            <a:ext uri="{FF2B5EF4-FFF2-40B4-BE49-F238E27FC236}">
              <a16:creationId xmlns:a16="http://schemas.microsoft.com/office/drawing/2014/main" id="{00000000-0008-0000-0000-0000A3000000}"/>
            </a:ext>
          </a:extLst>
        </xdr:cNvPr>
        <xdr:cNvSpPr txBox="1"/>
      </xdr:nvSpPr>
      <xdr:spPr>
        <a:xfrm>
          <a:off x="6355377" y="238055672"/>
          <a:ext cx="6065968" cy="1981948"/>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100" b="0" baseline="0">
              <a:solidFill>
                <a:schemeClr val="dk1"/>
              </a:solidFill>
              <a:effectLst/>
              <a:latin typeface="Cambria" panose="02040503050406030204" pitchFamily="18" charset="0"/>
              <a:ea typeface="Cambria" panose="02040503050406030204" pitchFamily="18" charset="0"/>
              <a:cs typeface="+mn-cs"/>
            </a:rPr>
            <a:t>WELCOME to </a:t>
          </a:r>
          <a:r>
            <a:rPr lang="en-US" sz="1100" b="1" baseline="0">
              <a:solidFill>
                <a:schemeClr val="dk1"/>
              </a:solidFill>
              <a:effectLst/>
              <a:latin typeface="Cambria" panose="02040503050406030204" pitchFamily="18" charset="0"/>
              <a:ea typeface="Cambria" panose="02040503050406030204" pitchFamily="18" charset="0"/>
              <a:cs typeface="+mn-cs"/>
            </a:rPr>
            <a:t>Advocacy Support</a:t>
          </a:r>
          <a:r>
            <a:rPr lang="en-US" sz="1100" b="0" baseline="0">
              <a:solidFill>
                <a:schemeClr val="dk1"/>
              </a:solidFill>
              <a:effectLst/>
              <a:latin typeface="Cambria" panose="02040503050406030204" pitchFamily="18" charset="0"/>
              <a:ea typeface="Cambria" panose="02040503050406030204" pitchFamily="18" charset="0"/>
              <a:cs typeface="+mn-cs"/>
            </a:rPr>
            <a:t>, a new kind of service for empowering the powerless to speak truth to power. This is unlike anything you have ever seen. Together, we cut past political noise to address our overlooked needs with pioneering mutual respect.</a:t>
          </a:r>
        </a:p>
        <a:p>
          <a:r>
            <a:rPr lang="en-US" sz="1100" b="0" baseline="0">
              <a:solidFill>
                <a:schemeClr val="dk1"/>
              </a:solidFill>
              <a:effectLst/>
              <a:latin typeface="Cambria" panose="02040503050406030204" pitchFamily="18" charset="0"/>
              <a:ea typeface="Cambria" panose="02040503050406030204" pitchFamily="18" charset="0"/>
              <a:cs typeface="+mn-cs"/>
            </a:rPr>
            <a:t> </a:t>
          </a:r>
        </a:p>
        <a:p>
          <a:r>
            <a:rPr lang="en-US" sz="1100" b="0" baseline="0">
              <a:solidFill>
                <a:schemeClr val="dk1"/>
              </a:solidFill>
              <a:effectLst/>
              <a:latin typeface="Cambria" panose="02040503050406030204" pitchFamily="18" charset="0"/>
              <a:ea typeface="Cambria" panose="02040503050406030204" pitchFamily="18" charset="0"/>
              <a:cs typeface="+mn-cs"/>
            </a:rPr>
            <a:t>We recognize the enemy is not each other of different political views, but political divisiveness itself. We build a bridge of love to address each other’s specific [ISSUE]-related needs. Including yours.</a:t>
          </a:r>
        </a:p>
        <a:p>
          <a:r>
            <a:rPr lang="en-US" sz="1100" b="0" baseline="0">
              <a:solidFill>
                <a:schemeClr val="dk1"/>
              </a:solidFill>
              <a:effectLst/>
              <a:latin typeface="Cambria" panose="02040503050406030204" pitchFamily="18" charset="0"/>
              <a:ea typeface="Cambria" panose="02040503050406030204" pitchFamily="18" charset="0"/>
              <a:cs typeface="+mn-cs"/>
            </a:rPr>
            <a:t> </a:t>
          </a:r>
        </a:p>
        <a:p>
          <a:r>
            <a:rPr lang="en-US" sz="1100" b="0" baseline="0">
              <a:solidFill>
                <a:schemeClr val="dk1"/>
              </a:solidFill>
              <a:effectLst/>
              <a:latin typeface="Cambria" panose="02040503050406030204" pitchFamily="18" charset="0"/>
              <a:ea typeface="Cambria" panose="02040503050406030204" pitchFamily="18" charset="0"/>
              <a:cs typeface="+mn-cs"/>
            </a:rPr>
            <a:t>I invite you to join my campaign to resolve [ISSUE]-related needs. Join me in replacing divisive politics with the love of respecting the affected need on both sides of the [ISSUE] issue. You have [two] options. To follow or [support] [and sponsor].</a:t>
          </a:r>
        </a:p>
      </xdr:txBody>
    </xdr:sp>
    <xdr:clientData/>
  </xdr:twoCellAnchor>
  <xdr:twoCellAnchor>
    <xdr:from>
      <xdr:col>14</xdr:col>
      <xdr:colOff>52950</xdr:colOff>
      <xdr:row>1022</xdr:row>
      <xdr:rowOff>155374</xdr:rowOff>
    </xdr:from>
    <xdr:to>
      <xdr:col>26</xdr:col>
      <xdr:colOff>472440</xdr:colOff>
      <xdr:row>1034</xdr:row>
      <xdr:rowOff>15240</xdr:rowOff>
    </xdr:to>
    <xdr:sp macro="" textlink="">
      <xdr:nvSpPr>
        <xdr:cNvPr id="130" name="TextBox 129">
          <a:extLst>
            <a:ext uri="{FF2B5EF4-FFF2-40B4-BE49-F238E27FC236}">
              <a16:creationId xmlns:a16="http://schemas.microsoft.com/office/drawing/2014/main" id="{00000000-0008-0000-0000-000082000000}"/>
            </a:ext>
          </a:extLst>
        </xdr:cNvPr>
        <xdr:cNvSpPr txBox="1"/>
      </xdr:nvSpPr>
      <xdr:spPr>
        <a:xfrm>
          <a:off x="6316590" y="240192994"/>
          <a:ext cx="6065910" cy="270974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Follower </a:t>
          </a:r>
        </a:p>
        <a:p>
          <a:r>
            <a:rPr lang="en-US" sz="1100" b="0" baseline="0">
              <a:solidFill>
                <a:schemeClr val="dk1"/>
              </a:solidFill>
              <a:effectLst/>
              <a:latin typeface="Cambria" panose="02040503050406030204" pitchFamily="18" charset="0"/>
              <a:ea typeface="Cambria" panose="02040503050406030204" pitchFamily="18" charset="0"/>
              <a:cs typeface="+mn-cs"/>
            </a:rPr>
            <a:t>Follow for FREE. Receive exclusive updates to my progress. Give your input on my efforts. See how this process can work for you. </a:t>
          </a:r>
        </a:p>
        <a:p>
          <a:r>
            <a:rPr lang="en-US" sz="1100" b="0" baseline="0">
              <a:solidFill>
                <a:schemeClr val="dk1"/>
              </a:solidFill>
              <a:effectLst/>
              <a:latin typeface="Cambria" panose="02040503050406030204" pitchFamily="18" charset="0"/>
              <a:ea typeface="Cambria" panose="02040503050406030204" pitchFamily="18" charset="0"/>
              <a:cs typeface="+mn-cs"/>
            </a:rPr>
            <a:t> </a:t>
          </a:r>
        </a:p>
        <a:p>
          <a:r>
            <a:rPr lang="en-US" sz="1100" b="1" baseline="0">
              <a:solidFill>
                <a:schemeClr val="dk1"/>
              </a:solidFill>
              <a:effectLst/>
              <a:latin typeface="Cambria" panose="02040503050406030204" pitchFamily="18" charset="0"/>
              <a:ea typeface="Cambria" panose="02040503050406030204" pitchFamily="18" charset="0"/>
              <a:cs typeface="+mn-cs"/>
            </a:rPr>
            <a:t>Supporter</a:t>
          </a:r>
        </a:p>
        <a:p>
          <a:r>
            <a:rPr lang="en-US" sz="1100" b="0" baseline="0">
              <a:solidFill>
                <a:schemeClr val="dk1"/>
              </a:solidFill>
              <a:effectLst/>
              <a:latin typeface="Cambria" panose="02040503050406030204" pitchFamily="18" charset="0"/>
              <a:ea typeface="Cambria" panose="02040503050406030204" pitchFamily="18" charset="0"/>
              <a:cs typeface="+mn-cs"/>
            </a:rPr>
            <a:t>Support my need-resolving campaign for only $5 each week. Give your input and vote on my efforts. Start speaking your own truth to political power.</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r>
            <a:rPr lang="en-US" sz="1100" b="1" baseline="0">
              <a:solidFill>
                <a:schemeClr val="dk1"/>
              </a:solidFill>
              <a:effectLst/>
              <a:latin typeface="Cambria" panose="02040503050406030204" pitchFamily="18" charset="0"/>
              <a:ea typeface="Cambria" panose="02040503050406030204" pitchFamily="18" charset="0"/>
              <a:cs typeface="+mn-cs"/>
            </a:rPr>
            <a:t>Sponsor</a:t>
          </a:r>
        </a:p>
        <a:p>
          <a:r>
            <a:rPr lang="en-US" sz="1100" b="0" baseline="0">
              <a:solidFill>
                <a:schemeClr val="dk1"/>
              </a:solidFill>
              <a:effectLst/>
              <a:latin typeface="Cambria" panose="02040503050406030204" pitchFamily="18" charset="0"/>
              <a:ea typeface="Cambria" panose="02040503050406030204" pitchFamily="18" charset="0"/>
              <a:cs typeface="+mn-cs"/>
            </a:rPr>
            <a:t>Sponsor my need-resolving campaign for only $20 each week. Boost your branding with this service empowering the politically powerless.</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r>
            <a:rPr lang="en-US" sz="1100" b="1" baseline="0">
              <a:solidFill>
                <a:schemeClr val="dk1"/>
              </a:solidFill>
              <a:effectLst/>
              <a:latin typeface="Cambria" panose="02040503050406030204" pitchFamily="18" charset="0"/>
              <a:ea typeface="Cambria" panose="02040503050406030204" pitchFamily="18" charset="0"/>
              <a:cs typeface="+mn-cs"/>
            </a:rPr>
            <a:t>Patron</a:t>
          </a:r>
        </a:p>
        <a:p>
          <a:r>
            <a:rPr lang="en-US" sz="1100" b="0" baseline="0">
              <a:solidFill>
                <a:schemeClr val="dk1"/>
              </a:solidFill>
              <a:effectLst/>
              <a:latin typeface="Cambria" panose="02040503050406030204" pitchFamily="18" charset="0"/>
              <a:ea typeface="Cambria" panose="02040503050406030204" pitchFamily="18" charset="0"/>
              <a:cs typeface="+mn-cs"/>
            </a:rPr>
            <a:t>Become a patron to my need-resolving campaign by matching my current weekly level of support. Let's solve {[ISSUE]-related }needs together.</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14</xdr:col>
      <xdr:colOff>45330</xdr:colOff>
      <xdr:row>1034</xdr:row>
      <xdr:rowOff>167640</xdr:rowOff>
    </xdr:from>
    <xdr:to>
      <xdr:col>26</xdr:col>
      <xdr:colOff>464820</xdr:colOff>
      <xdr:row>1037</xdr:row>
      <xdr:rowOff>205740</xdr:rowOff>
    </xdr:to>
    <xdr:sp macro="" textlink="">
      <xdr:nvSpPr>
        <xdr:cNvPr id="819" name="TextBox 818">
          <a:extLst>
            <a:ext uri="{FF2B5EF4-FFF2-40B4-BE49-F238E27FC236}">
              <a16:creationId xmlns:a16="http://schemas.microsoft.com/office/drawing/2014/main" id="{E94CDAB1-EE92-456B-949E-0E68B0E16C24}"/>
            </a:ext>
          </a:extLst>
        </xdr:cNvPr>
        <xdr:cNvSpPr txBox="1"/>
      </xdr:nvSpPr>
      <xdr:spPr>
        <a:xfrm>
          <a:off x="6308970" y="243055140"/>
          <a:ext cx="6065910" cy="79248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100" b="0" baseline="0">
              <a:solidFill>
                <a:schemeClr val="dk1"/>
              </a:solidFill>
              <a:effectLst/>
              <a:latin typeface="Cambria" panose="02040503050406030204" pitchFamily="18" charset="0"/>
              <a:ea typeface="Cambria" panose="02040503050406030204" pitchFamily="18" charset="0"/>
              <a:cs typeface="+mn-cs"/>
            </a:rPr>
            <a:t>Help turn divisive politics into mutual respect for each other’s politicized needs. Choose which subscription fits you best. Click the link below to sign up to my campaign today. You have a week to try it out before you get billed. Then we are on our way to replace political hate with some much needed love.</a:t>
          </a:r>
        </a:p>
      </xdr:txBody>
    </xdr:sp>
    <xdr:clientData/>
  </xdr:twoCellAnchor>
  <xdr:twoCellAnchor>
    <xdr:from>
      <xdr:col>1</xdr:col>
      <xdr:colOff>7620</xdr:colOff>
      <xdr:row>1033</xdr:row>
      <xdr:rowOff>53340</xdr:rowOff>
    </xdr:from>
    <xdr:to>
      <xdr:col>13</xdr:col>
      <xdr:colOff>0</xdr:colOff>
      <xdr:row>1041</xdr:row>
      <xdr:rowOff>236220</xdr:rowOff>
    </xdr:to>
    <xdr:grpSp>
      <xdr:nvGrpSpPr>
        <xdr:cNvPr id="70" name="Group 69">
          <a:hlinkClick xmlns:r="http://schemas.openxmlformats.org/officeDocument/2006/relationships" r:id="rId55" tooltip="Go to Plans &amp; Pricing page at ValueRelating.com"/>
          <a:extLst>
            <a:ext uri="{FF2B5EF4-FFF2-40B4-BE49-F238E27FC236}">
              <a16:creationId xmlns:a16="http://schemas.microsoft.com/office/drawing/2014/main" id="{E6D5A929-500D-4F28-B098-388637758A4F}"/>
            </a:ext>
          </a:extLst>
        </xdr:cNvPr>
        <xdr:cNvGrpSpPr/>
      </xdr:nvGrpSpPr>
      <xdr:grpSpPr>
        <a:xfrm>
          <a:off x="121920" y="242689380"/>
          <a:ext cx="6027420" cy="2194560"/>
          <a:chOff x="121920" y="242788440"/>
          <a:chExt cx="6027420" cy="2194560"/>
        </a:xfrm>
      </xdr:grpSpPr>
      <xdr:sp macro="" textlink="">
        <xdr:nvSpPr>
          <xdr:cNvPr id="43" name="Rectangle 42">
            <a:extLst>
              <a:ext uri="{FF2B5EF4-FFF2-40B4-BE49-F238E27FC236}">
                <a16:creationId xmlns:a16="http://schemas.microsoft.com/office/drawing/2014/main" id="{EF1DB007-E261-4570-BA7B-6449A868F5E3}"/>
              </a:ext>
            </a:extLst>
          </xdr:cNvPr>
          <xdr:cNvSpPr/>
        </xdr:nvSpPr>
        <xdr:spPr>
          <a:xfrm>
            <a:off x="121920" y="242788440"/>
            <a:ext cx="1920240" cy="2194560"/>
          </a:xfrm>
          <a:prstGeom prst="rect">
            <a:avLst/>
          </a:prstGeom>
          <a:solidFill>
            <a:schemeClr val="bg1">
              <a:lumMod val="95000"/>
            </a:schemeClr>
          </a:solidFill>
          <a:ln>
            <a:noFill/>
          </a:ln>
          <a:effectLst>
            <a:outerShdw blurRad="38100" sx="102000" sy="102000" algn="ctr" rotWithShape="0">
              <a:prstClr val="black">
                <a:alpha val="2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cap="all" baseline="0">
                <a:solidFill>
                  <a:srgbClr val="780091"/>
                </a:solidFill>
                <a:latin typeface="Arial" panose="020B0604020202020204" pitchFamily="34" charset="0"/>
                <a:cs typeface="Arial" panose="020B0604020202020204" pitchFamily="34" charset="0"/>
              </a:rPr>
              <a:t>Campaign</a:t>
            </a:r>
            <a:r>
              <a:rPr lang="en-US" sz="1200" b="1" baseline="0">
                <a:solidFill>
                  <a:srgbClr val="780091"/>
                </a:solidFill>
                <a:latin typeface="Arial" panose="020B0604020202020204" pitchFamily="34" charset="0"/>
                <a:cs typeface="Arial" panose="020B0604020202020204" pitchFamily="34" charset="0"/>
              </a:rPr>
              <a:t> Follower</a:t>
            </a:r>
          </a:p>
          <a:p>
            <a:pPr algn="ctr"/>
            <a:r>
              <a:rPr lang="en-US" sz="2200" baseline="100000">
                <a:solidFill>
                  <a:srgbClr val="780091"/>
                </a:solidFill>
                <a:latin typeface="Arial" panose="020B0604020202020204" pitchFamily="34" charset="0"/>
                <a:cs typeface="Arial" panose="020B0604020202020204" pitchFamily="34" charset="0"/>
              </a:rPr>
              <a:t>$</a:t>
            </a:r>
            <a:r>
              <a:rPr lang="en-US" sz="4000" b="1">
                <a:solidFill>
                  <a:srgbClr val="780091"/>
                </a:solidFill>
                <a:latin typeface="Tahoma" panose="020B0604030504040204" pitchFamily="34" charset="0"/>
                <a:ea typeface="Tahoma" panose="020B0604030504040204" pitchFamily="34" charset="0"/>
                <a:cs typeface="Tahoma" panose="020B0604030504040204" pitchFamily="34" charset="0"/>
              </a:rPr>
              <a:t>0</a:t>
            </a:r>
          </a:p>
          <a:p>
            <a:pPr algn="ctr"/>
            <a:r>
              <a:rPr lang="en-US" sz="900" b="1">
                <a:solidFill>
                  <a:srgbClr val="780091"/>
                </a:solidFill>
                <a:latin typeface="Arial Narrow" panose="020B0606020202030204" pitchFamily="34" charset="0"/>
              </a:rPr>
              <a:t>Every week</a:t>
            </a:r>
          </a:p>
          <a:p>
            <a:pPr algn="ctr"/>
            <a:endParaRPr lang="en-US" sz="900" b="1">
              <a:solidFill>
                <a:srgbClr val="780091"/>
              </a:solidFill>
              <a:latin typeface="Arial Narrow" panose="020B0606020202030204" pitchFamily="34" charset="0"/>
            </a:endParaRPr>
          </a:p>
          <a:p>
            <a:pPr algn="ctr"/>
            <a:r>
              <a:rPr lang="en-US" sz="1050">
                <a:solidFill>
                  <a:srgbClr val="780091"/>
                </a:solidFill>
                <a:latin typeface="Arial Narrow" panose="020B0606020202030204" pitchFamily="34" charset="0"/>
              </a:rPr>
              <a:t>Sign up to follow your friend boldly stand up to power.</a:t>
            </a:r>
          </a:p>
          <a:p>
            <a:pPr algn="ctr"/>
            <a:endParaRPr lang="en-US" sz="1000">
              <a:solidFill>
                <a:schemeClr val="tx1">
                  <a:lumMod val="65000"/>
                  <a:lumOff val="35000"/>
                </a:schemeClr>
              </a:solidFill>
            </a:endParaRPr>
          </a:p>
          <a:p>
            <a:pPr algn="ctr"/>
            <a:r>
              <a:rPr lang="en-US" sz="1000">
                <a:solidFill>
                  <a:schemeClr val="tx1">
                    <a:lumMod val="65000"/>
                    <a:lumOff val="35000"/>
                  </a:schemeClr>
                </a:solidFill>
              </a:rPr>
              <a:t>Free Plan</a:t>
            </a:r>
          </a:p>
          <a:p>
            <a:pPr algn="ctr"/>
            <a:endParaRPr lang="en-US" sz="1100">
              <a:solidFill>
                <a:srgbClr val="780091"/>
              </a:solidFill>
              <a:latin typeface="Arial" panose="020B0604020202020204" pitchFamily="34" charset="0"/>
              <a:cs typeface="Arial" panose="020B0604020202020204" pitchFamily="34" charset="0"/>
            </a:endParaRPr>
          </a:p>
        </xdr:txBody>
      </xdr:sp>
      <xdr:sp macro="" textlink="">
        <xdr:nvSpPr>
          <xdr:cNvPr id="816" name="Rectangle 815">
            <a:extLst>
              <a:ext uri="{FF2B5EF4-FFF2-40B4-BE49-F238E27FC236}">
                <a16:creationId xmlns:a16="http://schemas.microsoft.com/office/drawing/2014/main" id="{D2B57590-0E41-41BB-AC33-A48E3F776240}"/>
              </a:ext>
            </a:extLst>
          </xdr:cNvPr>
          <xdr:cNvSpPr/>
        </xdr:nvSpPr>
        <xdr:spPr>
          <a:xfrm>
            <a:off x="2179320" y="242788440"/>
            <a:ext cx="1920240" cy="2194560"/>
          </a:xfrm>
          <a:prstGeom prst="rect">
            <a:avLst/>
          </a:prstGeom>
          <a:solidFill>
            <a:schemeClr val="bg1">
              <a:lumMod val="95000"/>
            </a:schemeClr>
          </a:solidFill>
          <a:ln>
            <a:noFill/>
          </a:ln>
          <a:effectLst>
            <a:outerShdw blurRad="63500" sx="102000" sy="102000" algn="ctr" rotWithShape="0">
              <a:prstClr val="black">
                <a:alpha val="2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cap="all" baseline="0">
                <a:solidFill>
                  <a:srgbClr val="780091"/>
                </a:solidFill>
                <a:latin typeface="Arial" panose="020B0604020202020204" pitchFamily="34" charset="0"/>
                <a:cs typeface="Arial" panose="020B0604020202020204" pitchFamily="34" charset="0"/>
              </a:rPr>
              <a:t>Campaign</a:t>
            </a:r>
            <a:r>
              <a:rPr lang="en-US" sz="1200" b="1" baseline="0">
                <a:solidFill>
                  <a:srgbClr val="780091"/>
                </a:solidFill>
                <a:latin typeface="Arial" panose="020B0604020202020204" pitchFamily="34" charset="0"/>
                <a:cs typeface="Arial" panose="020B0604020202020204" pitchFamily="34" charset="0"/>
              </a:rPr>
              <a:t> Supporter</a:t>
            </a:r>
          </a:p>
          <a:p>
            <a:pPr algn="ctr"/>
            <a:r>
              <a:rPr lang="en-US" sz="2200" baseline="100000">
                <a:solidFill>
                  <a:srgbClr val="780091"/>
                </a:solidFill>
                <a:latin typeface="Arial" panose="020B0604020202020204" pitchFamily="34" charset="0"/>
                <a:cs typeface="Arial" panose="020B0604020202020204" pitchFamily="34" charset="0"/>
              </a:rPr>
              <a:t>$</a:t>
            </a:r>
            <a:r>
              <a:rPr lang="en-US" sz="4000" b="1">
                <a:solidFill>
                  <a:srgbClr val="780091"/>
                </a:solidFill>
                <a:latin typeface="Tahoma" panose="020B0604030504040204" pitchFamily="34" charset="0"/>
                <a:ea typeface="Tahoma" panose="020B0604030504040204" pitchFamily="34" charset="0"/>
                <a:cs typeface="Tahoma" panose="020B0604030504040204" pitchFamily="34" charset="0"/>
              </a:rPr>
              <a:t>5</a:t>
            </a:r>
          </a:p>
          <a:p>
            <a:pPr algn="ctr"/>
            <a:r>
              <a:rPr lang="en-US" sz="900" b="1">
                <a:solidFill>
                  <a:srgbClr val="780091"/>
                </a:solidFill>
                <a:latin typeface="Arial Narrow" panose="020B0606020202030204" pitchFamily="34" charset="0"/>
                <a:ea typeface="+mn-ea"/>
                <a:cs typeface="+mn-cs"/>
              </a:rPr>
              <a:t>Every week</a:t>
            </a:r>
          </a:p>
          <a:p>
            <a:pPr algn="ctr"/>
            <a:endParaRPr lang="en-US" sz="900" b="1">
              <a:solidFill>
                <a:srgbClr val="780091"/>
              </a:solidFill>
              <a:latin typeface="Arial Narrow" panose="020B0606020202030204" pitchFamily="34" charset="0"/>
              <a:ea typeface="+mn-ea"/>
              <a:cs typeface="+mn-cs"/>
            </a:endParaRPr>
          </a:p>
          <a:p>
            <a:pPr algn="ctr"/>
            <a:r>
              <a:rPr lang="en-US" sz="1050">
                <a:solidFill>
                  <a:srgbClr val="780091"/>
                </a:solidFill>
                <a:latin typeface="Arial Narrow" panose="020B0606020202030204" pitchFamily="34" charset="0"/>
                <a:ea typeface="+mn-ea"/>
                <a:cs typeface="+mn-cs"/>
              </a:rPr>
              <a:t>Share cost</a:t>
            </a:r>
            <a:r>
              <a:rPr lang="en-US" sz="1050">
                <a:solidFill>
                  <a:srgbClr val="00B050"/>
                </a:solidFill>
                <a:latin typeface="Arial Narrow" panose="020B0606020202030204" pitchFamily="34" charset="0"/>
                <a:ea typeface="+mn-ea"/>
                <a:cs typeface="+mn-cs"/>
              </a:rPr>
              <a:t>s</a:t>
            </a:r>
            <a:r>
              <a:rPr lang="en-US" sz="1050">
                <a:solidFill>
                  <a:srgbClr val="780091"/>
                </a:solidFill>
                <a:latin typeface="Arial Narrow" panose="020B0606020202030204" pitchFamily="34" charset="0"/>
                <a:ea typeface="+mn-ea"/>
                <a:cs typeface="+mn-cs"/>
              </a:rPr>
              <a:t> and returns of your friend standing up to power.</a:t>
            </a:r>
          </a:p>
          <a:p>
            <a:pPr algn="ctr"/>
            <a:endParaRPr lang="en-US" sz="1000">
              <a:solidFill>
                <a:schemeClr val="tx1">
                  <a:lumMod val="65000"/>
                  <a:lumOff val="35000"/>
                </a:schemeClr>
              </a:solidFill>
            </a:endParaRPr>
          </a:p>
          <a:p>
            <a:pPr algn="ctr"/>
            <a:r>
              <a:rPr lang="en-US" sz="1000">
                <a:solidFill>
                  <a:srgbClr val="00B050"/>
                </a:solidFill>
              </a:rPr>
              <a:t>7</a:t>
            </a:r>
            <a:r>
              <a:rPr lang="en-US" sz="1000">
                <a:solidFill>
                  <a:schemeClr val="tx1">
                    <a:lumMod val="65000"/>
                    <a:lumOff val="35000"/>
                  </a:schemeClr>
                </a:solidFill>
              </a:rPr>
              <a:t> day</a:t>
            </a:r>
            <a:r>
              <a:rPr lang="en-US" sz="1000" baseline="0">
                <a:solidFill>
                  <a:schemeClr val="tx1">
                    <a:lumMod val="65000"/>
                    <a:lumOff val="35000"/>
                  </a:schemeClr>
                </a:solidFill>
              </a:rPr>
              <a:t> free trial</a:t>
            </a:r>
            <a:endParaRPr lang="en-US" sz="1000">
              <a:solidFill>
                <a:schemeClr val="tx1">
                  <a:lumMod val="65000"/>
                  <a:lumOff val="35000"/>
                </a:schemeClr>
              </a:solidFill>
            </a:endParaRPr>
          </a:p>
          <a:p>
            <a:pPr algn="ctr"/>
            <a:endParaRPr lang="en-US" sz="1100">
              <a:solidFill>
                <a:srgbClr val="780091"/>
              </a:solidFill>
              <a:latin typeface="Arial" panose="020B0604020202020204" pitchFamily="34" charset="0"/>
              <a:cs typeface="Arial" panose="020B0604020202020204" pitchFamily="34" charset="0"/>
            </a:endParaRPr>
          </a:p>
        </xdr:txBody>
      </xdr:sp>
      <xdr:sp macro="" textlink="">
        <xdr:nvSpPr>
          <xdr:cNvPr id="817" name="Rectangle 816">
            <a:extLst>
              <a:ext uri="{FF2B5EF4-FFF2-40B4-BE49-F238E27FC236}">
                <a16:creationId xmlns:a16="http://schemas.microsoft.com/office/drawing/2014/main" id="{FEF373F4-8874-4FA1-ADC8-7D9754322065}"/>
              </a:ext>
            </a:extLst>
          </xdr:cNvPr>
          <xdr:cNvSpPr/>
        </xdr:nvSpPr>
        <xdr:spPr>
          <a:xfrm>
            <a:off x="4229100" y="242788440"/>
            <a:ext cx="1920240" cy="2194560"/>
          </a:xfrm>
          <a:prstGeom prst="rect">
            <a:avLst/>
          </a:prstGeom>
          <a:solidFill>
            <a:schemeClr val="bg1">
              <a:lumMod val="95000"/>
            </a:schemeClr>
          </a:solidFill>
          <a:ln>
            <a:noFill/>
          </a:ln>
          <a:effectLst>
            <a:outerShdw blurRad="63500" sx="102000" sy="102000" algn="ctr" rotWithShape="0">
              <a:prstClr val="black">
                <a:alpha val="2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cap="all" baseline="0">
                <a:solidFill>
                  <a:srgbClr val="780091"/>
                </a:solidFill>
                <a:latin typeface="Arial" panose="020B0604020202020204" pitchFamily="34" charset="0"/>
                <a:cs typeface="Arial" panose="020B0604020202020204" pitchFamily="34" charset="0"/>
              </a:rPr>
              <a:t>Campaign</a:t>
            </a:r>
            <a:r>
              <a:rPr lang="en-US" sz="1200" b="1" baseline="0">
                <a:solidFill>
                  <a:srgbClr val="780091"/>
                </a:solidFill>
                <a:latin typeface="Arial" panose="020B0604020202020204" pitchFamily="34" charset="0"/>
                <a:cs typeface="Arial" panose="020B0604020202020204" pitchFamily="34" charset="0"/>
              </a:rPr>
              <a:t> Supporter</a:t>
            </a:r>
          </a:p>
          <a:p>
            <a:pPr algn="ctr"/>
            <a:r>
              <a:rPr lang="en-US" sz="2200" baseline="100000">
                <a:solidFill>
                  <a:srgbClr val="780091"/>
                </a:solidFill>
                <a:latin typeface="Arial" panose="020B0604020202020204" pitchFamily="34" charset="0"/>
                <a:cs typeface="Arial" panose="020B0604020202020204" pitchFamily="34" charset="0"/>
              </a:rPr>
              <a:t>$</a:t>
            </a:r>
            <a:r>
              <a:rPr lang="en-US" sz="4000" b="1">
                <a:solidFill>
                  <a:srgbClr val="780091"/>
                </a:solidFill>
                <a:latin typeface="Tahoma" panose="020B0604030504040204" pitchFamily="34" charset="0"/>
                <a:ea typeface="Tahoma" panose="020B0604030504040204" pitchFamily="34" charset="0"/>
                <a:cs typeface="Tahoma" panose="020B0604030504040204" pitchFamily="34" charset="0"/>
              </a:rPr>
              <a:t>10</a:t>
            </a:r>
          </a:p>
          <a:p>
            <a:pPr algn="ctr"/>
            <a:r>
              <a:rPr lang="en-US" sz="900" b="1">
                <a:solidFill>
                  <a:srgbClr val="780091"/>
                </a:solidFill>
                <a:latin typeface="Arial Narrow" panose="020B0606020202030204" pitchFamily="34" charset="0"/>
                <a:ea typeface="+mn-ea"/>
                <a:cs typeface="+mn-cs"/>
              </a:rPr>
              <a:t>Every week</a:t>
            </a:r>
          </a:p>
          <a:p>
            <a:pPr algn="ctr"/>
            <a:endParaRPr lang="en-US" sz="900" b="1">
              <a:solidFill>
                <a:srgbClr val="780091"/>
              </a:solidFill>
              <a:latin typeface="Arial Narrow" panose="020B0606020202030204" pitchFamily="34" charset="0"/>
              <a:ea typeface="+mn-ea"/>
              <a:cs typeface="+mn-cs"/>
            </a:endParaRPr>
          </a:p>
          <a:p>
            <a:pPr algn="ctr"/>
            <a:r>
              <a:rPr lang="en-US" sz="1050">
                <a:solidFill>
                  <a:srgbClr val="780091"/>
                </a:solidFill>
                <a:latin typeface="Arial Narrow" panose="020B0606020202030204" pitchFamily="34" charset="0"/>
                <a:ea typeface="+mn-ea"/>
                <a:cs typeface="+mn-cs"/>
              </a:rPr>
              <a:t>If a good fit for this service, let's prepare your campaign.</a:t>
            </a:r>
          </a:p>
          <a:p>
            <a:pPr algn="ctr"/>
            <a:endParaRPr lang="en-US" sz="1000">
              <a:solidFill>
                <a:schemeClr val="tx1">
                  <a:lumMod val="65000"/>
                  <a:lumOff val="35000"/>
                </a:schemeClr>
              </a:solidFill>
            </a:endParaRPr>
          </a:p>
          <a:p>
            <a:pPr algn="ctr"/>
            <a:r>
              <a:rPr lang="en-US" sz="1000">
                <a:solidFill>
                  <a:schemeClr val="tx1">
                    <a:lumMod val="65000"/>
                    <a:lumOff val="35000"/>
                  </a:schemeClr>
                </a:solidFill>
              </a:rPr>
              <a:t>7 day</a:t>
            </a:r>
            <a:r>
              <a:rPr lang="en-US" sz="1000" baseline="0">
                <a:solidFill>
                  <a:schemeClr val="tx1">
                    <a:lumMod val="65000"/>
                    <a:lumOff val="35000"/>
                  </a:schemeClr>
                </a:solidFill>
              </a:rPr>
              <a:t> free trial</a:t>
            </a:r>
            <a:endParaRPr lang="en-US" sz="1000">
              <a:solidFill>
                <a:schemeClr val="tx1">
                  <a:lumMod val="65000"/>
                  <a:lumOff val="35000"/>
                </a:schemeClr>
              </a:solidFill>
            </a:endParaRPr>
          </a:p>
          <a:p>
            <a:pPr algn="ctr"/>
            <a:endParaRPr lang="en-US" sz="1100">
              <a:solidFill>
                <a:srgbClr val="780091"/>
              </a:solidFill>
              <a:latin typeface="Arial" panose="020B0604020202020204" pitchFamily="34" charset="0"/>
              <a:cs typeface="Arial" panose="020B0604020202020204" pitchFamily="34" charset="0"/>
            </a:endParaRPr>
          </a:p>
        </xdr:txBody>
      </xdr:sp>
      <xdr:sp macro="" textlink="">
        <xdr:nvSpPr>
          <xdr:cNvPr id="813" name="Rectangle: Rounded Corners 812">
            <a:extLst>
              <a:ext uri="{FF2B5EF4-FFF2-40B4-BE49-F238E27FC236}">
                <a16:creationId xmlns:a16="http://schemas.microsoft.com/office/drawing/2014/main" id="{06E0F9F1-941A-4B0A-AB71-2B60D94E0F73}"/>
              </a:ext>
            </a:extLst>
          </xdr:cNvPr>
          <xdr:cNvSpPr/>
        </xdr:nvSpPr>
        <xdr:spPr>
          <a:xfrm>
            <a:off x="2346960" y="244586760"/>
            <a:ext cx="1600200" cy="297180"/>
          </a:xfrm>
          <a:prstGeom prst="roundRect">
            <a:avLst>
              <a:gd name="adj" fmla="val 50000"/>
            </a:avLst>
          </a:prstGeom>
          <a:solidFill>
            <a:srgbClr val="CC00CC"/>
          </a:solidFill>
          <a:ln>
            <a:noFill/>
          </a:ln>
        </xdr:spPr>
        <xdr:style>
          <a:lnRef idx="2">
            <a:schemeClr val="accent1">
              <a:shade val="50000"/>
            </a:schemeClr>
          </a:lnRef>
          <a:fillRef idx="1003">
            <a:schemeClr val="lt2"/>
          </a:fillRef>
          <a:effectRef idx="0">
            <a:schemeClr val="accent1"/>
          </a:effectRef>
          <a:fontRef idx="minor">
            <a:schemeClr val="lt1"/>
          </a:fontRef>
        </xdr:style>
        <xdr:txBody>
          <a:bodyPr vertOverflow="clip" horzOverflow="clip" rtlCol="0" anchor="ctr"/>
          <a:lstStyle/>
          <a:p>
            <a:pPr algn="ctr"/>
            <a:r>
              <a:rPr lang="en-US" sz="1300" b="0">
                <a:solidFill>
                  <a:srgbClr val="FFCCFF"/>
                </a:solidFill>
                <a:latin typeface="Arial" panose="020B0604020202020204" pitchFamily="34" charset="0"/>
                <a:cs typeface="Arial" panose="020B0604020202020204" pitchFamily="34" charset="0"/>
              </a:rPr>
              <a:t>Start Free Trial</a:t>
            </a:r>
          </a:p>
        </xdr:txBody>
      </xdr:sp>
      <xdr:sp macro="" textlink="">
        <xdr:nvSpPr>
          <xdr:cNvPr id="814" name="Rectangle: Rounded Corners 813">
            <a:extLst>
              <a:ext uri="{FF2B5EF4-FFF2-40B4-BE49-F238E27FC236}">
                <a16:creationId xmlns:a16="http://schemas.microsoft.com/office/drawing/2014/main" id="{1EA27027-099B-498D-8177-367E7036941D}"/>
              </a:ext>
            </a:extLst>
          </xdr:cNvPr>
          <xdr:cNvSpPr/>
        </xdr:nvSpPr>
        <xdr:spPr>
          <a:xfrm>
            <a:off x="4389120" y="244586760"/>
            <a:ext cx="1600200" cy="297180"/>
          </a:xfrm>
          <a:prstGeom prst="roundRect">
            <a:avLst>
              <a:gd name="adj" fmla="val 50000"/>
            </a:avLst>
          </a:prstGeom>
          <a:solidFill>
            <a:srgbClr val="CC00CC"/>
          </a:solidFill>
          <a:ln>
            <a:noFill/>
          </a:ln>
        </xdr:spPr>
        <xdr:style>
          <a:lnRef idx="2">
            <a:schemeClr val="accent1">
              <a:shade val="50000"/>
            </a:schemeClr>
          </a:lnRef>
          <a:fillRef idx="1003">
            <a:schemeClr val="lt2"/>
          </a:fillRef>
          <a:effectRef idx="0">
            <a:schemeClr val="accent1"/>
          </a:effectRef>
          <a:fontRef idx="minor">
            <a:schemeClr val="lt1"/>
          </a:fontRef>
        </xdr:style>
        <xdr:txBody>
          <a:bodyPr vertOverflow="clip" horzOverflow="clip" rtlCol="0" anchor="ctr"/>
          <a:lstStyle/>
          <a:p>
            <a:pPr algn="ctr"/>
            <a:r>
              <a:rPr lang="en-US" sz="1300" b="0">
                <a:solidFill>
                  <a:srgbClr val="FFCCFF"/>
                </a:solidFill>
                <a:latin typeface="Arial" panose="020B0604020202020204" pitchFamily="34" charset="0"/>
                <a:cs typeface="Arial" panose="020B0604020202020204" pitchFamily="34" charset="0"/>
              </a:rPr>
              <a:t>Start Free Trial</a:t>
            </a:r>
          </a:p>
        </xdr:txBody>
      </xdr:sp>
      <xdr:sp macro="" textlink="">
        <xdr:nvSpPr>
          <xdr:cNvPr id="812" name="Rectangle: Rounded Corners 811">
            <a:extLst>
              <a:ext uri="{FF2B5EF4-FFF2-40B4-BE49-F238E27FC236}">
                <a16:creationId xmlns:a16="http://schemas.microsoft.com/office/drawing/2014/main" id="{8F2177DE-325F-4500-BBD4-04CFCFD695E2}"/>
              </a:ext>
            </a:extLst>
          </xdr:cNvPr>
          <xdr:cNvSpPr/>
        </xdr:nvSpPr>
        <xdr:spPr>
          <a:xfrm>
            <a:off x="281940" y="244586760"/>
            <a:ext cx="1600200" cy="297180"/>
          </a:xfrm>
          <a:prstGeom prst="roundRect">
            <a:avLst>
              <a:gd name="adj" fmla="val 50000"/>
            </a:avLst>
          </a:prstGeom>
          <a:solidFill>
            <a:srgbClr val="CC00CC"/>
          </a:solidFill>
          <a:ln>
            <a:noFill/>
          </a:ln>
        </xdr:spPr>
        <xdr:style>
          <a:lnRef idx="2">
            <a:schemeClr val="accent1">
              <a:shade val="50000"/>
            </a:schemeClr>
          </a:lnRef>
          <a:fillRef idx="1003">
            <a:schemeClr val="lt2"/>
          </a:fillRef>
          <a:effectRef idx="0">
            <a:schemeClr val="accent1"/>
          </a:effectRef>
          <a:fontRef idx="minor">
            <a:schemeClr val="lt1"/>
          </a:fontRef>
        </xdr:style>
        <xdr:txBody>
          <a:bodyPr vertOverflow="clip" horzOverflow="clip" rtlCol="0" anchor="ctr"/>
          <a:lstStyle/>
          <a:p>
            <a:pPr algn="ctr"/>
            <a:r>
              <a:rPr lang="en-US" sz="1300" b="0">
                <a:solidFill>
                  <a:srgbClr val="FFCCFF"/>
                </a:solidFill>
                <a:latin typeface="Arial" panose="020B0604020202020204" pitchFamily="34" charset="0"/>
                <a:cs typeface="Arial" panose="020B0604020202020204" pitchFamily="34" charset="0"/>
              </a:rPr>
              <a:t>Select to Start</a:t>
            </a:r>
          </a:p>
        </xdr:txBody>
      </xdr:sp>
    </xdr:grpSp>
    <xdr:clientData/>
  </xdr:twoCellAnchor>
  <xdr:twoCellAnchor editAs="oneCell">
    <xdr:from>
      <xdr:col>1</xdr:col>
      <xdr:colOff>22859</xdr:colOff>
      <xdr:row>1047</xdr:row>
      <xdr:rowOff>15239</xdr:rowOff>
    </xdr:from>
    <xdr:to>
      <xdr:col>12</xdr:col>
      <xdr:colOff>485452</xdr:colOff>
      <xdr:row>1057</xdr:row>
      <xdr:rowOff>3680</xdr:rowOff>
    </xdr:to>
    <xdr:pic>
      <xdr:nvPicPr>
        <xdr:cNvPr id="825" name="Picture 824">
          <a:extLst>
            <a:ext uri="{FF2B5EF4-FFF2-40B4-BE49-F238E27FC236}">
              <a16:creationId xmlns:a16="http://schemas.microsoft.com/office/drawing/2014/main" id="{053322CC-A237-4B5F-B43A-8F34F65F2C7B}"/>
            </a:ext>
          </a:extLst>
        </xdr:cNvPr>
        <xdr:cNvPicPr>
          <a:picLocks noChangeAspect="1"/>
        </xdr:cNvPicPr>
      </xdr:nvPicPr>
      <xdr:blipFill rotWithShape="1">
        <a:blip xmlns:r="http://schemas.openxmlformats.org/officeDocument/2006/relationships" r:embed="rId56"/>
        <a:srcRect t="8594" r="1191" b="25621"/>
        <a:stretch/>
      </xdr:blipFill>
      <xdr:spPr>
        <a:xfrm>
          <a:off x="140090" y="246164685"/>
          <a:ext cx="6007608" cy="2250995"/>
        </a:xfrm>
        <a:prstGeom prst="rect">
          <a:avLst/>
        </a:prstGeom>
      </xdr:spPr>
    </xdr:pic>
    <xdr:clientData/>
  </xdr:twoCellAnchor>
  <xdr:twoCellAnchor>
    <xdr:from>
      <xdr:col>1</xdr:col>
      <xdr:colOff>30480</xdr:colOff>
      <xdr:row>1057</xdr:row>
      <xdr:rowOff>22860</xdr:rowOff>
    </xdr:from>
    <xdr:to>
      <xdr:col>12</xdr:col>
      <xdr:colOff>472440</xdr:colOff>
      <xdr:row>1066</xdr:row>
      <xdr:rowOff>241300</xdr:rowOff>
    </xdr:to>
    <xdr:sp macro="" textlink="">
      <xdr:nvSpPr>
        <xdr:cNvPr id="831" name="Text Box 357">
          <a:extLst>
            <a:ext uri="{FF2B5EF4-FFF2-40B4-BE49-F238E27FC236}">
              <a16:creationId xmlns:a16="http://schemas.microsoft.com/office/drawing/2014/main" id="{8C112142-735E-4933-BE4F-E78B756723BE}"/>
            </a:ext>
          </a:extLst>
        </xdr:cNvPr>
        <xdr:cNvSpPr txBox="1"/>
      </xdr:nvSpPr>
      <xdr:spPr>
        <a:xfrm>
          <a:off x="144780" y="248358660"/>
          <a:ext cx="5974080" cy="2352040"/>
        </a:xfrm>
        <a:prstGeom prst="rect">
          <a:avLst/>
        </a:prstGeom>
        <a:solidFill>
          <a:srgbClr val="FFE1FF"/>
        </a:solidFill>
        <a:ln w="12700">
          <a:solidFill>
            <a:schemeClr val="bg1"/>
          </a:solidFill>
        </a:ln>
        <a:effectLst>
          <a:outerShdw blurRad="25400" dist="12700" dir="5400000" algn="t" rotWithShape="0">
            <a:srgbClr val="780091">
              <a:alpha val="80000"/>
            </a:srgbClr>
          </a:outerShdw>
        </a:effectLst>
      </xdr:spPr>
      <xdr:txBody>
        <a:bodyPr rot="0" spcFirstLastPara="0" vert="horz" wrap="square" lIns="91440" tIns="91440" rIns="91440" bIns="45720" numCol="1" spcCol="0" rtlCol="0" fromWordArt="0" anchor="t" anchorCtr="0" forceAA="0" compatLnSpc="1">
          <a:prstTxWarp prst="textNoShape">
            <a:avLst/>
          </a:prstTxWarp>
          <a:noAutofit/>
        </a:bodyPr>
        <a:lstStyle/>
        <a:p>
          <a:pPr marL="0" marR="0">
            <a:spcBef>
              <a:spcPts val="0"/>
            </a:spcBef>
            <a:spcAft>
              <a:spcPts val="1200"/>
            </a:spcAft>
          </a:pPr>
          <a:r>
            <a:rPr lang="en-US" sz="1200" b="1">
              <a:effectLst/>
              <a:latin typeface="Tahoma" panose="020B0604030504040204" pitchFamily="34" charset="0"/>
              <a:ea typeface="Tahoma" panose="020B0604030504040204" pitchFamily="34" charset="0"/>
              <a:cs typeface="Times New Roman" panose="02020603050405020304" pitchFamily="18" charset="0"/>
            </a:rPr>
            <a:t>To start your own 'cause campaign' to resolve politically affected needs...</a:t>
          </a:r>
          <a:endParaRPr lang="en-US" sz="1200">
            <a:effectLst/>
            <a:latin typeface="Cambria Math" panose="02040503050406030204" pitchFamily="18" charset="0"/>
            <a:ea typeface="Times New Roman" panose="02020603050405020304" pitchFamily="18" charset="0"/>
            <a:cs typeface="Times New Roman" panose="02020603050405020304" pitchFamily="18" charset="0"/>
          </a:endParaRP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1. Go to ValueRelating.com/harmony-politics.</a:t>
          </a: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2. Scroll down to</a:t>
          </a:r>
          <a:r>
            <a:rPr lang="en-US" sz="1100" b="1">
              <a:effectLst/>
              <a:latin typeface="Calibri" panose="020F0502020204030204" pitchFamily="34" charset="0"/>
              <a:ea typeface="Times New Roman" panose="02020603050405020304" pitchFamily="18" charset="0"/>
              <a:cs typeface="Times New Roman" panose="02020603050405020304" pitchFamily="18" charset="0"/>
            </a:rPr>
            <a:t> NEED A HAND TO APPLY THIS?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3. Click on the 'Join or start your own advocacy campaign' button.</a:t>
          </a: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4. Click the purple button that best fits you:</a:t>
          </a:r>
        </a:p>
        <a:p>
          <a:pPr marL="914400" marR="0" indent="-5715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Click the purple 'Select to Start'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follow</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 campaign.</a:t>
          </a:r>
        </a:p>
        <a:p>
          <a:pPr marL="914400" marR="0" indent="-5715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Click the purple 'Start Free Trial'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support</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or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lead</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 campaign.</a:t>
          </a:r>
        </a:p>
        <a:p>
          <a:pPr marL="914400" marR="0" indent="-5715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Click the purple 'JOIN CAMPAIGN' button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sponsor</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or be a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patron</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to a campaign.</a:t>
          </a: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5. Sign up (or login), and follow any further instructions.</a:t>
          </a:r>
        </a:p>
        <a:p>
          <a:pPr marL="0" marR="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p>
        <a:p>
          <a:pPr marL="0" marR="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WELCOME to a new way to create meaningful political change, grounded in love. And thank you for spreading more love. We all need more</a:t>
          </a:r>
          <a:r>
            <a:rPr lang="en-US" sz="1100" baseline="0">
              <a:effectLst/>
              <a:latin typeface="Cambria Math" panose="02040503050406030204" pitchFamily="18" charset="0"/>
              <a:ea typeface="Times New Roman" panose="02020603050405020304" pitchFamily="18" charset="0"/>
              <a:cs typeface="Times New Roman" panose="02020603050405020304" pitchFamily="18" charset="0"/>
            </a:rPr>
            <a:t> love.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clientData/>
  </xdr:twoCellAnchor>
  <xdr:twoCellAnchor>
    <xdr:from>
      <xdr:col>11</xdr:col>
      <xdr:colOff>32688</xdr:colOff>
      <xdr:row>39</xdr:row>
      <xdr:rowOff>24677</xdr:rowOff>
    </xdr:from>
    <xdr:to>
      <xdr:col>11</xdr:col>
      <xdr:colOff>215567</xdr:colOff>
      <xdr:row>39</xdr:row>
      <xdr:rowOff>252496</xdr:rowOff>
    </xdr:to>
    <xdr:grpSp>
      <xdr:nvGrpSpPr>
        <xdr:cNvPr id="832" name="Group 831">
          <a:extLst>
            <a:ext uri="{FF2B5EF4-FFF2-40B4-BE49-F238E27FC236}">
              <a16:creationId xmlns:a16="http://schemas.microsoft.com/office/drawing/2014/main" id="{51E80016-ADBE-4A1B-BC1C-83FE128607AC}"/>
            </a:ext>
          </a:extLst>
        </xdr:cNvPr>
        <xdr:cNvGrpSpPr/>
      </xdr:nvGrpSpPr>
      <xdr:grpSpPr>
        <a:xfrm>
          <a:off x="5176188" y="13108217"/>
          <a:ext cx="182879" cy="227819"/>
          <a:chOff x="6465897" y="135471422"/>
          <a:chExt cx="183413" cy="222633"/>
        </a:xfrm>
      </xdr:grpSpPr>
      <xdr:sp macro="" textlink="">
        <xdr:nvSpPr>
          <xdr:cNvPr id="833" name="Rectangle: Rounded Corners 832">
            <a:extLst>
              <a:ext uri="{FF2B5EF4-FFF2-40B4-BE49-F238E27FC236}">
                <a16:creationId xmlns:a16="http://schemas.microsoft.com/office/drawing/2014/main" id="{A1ED7CB7-95DE-49EC-86C4-F10E4B1006CE}"/>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34" name="Rectangle 833">
            <a:extLst>
              <a:ext uri="{FF2B5EF4-FFF2-40B4-BE49-F238E27FC236}">
                <a16:creationId xmlns:a16="http://schemas.microsoft.com/office/drawing/2014/main" id="{03646E78-C4FD-43C0-90EA-85C2A2E9824D}"/>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40</xdr:row>
      <xdr:rowOff>24528</xdr:rowOff>
    </xdr:from>
    <xdr:to>
      <xdr:col>11</xdr:col>
      <xdr:colOff>215567</xdr:colOff>
      <xdr:row>40</xdr:row>
      <xdr:rowOff>252347</xdr:rowOff>
    </xdr:to>
    <xdr:grpSp>
      <xdr:nvGrpSpPr>
        <xdr:cNvPr id="835" name="Group 834">
          <a:extLst>
            <a:ext uri="{FF2B5EF4-FFF2-40B4-BE49-F238E27FC236}">
              <a16:creationId xmlns:a16="http://schemas.microsoft.com/office/drawing/2014/main" id="{44913A05-DAC4-4B77-AC52-3224BF762963}"/>
            </a:ext>
          </a:extLst>
        </xdr:cNvPr>
        <xdr:cNvGrpSpPr/>
      </xdr:nvGrpSpPr>
      <xdr:grpSpPr>
        <a:xfrm>
          <a:off x="5176188" y="13374768"/>
          <a:ext cx="182879" cy="227819"/>
          <a:chOff x="6465897" y="135471422"/>
          <a:chExt cx="183413" cy="222633"/>
        </a:xfrm>
      </xdr:grpSpPr>
      <xdr:sp macro="" textlink="">
        <xdr:nvSpPr>
          <xdr:cNvPr id="836" name="Rectangle: Rounded Corners 835">
            <a:extLst>
              <a:ext uri="{FF2B5EF4-FFF2-40B4-BE49-F238E27FC236}">
                <a16:creationId xmlns:a16="http://schemas.microsoft.com/office/drawing/2014/main" id="{891EA4CB-1488-46B0-A108-28544C1599FE}"/>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37" name="Rectangle 836">
            <a:extLst>
              <a:ext uri="{FF2B5EF4-FFF2-40B4-BE49-F238E27FC236}">
                <a16:creationId xmlns:a16="http://schemas.microsoft.com/office/drawing/2014/main" id="{097C7E61-F7B5-4481-963D-7A44BE0C5F47}"/>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37</xdr:row>
      <xdr:rowOff>24528</xdr:rowOff>
    </xdr:from>
    <xdr:to>
      <xdr:col>11</xdr:col>
      <xdr:colOff>215567</xdr:colOff>
      <xdr:row>37</xdr:row>
      <xdr:rowOff>252347</xdr:rowOff>
    </xdr:to>
    <xdr:grpSp>
      <xdr:nvGrpSpPr>
        <xdr:cNvPr id="838" name="Group 837">
          <a:extLst>
            <a:ext uri="{FF2B5EF4-FFF2-40B4-BE49-F238E27FC236}">
              <a16:creationId xmlns:a16="http://schemas.microsoft.com/office/drawing/2014/main" id="{495DFA29-554D-40EF-86EA-80C8C1E995ED}"/>
            </a:ext>
          </a:extLst>
        </xdr:cNvPr>
        <xdr:cNvGrpSpPr/>
      </xdr:nvGrpSpPr>
      <xdr:grpSpPr>
        <a:xfrm>
          <a:off x="5176188" y="12574668"/>
          <a:ext cx="182879" cy="227819"/>
          <a:chOff x="6465897" y="135471422"/>
          <a:chExt cx="183413" cy="222633"/>
        </a:xfrm>
      </xdr:grpSpPr>
      <xdr:sp macro="" textlink="">
        <xdr:nvSpPr>
          <xdr:cNvPr id="839" name="Rectangle: Rounded Corners 838">
            <a:extLst>
              <a:ext uri="{FF2B5EF4-FFF2-40B4-BE49-F238E27FC236}">
                <a16:creationId xmlns:a16="http://schemas.microsoft.com/office/drawing/2014/main" id="{097F009F-C456-46E8-867C-42218E407655}"/>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0" name="Rectangle 839">
            <a:extLst>
              <a:ext uri="{FF2B5EF4-FFF2-40B4-BE49-F238E27FC236}">
                <a16:creationId xmlns:a16="http://schemas.microsoft.com/office/drawing/2014/main" id="{A3140974-9F9F-4B7D-AFA8-72CE2CB77D7D}"/>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42</xdr:row>
      <xdr:rowOff>16908</xdr:rowOff>
    </xdr:from>
    <xdr:to>
      <xdr:col>11</xdr:col>
      <xdr:colOff>215567</xdr:colOff>
      <xdr:row>42</xdr:row>
      <xdr:rowOff>244727</xdr:rowOff>
    </xdr:to>
    <xdr:grpSp>
      <xdr:nvGrpSpPr>
        <xdr:cNvPr id="841" name="Group 840">
          <a:extLst>
            <a:ext uri="{FF2B5EF4-FFF2-40B4-BE49-F238E27FC236}">
              <a16:creationId xmlns:a16="http://schemas.microsoft.com/office/drawing/2014/main" id="{F4B54AC8-5666-46A9-8FB9-086873D7966F}"/>
            </a:ext>
          </a:extLst>
        </xdr:cNvPr>
        <xdr:cNvGrpSpPr/>
      </xdr:nvGrpSpPr>
      <xdr:grpSpPr>
        <a:xfrm>
          <a:off x="5176188" y="13900548"/>
          <a:ext cx="182879" cy="227819"/>
          <a:chOff x="6465897" y="135471422"/>
          <a:chExt cx="183413" cy="222633"/>
        </a:xfrm>
      </xdr:grpSpPr>
      <xdr:sp macro="" textlink="">
        <xdr:nvSpPr>
          <xdr:cNvPr id="842" name="Rectangle: Rounded Corners 841">
            <a:extLst>
              <a:ext uri="{FF2B5EF4-FFF2-40B4-BE49-F238E27FC236}">
                <a16:creationId xmlns:a16="http://schemas.microsoft.com/office/drawing/2014/main" id="{1B801D9E-2EF2-4DB6-BD53-685A1539FC15}"/>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3" name="Rectangle 842">
            <a:extLst>
              <a:ext uri="{FF2B5EF4-FFF2-40B4-BE49-F238E27FC236}">
                <a16:creationId xmlns:a16="http://schemas.microsoft.com/office/drawing/2014/main" id="{7B006140-FAB7-48EB-8493-611FB5C1434F}"/>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43</xdr:row>
      <xdr:rowOff>16908</xdr:rowOff>
    </xdr:from>
    <xdr:to>
      <xdr:col>11</xdr:col>
      <xdr:colOff>215567</xdr:colOff>
      <xdr:row>43</xdr:row>
      <xdr:rowOff>244727</xdr:rowOff>
    </xdr:to>
    <xdr:grpSp>
      <xdr:nvGrpSpPr>
        <xdr:cNvPr id="844" name="Group 843">
          <a:extLst>
            <a:ext uri="{FF2B5EF4-FFF2-40B4-BE49-F238E27FC236}">
              <a16:creationId xmlns:a16="http://schemas.microsoft.com/office/drawing/2014/main" id="{C339B2C5-BDF7-4173-8E13-23E78E625A8C}"/>
            </a:ext>
          </a:extLst>
        </xdr:cNvPr>
        <xdr:cNvGrpSpPr/>
      </xdr:nvGrpSpPr>
      <xdr:grpSpPr>
        <a:xfrm>
          <a:off x="5176188" y="14167248"/>
          <a:ext cx="182879" cy="227819"/>
          <a:chOff x="6465897" y="135471422"/>
          <a:chExt cx="183413" cy="222633"/>
        </a:xfrm>
      </xdr:grpSpPr>
      <xdr:sp macro="" textlink="">
        <xdr:nvSpPr>
          <xdr:cNvPr id="845" name="Rectangle: Rounded Corners 844">
            <a:extLst>
              <a:ext uri="{FF2B5EF4-FFF2-40B4-BE49-F238E27FC236}">
                <a16:creationId xmlns:a16="http://schemas.microsoft.com/office/drawing/2014/main" id="{A20D8C1A-4D82-4A74-BDE4-E2F9BD6330F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6" name="Rectangle 845">
            <a:extLst>
              <a:ext uri="{FF2B5EF4-FFF2-40B4-BE49-F238E27FC236}">
                <a16:creationId xmlns:a16="http://schemas.microsoft.com/office/drawing/2014/main" id="{432233EB-3AFD-470D-BF3F-B2D5659DC48D}"/>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44</xdr:row>
      <xdr:rowOff>24528</xdr:rowOff>
    </xdr:from>
    <xdr:to>
      <xdr:col>11</xdr:col>
      <xdr:colOff>215567</xdr:colOff>
      <xdr:row>44</xdr:row>
      <xdr:rowOff>252347</xdr:rowOff>
    </xdr:to>
    <xdr:grpSp>
      <xdr:nvGrpSpPr>
        <xdr:cNvPr id="847" name="Group 846">
          <a:extLst>
            <a:ext uri="{FF2B5EF4-FFF2-40B4-BE49-F238E27FC236}">
              <a16:creationId xmlns:a16="http://schemas.microsoft.com/office/drawing/2014/main" id="{783EEF7B-014B-49C7-95BF-AF539D97F24E}"/>
            </a:ext>
          </a:extLst>
        </xdr:cNvPr>
        <xdr:cNvGrpSpPr/>
      </xdr:nvGrpSpPr>
      <xdr:grpSpPr>
        <a:xfrm>
          <a:off x="5176188" y="14441568"/>
          <a:ext cx="182879" cy="227819"/>
          <a:chOff x="6465897" y="135471422"/>
          <a:chExt cx="183413" cy="222633"/>
        </a:xfrm>
      </xdr:grpSpPr>
      <xdr:sp macro="" textlink="">
        <xdr:nvSpPr>
          <xdr:cNvPr id="848" name="Rectangle: Rounded Corners 847">
            <a:extLst>
              <a:ext uri="{FF2B5EF4-FFF2-40B4-BE49-F238E27FC236}">
                <a16:creationId xmlns:a16="http://schemas.microsoft.com/office/drawing/2014/main" id="{1F61DDA3-C4DA-42BD-AF86-A80BDAAF9A55}"/>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9" name="Rectangle 848">
            <a:extLst>
              <a:ext uri="{FF2B5EF4-FFF2-40B4-BE49-F238E27FC236}">
                <a16:creationId xmlns:a16="http://schemas.microsoft.com/office/drawing/2014/main" id="{D573DB3B-79AC-40F7-8A99-27B4484739E6}"/>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45</xdr:row>
      <xdr:rowOff>24528</xdr:rowOff>
    </xdr:from>
    <xdr:to>
      <xdr:col>11</xdr:col>
      <xdr:colOff>215567</xdr:colOff>
      <xdr:row>45</xdr:row>
      <xdr:rowOff>252347</xdr:rowOff>
    </xdr:to>
    <xdr:grpSp>
      <xdr:nvGrpSpPr>
        <xdr:cNvPr id="850" name="Group 849">
          <a:extLst>
            <a:ext uri="{FF2B5EF4-FFF2-40B4-BE49-F238E27FC236}">
              <a16:creationId xmlns:a16="http://schemas.microsoft.com/office/drawing/2014/main" id="{BBC84C77-D56D-478B-8CCD-3E517F0F0DF4}"/>
            </a:ext>
          </a:extLst>
        </xdr:cNvPr>
        <xdr:cNvGrpSpPr/>
      </xdr:nvGrpSpPr>
      <xdr:grpSpPr>
        <a:xfrm>
          <a:off x="5176188" y="14708268"/>
          <a:ext cx="182879" cy="227819"/>
          <a:chOff x="6465897" y="135471422"/>
          <a:chExt cx="183413" cy="222633"/>
        </a:xfrm>
      </xdr:grpSpPr>
      <xdr:sp macro="" textlink="">
        <xdr:nvSpPr>
          <xdr:cNvPr id="851" name="Rectangle: Rounded Corners 850">
            <a:extLst>
              <a:ext uri="{FF2B5EF4-FFF2-40B4-BE49-F238E27FC236}">
                <a16:creationId xmlns:a16="http://schemas.microsoft.com/office/drawing/2014/main" id="{5C5E389C-3EC3-400A-82E2-0DA50AD3F7AA}"/>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52" name="Rectangle 851">
            <a:extLst>
              <a:ext uri="{FF2B5EF4-FFF2-40B4-BE49-F238E27FC236}">
                <a16:creationId xmlns:a16="http://schemas.microsoft.com/office/drawing/2014/main" id="{EA69A74A-5B67-4313-AD2C-E113AD28F903}"/>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50</xdr:row>
      <xdr:rowOff>24528</xdr:rowOff>
    </xdr:from>
    <xdr:to>
      <xdr:col>11</xdr:col>
      <xdr:colOff>215567</xdr:colOff>
      <xdr:row>50</xdr:row>
      <xdr:rowOff>252347</xdr:rowOff>
    </xdr:to>
    <xdr:grpSp>
      <xdr:nvGrpSpPr>
        <xdr:cNvPr id="853" name="Group 852">
          <a:extLst>
            <a:ext uri="{FF2B5EF4-FFF2-40B4-BE49-F238E27FC236}">
              <a16:creationId xmlns:a16="http://schemas.microsoft.com/office/drawing/2014/main" id="{F93C7CC9-21AF-4D9C-A2A0-33411B001605}"/>
            </a:ext>
          </a:extLst>
        </xdr:cNvPr>
        <xdr:cNvGrpSpPr/>
      </xdr:nvGrpSpPr>
      <xdr:grpSpPr>
        <a:xfrm>
          <a:off x="5176188" y="16041768"/>
          <a:ext cx="182879" cy="227819"/>
          <a:chOff x="6465897" y="135471422"/>
          <a:chExt cx="183413" cy="222633"/>
        </a:xfrm>
      </xdr:grpSpPr>
      <xdr:sp macro="" textlink="">
        <xdr:nvSpPr>
          <xdr:cNvPr id="854" name="Rectangle: Rounded Corners 853">
            <a:extLst>
              <a:ext uri="{FF2B5EF4-FFF2-40B4-BE49-F238E27FC236}">
                <a16:creationId xmlns:a16="http://schemas.microsoft.com/office/drawing/2014/main" id="{D3967C3C-D9AC-4AD4-A722-78025F889F6B}"/>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55" name="Rectangle 854">
            <a:extLst>
              <a:ext uri="{FF2B5EF4-FFF2-40B4-BE49-F238E27FC236}">
                <a16:creationId xmlns:a16="http://schemas.microsoft.com/office/drawing/2014/main" id="{F468C717-864B-4182-BB90-A0E13DB2C647}"/>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46</xdr:row>
      <xdr:rowOff>24528</xdr:rowOff>
    </xdr:from>
    <xdr:to>
      <xdr:col>11</xdr:col>
      <xdr:colOff>215567</xdr:colOff>
      <xdr:row>46</xdr:row>
      <xdr:rowOff>252347</xdr:rowOff>
    </xdr:to>
    <xdr:grpSp>
      <xdr:nvGrpSpPr>
        <xdr:cNvPr id="856" name="Group 855">
          <a:extLst>
            <a:ext uri="{FF2B5EF4-FFF2-40B4-BE49-F238E27FC236}">
              <a16:creationId xmlns:a16="http://schemas.microsoft.com/office/drawing/2014/main" id="{570F8DA8-39DF-4F1B-98C7-7294D7D909E9}"/>
            </a:ext>
          </a:extLst>
        </xdr:cNvPr>
        <xdr:cNvGrpSpPr/>
      </xdr:nvGrpSpPr>
      <xdr:grpSpPr>
        <a:xfrm>
          <a:off x="5176188" y="14974968"/>
          <a:ext cx="182879" cy="227819"/>
          <a:chOff x="6465897" y="135471422"/>
          <a:chExt cx="183413" cy="222633"/>
        </a:xfrm>
      </xdr:grpSpPr>
      <xdr:sp macro="" textlink="">
        <xdr:nvSpPr>
          <xdr:cNvPr id="857" name="Rectangle: Rounded Corners 856">
            <a:extLst>
              <a:ext uri="{FF2B5EF4-FFF2-40B4-BE49-F238E27FC236}">
                <a16:creationId xmlns:a16="http://schemas.microsoft.com/office/drawing/2014/main" id="{50F000AD-5360-4EB8-9001-0F9A764D5444}"/>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58" name="Rectangle 857">
            <a:extLst>
              <a:ext uri="{FF2B5EF4-FFF2-40B4-BE49-F238E27FC236}">
                <a16:creationId xmlns:a16="http://schemas.microsoft.com/office/drawing/2014/main" id="{864BAAA5-D4B8-4224-A13F-8694A42658AA}"/>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47</xdr:row>
      <xdr:rowOff>24528</xdr:rowOff>
    </xdr:from>
    <xdr:to>
      <xdr:col>11</xdr:col>
      <xdr:colOff>215567</xdr:colOff>
      <xdr:row>47</xdr:row>
      <xdr:rowOff>252347</xdr:rowOff>
    </xdr:to>
    <xdr:grpSp>
      <xdr:nvGrpSpPr>
        <xdr:cNvPr id="859" name="Group 858">
          <a:extLst>
            <a:ext uri="{FF2B5EF4-FFF2-40B4-BE49-F238E27FC236}">
              <a16:creationId xmlns:a16="http://schemas.microsoft.com/office/drawing/2014/main" id="{180E4E11-1560-4BFB-9F36-1B00CF7391FE}"/>
            </a:ext>
          </a:extLst>
        </xdr:cNvPr>
        <xdr:cNvGrpSpPr/>
      </xdr:nvGrpSpPr>
      <xdr:grpSpPr>
        <a:xfrm>
          <a:off x="5176188" y="15241668"/>
          <a:ext cx="182879" cy="227819"/>
          <a:chOff x="6465897" y="135471422"/>
          <a:chExt cx="183413" cy="222633"/>
        </a:xfrm>
      </xdr:grpSpPr>
      <xdr:sp macro="" textlink="">
        <xdr:nvSpPr>
          <xdr:cNvPr id="860" name="Rectangle: Rounded Corners 859">
            <a:extLst>
              <a:ext uri="{FF2B5EF4-FFF2-40B4-BE49-F238E27FC236}">
                <a16:creationId xmlns:a16="http://schemas.microsoft.com/office/drawing/2014/main" id="{1C9C680A-1F98-46B0-98E2-1449122D715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61" name="Rectangle 860">
            <a:extLst>
              <a:ext uri="{FF2B5EF4-FFF2-40B4-BE49-F238E27FC236}">
                <a16:creationId xmlns:a16="http://schemas.microsoft.com/office/drawing/2014/main" id="{ED56EAA8-CA1E-4C0B-8E2C-2429AE44BDF5}"/>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48</xdr:row>
      <xdr:rowOff>24528</xdr:rowOff>
    </xdr:from>
    <xdr:to>
      <xdr:col>11</xdr:col>
      <xdr:colOff>215567</xdr:colOff>
      <xdr:row>48</xdr:row>
      <xdr:rowOff>252347</xdr:rowOff>
    </xdr:to>
    <xdr:grpSp>
      <xdr:nvGrpSpPr>
        <xdr:cNvPr id="862" name="Group 861">
          <a:extLst>
            <a:ext uri="{FF2B5EF4-FFF2-40B4-BE49-F238E27FC236}">
              <a16:creationId xmlns:a16="http://schemas.microsoft.com/office/drawing/2014/main" id="{62C70C41-31F3-4A47-A666-842AE17DEBE9}"/>
            </a:ext>
          </a:extLst>
        </xdr:cNvPr>
        <xdr:cNvGrpSpPr/>
      </xdr:nvGrpSpPr>
      <xdr:grpSpPr>
        <a:xfrm>
          <a:off x="5176188" y="15508368"/>
          <a:ext cx="182879" cy="227819"/>
          <a:chOff x="6465897" y="135471422"/>
          <a:chExt cx="183413" cy="222633"/>
        </a:xfrm>
      </xdr:grpSpPr>
      <xdr:sp macro="" textlink="">
        <xdr:nvSpPr>
          <xdr:cNvPr id="863" name="Rectangle: Rounded Corners 862">
            <a:extLst>
              <a:ext uri="{FF2B5EF4-FFF2-40B4-BE49-F238E27FC236}">
                <a16:creationId xmlns:a16="http://schemas.microsoft.com/office/drawing/2014/main" id="{E092E4FB-01A6-41F2-BFAD-648FBFAEC23A}"/>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64" name="Rectangle 863">
            <a:extLst>
              <a:ext uri="{FF2B5EF4-FFF2-40B4-BE49-F238E27FC236}">
                <a16:creationId xmlns:a16="http://schemas.microsoft.com/office/drawing/2014/main" id="{96A7C08D-7AA0-45BA-935D-488644D2A9CA}"/>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49</xdr:row>
      <xdr:rowOff>24528</xdr:rowOff>
    </xdr:from>
    <xdr:to>
      <xdr:col>11</xdr:col>
      <xdr:colOff>215567</xdr:colOff>
      <xdr:row>49</xdr:row>
      <xdr:rowOff>252347</xdr:rowOff>
    </xdr:to>
    <xdr:grpSp>
      <xdr:nvGrpSpPr>
        <xdr:cNvPr id="865" name="Group 864">
          <a:extLst>
            <a:ext uri="{FF2B5EF4-FFF2-40B4-BE49-F238E27FC236}">
              <a16:creationId xmlns:a16="http://schemas.microsoft.com/office/drawing/2014/main" id="{C55F3EFB-B927-4FDE-97C8-13BE5668F1BE}"/>
            </a:ext>
          </a:extLst>
        </xdr:cNvPr>
        <xdr:cNvGrpSpPr/>
      </xdr:nvGrpSpPr>
      <xdr:grpSpPr>
        <a:xfrm>
          <a:off x="5176188" y="15775068"/>
          <a:ext cx="182879" cy="227819"/>
          <a:chOff x="6465897" y="135471422"/>
          <a:chExt cx="183413" cy="222633"/>
        </a:xfrm>
      </xdr:grpSpPr>
      <xdr:sp macro="" textlink="">
        <xdr:nvSpPr>
          <xdr:cNvPr id="866" name="Rectangle: Rounded Corners 865">
            <a:extLst>
              <a:ext uri="{FF2B5EF4-FFF2-40B4-BE49-F238E27FC236}">
                <a16:creationId xmlns:a16="http://schemas.microsoft.com/office/drawing/2014/main" id="{A75067FD-4779-4D76-91AF-508F99796079}"/>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67" name="Rectangle 866">
            <a:extLst>
              <a:ext uri="{FF2B5EF4-FFF2-40B4-BE49-F238E27FC236}">
                <a16:creationId xmlns:a16="http://schemas.microsoft.com/office/drawing/2014/main" id="{24F7E8F2-6442-4FF8-A2A8-E08FCC0DEBEA}"/>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editAs="oneCell">
    <xdr:from>
      <xdr:col>12</xdr:col>
      <xdr:colOff>354635</xdr:colOff>
      <xdr:row>378</xdr:row>
      <xdr:rowOff>38100</xdr:rowOff>
    </xdr:from>
    <xdr:to>
      <xdr:col>13</xdr:col>
      <xdr:colOff>100013</xdr:colOff>
      <xdr:row>380</xdr:row>
      <xdr:rowOff>99060</xdr:rowOff>
    </xdr:to>
    <xdr:pic>
      <xdr:nvPicPr>
        <xdr:cNvPr id="656" name="Picture 655" descr="Mouse Cursor Click PNG Transparent Images | PNG All">
          <a:extLst>
            <a:ext uri="{FF2B5EF4-FFF2-40B4-BE49-F238E27FC236}">
              <a16:creationId xmlns:a16="http://schemas.microsoft.com/office/drawing/2014/main" id="{B91FC5F0-446E-49CA-BFB0-418D3E348A66}"/>
            </a:ext>
          </a:extLst>
        </xdr:cNvPr>
        <xdr:cNvPicPr>
          <a:picLocks noChangeAspect="1" noChangeArrowheads="1"/>
        </xdr:cNvPicPr>
      </xdr:nvPicPr>
      <xdr:blipFill rotWithShape="1">
        <a:blip xmlns:r="http://schemas.openxmlformats.org/officeDocument/2006/relationships" r:embed="rId57" cstate="print">
          <a:duotone>
            <a:schemeClr val="accent6">
              <a:shade val="45000"/>
              <a:satMod val="135000"/>
            </a:schemeClr>
            <a:prstClr val="white"/>
          </a:duotone>
          <a:extLst>
            <a:ext uri="{BEBA8EAE-BF5A-486C-A8C5-ECC9F3942E4B}">
              <a14:imgProps xmlns:a14="http://schemas.microsoft.com/office/drawing/2010/main">
                <a14:imgLayer r:embed="rId58">
                  <a14:imgEffect>
                    <a14:artisticCrisscrossEtching/>
                  </a14:imgEffect>
                  <a14:imgEffect>
                    <a14:brightnessContrast bright="20000" contrast="20000"/>
                  </a14:imgEffect>
                </a14:imgLayer>
              </a14:imgProps>
            </a:ext>
            <a:ext uri="{28A0092B-C50C-407E-A947-70E740481C1C}">
              <a14:useLocalDpi xmlns:a14="http://schemas.microsoft.com/office/drawing/2010/main" val="0"/>
            </a:ext>
          </a:extLst>
        </a:blip>
        <a:srcRect l="26875" r="26875"/>
        <a:stretch/>
      </xdr:blipFill>
      <xdr:spPr bwMode="auto">
        <a:xfrm>
          <a:off x="6001055" y="91912440"/>
          <a:ext cx="248298" cy="373380"/>
        </a:xfrm>
        <a:prstGeom prst="rect">
          <a:avLst/>
        </a:prstGeom>
        <a:noFill/>
        <a:effectLst>
          <a:softEdge rad="0"/>
        </a:effectLst>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s://www.valuerelating.com/unifyingpolitics" TargetMode="External"/><Relationship Id="rId7" Type="http://schemas.openxmlformats.org/officeDocument/2006/relationships/comments" Target="../comments1.xml"/><Relationship Id="rId2" Type="http://schemas.openxmlformats.org/officeDocument/2006/relationships/hyperlink" Target="https://www.valuerelating.com/unifyingpolitics" TargetMode="External"/><Relationship Id="rId1" Type="http://schemas.openxmlformats.org/officeDocument/2006/relationships/hyperlink" Target="https://www.valuerelating.com/" TargetMode="External"/><Relationship Id="rId6" Type="http://schemas.openxmlformats.org/officeDocument/2006/relationships/vmlDrawing" Target="../drawings/vmlDrawing1.vm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www.amazon.com/Righteous-Mind-Divided-Politics-Religion/dp/0307455777" TargetMode="External"/><Relationship Id="rId7" Type="http://schemas.openxmlformats.org/officeDocument/2006/relationships/hyperlink" Target="https://www.valuerelating.com/contact" TargetMode="External"/><Relationship Id="rId2" Type="http://schemas.openxmlformats.org/officeDocument/2006/relationships/hyperlink" Target="https://www.hhs.gov/hipaa/for-professionals/covered-entities/sample-business-associate-agreement-provisions/index.html" TargetMode="External"/><Relationship Id="rId1" Type="http://schemas.openxmlformats.org/officeDocument/2006/relationships/hyperlink" Target="https://pro.psychcentral.com/culture-wars-covid-19-and-countertransference" TargetMode="External"/><Relationship Id="rId6" Type="http://schemas.openxmlformats.org/officeDocument/2006/relationships/hyperlink" Target="https://www.valuerelating.com/ipm" TargetMode="External"/><Relationship Id="rId11" Type="http://schemas.openxmlformats.org/officeDocument/2006/relationships/comments" Target="../comments2.xml"/><Relationship Id="rId5" Type="http://schemas.openxmlformats.org/officeDocument/2006/relationships/hyperlink" Target="https://www.valuerelating.com/psychosociotherapy" TargetMode="External"/><Relationship Id="rId10" Type="http://schemas.openxmlformats.org/officeDocument/2006/relationships/vmlDrawing" Target="../drawings/vmlDrawing2.vml"/><Relationship Id="rId4" Type="http://schemas.openxmlformats.org/officeDocument/2006/relationships/hyperlink" Target="https://www.valuerelating.com/sttp-4s"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3.bin"/><Relationship Id="rId1" Type="http://schemas.openxmlformats.org/officeDocument/2006/relationships/hyperlink" Target="https://www.valuerelating.com/ipm" TargetMode="External"/><Relationship Id="rId5" Type="http://schemas.openxmlformats.org/officeDocument/2006/relationships/comments" Target="../comments3.xml"/><Relationship Id="rId4"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E1546"/>
  <sheetViews>
    <sheetView tabSelected="1" zoomScaleNormal="100" zoomScaleSheetLayoutView="100" workbookViewId="0">
      <selection sqref="A1:N2"/>
    </sheetView>
  </sheetViews>
  <sheetFormatPr defaultColWidth="8.88671875" defaultRowHeight="13.8"/>
  <cols>
    <col min="1" max="1" width="1.6640625" style="180" customWidth="1"/>
    <col min="2" max="7" width="7.33203125" style="2" customWidth="1"/>
    <col min="8" max="8" width="7.33203125" style="194" customWidth="1"/>
    <col min="9" max="13" width="7.33203125" style="2" customWidth="1"/>
    <col min="14" max="14" width="1.6640625" style="180" customWidth="1"/>
    <col min="15" max="15" width="1.6640625" style="2" customWidth="1"/>
    <col min="16" max="27" width="7.33203125" style="2" customWidth="1"/>
    <col min="28" max="29" width="1.6640625" style="2" customWidth="1"/>
    <col min="30" max="52" width="8.88671875" style="2" customWidth="1"/>
    <col min="53" max="71" width="8.88671875" style="2" hidden="1" customWidth="1"/>
    <col min="72" max="73" width="15.6640625" style="2" hidden="1" customWidth="1"/>
    <col min="74" max="83" width="8.88671875" style="2" hidden="1" customWidth="1"/>
    <col min="84" max="123" width="8.88671875" style="2" customWidth="1"/>
    <col min="124" max="16384" width="8.88671875" style="2"/>
  </cols>
  <sheetData>
    <row r="1" spans="1:14" ht="30" customHeight="1">
      <c r="A1" s="1181" t="s">
        <v>431</v>
      </c>
      <c r="B1" s="1182"/>
      <c r="C1" s="1182"/>
      <c r="D1" s="1182"/>
      <c r="E1" s="1182"/>
      <c r="F1" s="1182"/>
      <c r="G1" s="1182"/>
      <c r="H1" s="1182"/>
      <c r="I1" s="1182"/>
      <c r="J1" s="1182"/>
      <c r="K1" s="1182"/>
      <c r="L1" s="1182"/>
      <c r="M1" s="1182"/>
      <c r="N1" s="1183"/>
    </row>
    <row r="2" spans="1:14" ht="34.950000000000003" customHeight="1">
      <c r="A2" s="1184"/>
      <c r="B2" s="1185"/>
      <c r="C2" s="1185"/>
      <c r="D2" s="1185"/>
      <c r="E2" s="1185"/>
      <c r="F2" s="1185"/>
      <c r="G2" s="1185"/>
      <c r="H2" s="1185"/>
      <c r="I2" s="1185"/>
      <c r="J2" s="1185"/>
      <c r="K2" s="1185"/>
      <c r="L2" s="1185"/>
      <c r="M2" s="1185"/>
      <c r="N2" s="1186"/>
    </row>
    <row r="3" spans="1:14" ht="25.05" customHeight="1">
      <c r="A3" s="1152"/>
      <c r="B3" s="1153"/>
      <c r="C3" s="1153"/>
      <c r="D3" s="1153"/>
      <c r="E3" s="1153"/>
      <c r="F3" s="1153"/>
      <c r="G3" s="1153"/>
      <c r="H3" s="1153"/>
      <c r="I3" s="1153"/>
      <c r="J3" s="1153"/>
      <c r="K3" s="1153"/>
      <c r="L3" s="1153"/>
      <c r="M3" s="1153"/>
      <c r="N3" s="1154"/>
    </row>
    <row r="4" spans="1:14" ht="19.95" customHeight="1">
      <c r="A4" s="1485" t="s">
        <v>1197</v>
      </c>
      <c r="B4" s="1486"/>
      <c r="C4" s="1486"/>
      <c r="D4" s="1486"/>
      <c r="E4" s="1486"/>
      <c r="F4" s="1486"/>
      <c r="G4" s="1486"/>
      <c r="H4" s="1486"/>
      <c r="I4" s="1486"/>
      <c r="J4" s="1486"/>
      <c r="K4" s="1486"/>
      <c r="L4" s="1486"/>
      <c r="M4" s="1486"/>
      <c r="N4" s="1487"/>
    </row>
    <row r="5" spans="1:14" ht="13.95" customHeight="1">
      <c r="A5" s="1152"/>
      <c r="B5" s="1153"/>
      <c r="C5" s="1153"/>
      <c r="D5" s="1153"/>
      <c r="E5" s="1153"/>
      <c r="F5" s="1153"/>
      <c r="G5" s="1153"/>
      <c r="H5" s="1153"/>
      <c r="I5" s="1153"/>
      <c r="J5" s="1153"/>
      <c r="K5" s="1153"/>
      <c r="L5" s="1153"/>
      <c r="M5" s="1153"/>
      <c r="N5" s="1154"/>
    </row>
    <row r="6" spans="1:14" ht="13.95" customHeight="1">
      <c r="A6" s="289"/>
      <c r="B6" s="164"/>
      <c r="C6" s="164"/>
      <c r="D6" s="164"/>
      <c r="E6" s="164"/>
      <c r="F6" s="164"/>
      <c r="G6" s="164"/>
      <c r="H6" s="314"/>
      <c r="I6" s="164"/>
      <c r="J6" s="164"/>
      <c r="K6" s="164"/>
      <c r="L6" s="164"/>
      <c r="M6" s="164"/>
      <c r="N6" s="290"/>
    </row>
    <row r="7" spans="1:14" ht="13.95" customHeight="1">
      <c r="A7" s="289"/>
      <c r="B7" s="1156" t="s">
        <v>1146</v>
      </c>
      <c r="C7" s="1157"/>
      <c r="D7" s="1157"/>
      <c r="E7" s="1157"/>
      <c r="F7" s="1157"/>
      <c r="G7" s="1274" t="s">
        <v>1147</v>
      </c>
      <c r="H7" s="1274"/>
      <c r="I7" s="1274"/>
      <c r="J7" s="1274"/>
      <c r="K7" s="1274"/>
      <c r="L7" s="175"/>
      <c r="M7" s="165">
        <v>1</v>
      </c>
      <c r="N7" s="290"/>
    </row>
    <row r="8" spans="1:14" ht="13.95" customHeight="1">
      <c r="A8" s="289"/>
      <c r="B8" s="170"/>
      <c r="C8" s="171"/>
      <c r="D8" s="172"/>
      <c r="E8" s="172"/>
      <c r="F8" s="172"/>
      <c r="G8" s="1155" t="s">
        <v>1196</v>
      </c>
      <c r="H8" s="1155"/>
      <c r="I8" s="1155"/>
      <c r="J8" s="1155"/>
      <c r="K8" s="1155"/>
      <c r="L8" s="176" t="s">
        <v>1134</v>
      </c>
      <c r="M8" s="174">
        <v>2</v>
      </c>
      <c r="N8" s="290"/>
    </row>
    <row r="9" spans="1:14" ht="13.95" customHeight="1">
      <c r="A9" s="289"/>
      <c r="B9" s="1156" t="s">
        <v>1136</v>
      </c>
      <c r="C9" s="1157"/>
      <c r="D9" s="1157"/>
      <c r="E9" s="1157"/>
      <c r="F9" s="1157"/>
      <c r="G9" s="1274" t="s">
        <v>1150</v>
      </c>
      <c r="H9" s="1274"/>
      <c r="I9" s="1274"/>
      <c r="J9" s="1274"/>
      <c r="K9" s="1274"/>
      <c r="L9" s="175"/>
      <c r="M9" s="165">
        <v>3</v>
      </c>
      <c r="N9" s="290"/>
    </row>
    <row r="10" spans="1:14" ht="13.95" customHeight="1">
      <c r="A10" s="289"/>
      <c r="B10" s="170"/>
      <c r="C10" s="171"/>
      <c r="D10" s="172"/>
      <c r="E10" s="172"/>
      <c r="F10" s="172"/>
      <c r="G10" s="1275" t="s">
        <v>65</v>
      </c>
      <c r="H10" s="1275"/>
      <c r="I10" s="1275"/>
      <c r="J10" s="1275"/>
      <c r="K10" s="1275"/>
      <c r="L10" s="184" t="s">
        <v>1134</v>
      </c>
      <c r="M10" s="168">
        <v>4</v>
      </c>
      <c r="N10" s="290"/>
    </row>
    <row r="11" spans="1:14" ht="16.2">
      <c r="A11" s="289"/>
      <c r="B11" s="1156" t="s">
        <v>1139</v>
      </c>
      <c r="C11" s="1157"/>
      <c r="D11" s="1157"/>
      <c r="E11" s="1157"/>
      <c r="F11" s="1157"/>
      <c r="G11" s="1159" t="s">
        <v>1141</v>
      </c>
      <c r="H11" s="1159"/>
      <c r="I11" s="1159"/>
      <c r="J11" s="1159"/>
      <c r="K11" s="1159"/>
      <c r="L11" s="177" t="s">
        <v>1134</v>
      </c>
      <c r="M11" s="165">
        <v>5</v>
      </c>
      <c r="N11" s="290"/>
    </row>
    <row r="12" spans="1:14" ht="13.95" customHeight="1">
      <c r="A12" s="289"/>
      <c r="B12" s="166"/>
      <c r="C12" s="167"/>
      <c r="D12" s="164"/>
      <c r="E12" s="164"/>
      <c r="F12" s="164"/>
      <c r="G12" s="1158" t="s">
        <v>2</v>
      </c>
      <c r="H12" s="1158"/>
      <c r="I12" s="1158"/>
      <c r="J12" s="1158"/>
      <c r="K12" s="1158"/>
      <c r="L12" s="176" t="s">
        <v>1134</v>
      </c>
      <c r="M12" s="168">
        <v>6</v>
      </c>
      <c r="N12" s="290"/>
    </row>
    <row r="13" spans="1:14">
      <c r="A13" s="289"/>
      <c r="B13" s="166"/>
      <c r="C13" s="167"/>
      <c r="D13" s="164"/>
      <c r="E13" s="164"/>
      <c r="F13" s="164"/>
      <c r="G13" s="1159" t="s">
        <v>1153</v>
      </c>
      <c r="H13" s="1159"/>
      <c r="I13" s="1159"/>
      <c r="J13" s="1159"/>
      <c r="K13" s="1159"/>
      <c r="L13" s="177" t="s">
        <v>1134</v>
      </c>
      <c r="M13" s="169">
        <v>7</v>
      </c>
      <c r="N13" s="290"/>
    </row>
    <row r="14" spans="1:14">
      <c r="A14" s="289"/>
      <c r="B14" s="166"/>
      <c r="C14" s="167"/>
      <c r="D14" s="164"/>
      <c r="E14" s="164"/>
      <c r="F14" s="164"/>
      <c r="G14" s="1158" t="s">
        <v>640</v>
      </c>
      <c r="H14" s="1158"/>
      <c r="I14" s="1158"/>
      <c r="J14" s="1158"/>
      <c r="K14" s="1158"/>
      <c r="L14" s="176"/>
      <c r="M14" s="168">
        <v>8</v>
      </c>
      <c r="N14" s="290"/>
    </row>
    <row r="15" spans="1:14">
      <c r="A15" s="289"/>
      <c r="B15" s="166"/>
      <c r="C15" s="167"/>
      <c r="D15" s="164"/>
      <c r="E15" s="164"/>
      <c r="F15" s="164"/>
      <c r="G15" s="1159" t="s">
        <v>1155</v>
      </c>
      <c r="H15" s="1159"/>
      <c r="I15" s="1159"/>
      <c r="J15" s="1159"/>
      <c r="K15" s="1159"/>
      <c r="L15" s="177"/>
      <c r="M15" s="169">
        <v>9</v>
      </c>
      <c r="N15" s="290"/>
    </row>
    <row r="16" spans="1:14">
      <c r="A16" s="289"/>
      <c r="B16" s="166"/>
      <c r="C16" s="167"/>
      <c r="D16" s="164"/>
      <c r="E16" s="164"/>
      <c r="F16" s="164"/>
      <c r="G16" s="1158" t="s">
        <v>1209</v>
      </c>
      <c r="H16" s="1158"/>
      <c r="I16" s="1158"/>
      <c r="J16" s="1158"/>
      <c r="K16" s="1158"/>
      <c r="L16" s="176"/>
      <c r="M16" s="168">
        <v>10</v>
      </c>
      <c r="N16" s="290"/>
    </row>
    <row r="17" spans="1:14">
      <c r="A17" s="289"/>
      <c r="B17" s="166"/>
      <c r="C17" s="167"/>
      <c r="D17" s="164"/>
      <c r="E17" s="164"/>
      <c r="F17" s="164"/>
      <c r="G17" s="1159" t="s">
        <v>1198</v>
      </c>
      <c r="H17" s="1159"/>
      <c r="I17" s="1159"/>
      <c r="J17" s="1159"/>
      <c r="K17" s="1159"/>
      <c r="L17" s="177"/>
      <c r="M17" s="169">
        <v>11</v>
      </c>
      <c r="N17" s="290"/>
    </row>
    <row r="18" spans="1:14">
      <c r="A18" s="289"/>
      <c r="B18" s="166"/>
      <c r="C18" s="167"/>
      <c r="D18" s="164"/>
      <c r="E18" s="164"/>
      <c r="F18" s="164"/>
      <c r="G18" s="1158" t="s">
        <v>1131</v>
      </c>
      <c r="H18" s="1158"/>
      <c r="I18" s="1158"/>
      <c r="J18" s="1158"/>
      <c r="K18" s="1158"/>
      <c r="L18" s="176"/>
      <c r="M18" s="168">
        <v>12</v>
      </c>
      <c r="N18" s="290"/>
    </row>
    <row r="19" spans="1:14">
      <c r="A19" s="289"/>
      <c r="B19" s="166"/>
      <c r="C19" s="167"/>
      <c r="D19" s="164"/>
      <c r="E19" s="164"/>
      <c r="F19" s="164"/>
      <c r="G19" s="1159" t="s">
        <v>952</v>
      </c>
      <c r="H19" s="1159"/>
      <c r="I19" s="1159"/>
      <c r="J19" s="1159"/>
      <c r="K19" s="1159"/>
      <c r="L19" s="177"/>
      <c r="M19" s="169">
        <v>13</v>
      </c>
      <c r="N19" s="290"/>
    </row>
    <row r="20" spans="1:14">
      <c r="A20" s="289"/>
      <c r="B20" s="166"/>
      <c r="C20" s="167"/>
      <c r="D20" s="164"/>
      <c r="E20" s="164"/>
      <c r="F20" s="164"/>
      <c r="G20" s="1158" t="s">
        <v>554</v>
      </c>
      <c r="H20" s="1158"/>
      <c r="I20" s="1158"/>
      <c r="J20" s="1158"/>
      <c r="K20" s="1158"/>
      <c r="L20" s="176"/>
      <c r="M20" s="168">
        <v>14</v>
      </c>
      <c r="N20" s="290"/>
    </row>
    <row r="21" spans="1:14">
      <c r="A21" s="289"/>
      <c r="B21" s="166"/>
      <c r="C21" s="167"/>
      <c r="D21" s="164"/>
      <c r="E21" s="164"/>
      <c r="F21" s="164"/>
      <c r="G21" s="1159" t="s">
        <v>972</v>
      </c>
      <c r="H21" s="1159"/>
      <c r="I21" s="1159"/>
      <c r="J21" s="1159"/>
      <c r="K21" s="1159"/>
      <c r="L21" s="177" t="s">
        <v>1134</v>
      </c>
      <c r="M21" s="169">
        <v>15</v>
      </c>
      <c r="N21" s="290"/>
    </row>
    <row r="22" spans="1:14">
      <c r="A22" s="289"/>
      <c r="B22" s="170"/>
      <c r="C22" s="171"/>
      <c r="D22" s="172"/>
      <c r="E22" s="172"/>
      <c r="F22" s="172"/>
      <c r="G22" s="1275" t="s">
        <v>951</v>
      </c>
      <c r="H22" s="1275"/>
      <c r="I22" s="1275"/>
      <c r="J22" s="1275"/>
      <c r="K22" s="1275"/>
      <c r="L22" s="178"/>
      <c r="M22" s="174">
        <v>16</v>
      </c>
      <c r="N22" s="290"/>
    </row>
    <row r="23" spans="1:14" ht="16.2">
      <c r="A23" s="289"/>
      <c r="B23" s="1156" t="s">
        <v>1138</v>
      </c>
      <c r="C23" s="1157"/>
      <c r="D23" s="1157"/>
      <c r="E23" s="1157"/>
      <c r="F23" s="1157"/>
      <c r="G23" s="1159" t="s">
        <v>1142</v>
      </c>
      <c r="H23" s="1159"/>
      <c r="I23" s="1159"/>
      <c r="J23" s="1159"/>
      <c r="K23" s="1159"/>
      <c r="L23" s="175"/>
      <c r="M23" s="169">
        <v>17</v>
      </c>
      <c r="N23" s="290"/>
    </row>
    <row r="24" spans="1:14">
      <c r="A24" s="289"/>
      <c r="B24" s="166"/>
      <c r="C24" s="167"/>
      <c r="D24" s="164"/>
      <c r="E24" s="164"/>
      <c r="F24" s="164"/>
      <c r="G24" s="1158" t="s">
        <v>51</v>
      </c>
      <c r="H24" s="1158"/>
      <c r="I24" s="1158"/>
      <c r="J24" s="1158"/>
      <c r="K24" s="1158"/>
      <c r="L24" s="176" t="s">
        <v>1134</v>
      </c>
      <c r="M24" s="168">
        <v>18</v>
      </c>
      <c r="N24" s="290"/>
    </row>
    <row r="25" spans="1:14">
      <c r="A25" s="289"/>
      <c r="B25" s="166"/>
      <c r="C25" s="167"/>
      <c r="D25" s="164"/>
      <c r="E25" s="164"/>
      <c r="F25" s="164"/>
      <c r="G25" s="1159" t="s">
        <v>1132</v>
      </c>
      <c r="H25" s="1159"/>
      <c r="I25" s="1159"/>
      <c r="J25" s="1159"/>
      <c r="K25" s="1159"/>
      <c r="L25" s="177"/>
      <c r="M25" s="169">
        <v>19</v>
      </c>
      <c r="N25" s="290"/>
    </row>
    <row r="26" spans="1:14">
      <c r="A26" s="289"/>
      <c r="B26" s="166"/>
      <c r="C26" s="167"/>
      <c r="D26" s="164"/>
      <c r="E26" s="164"/>
      <c r="F26" s="164"/>
      <c r="G26" s="1158" t="s">
        <v>459</v>
      </c>
      <c r="H26" s="1158"/>
      <c r="I26" s="1158"/>
      <c r="J26" s="1158"/>
      <c r="K26" s="1158"/>
      <c r="L26" s="176"/>
      <c r="M26" s="168">
        <v>20</v>
      </c>
      <c r="N26" s="290"/>
    </row>
    <row r="27" spans="1:14">
      <c r="A27" s="289"/>
      <c r="B27" s="166"/>
      <c r="C27" s="167"/>
      <c r="D27" s="164"/>
      <c r="E27" s="164"/>
      <c r="F27" s="164"/>
      <c r="G27" s="1159" t="s">
        <v>1133</v>
      </c>
      <c r="H27" s="1159"/>
      <c r="I27" s="1159"/>
      <c r="J27" s="1159"/>
      <c r="K27" s="1159"/>
      <c r="L27" s="177"/>
      <c r="M27" s="169">
        <v>21</v>
      </c>
      <c r="N27" s="290"/>
    </row>
    <row r="28" spans="1:14">
      <c r="A28" s="289"/>
      <c r="B28" s="166"/>
      <c r="C28" s="167"/>
      <c r="D28" s="164"/>
      <c r="E28" s="164"/>
      <c r="F28" s="164"/>
      <c r="G28" s="1158" t="s">
        <v>1199</v>
      </c>
      <c r="H28" s="1158"/>
      <c r="I28" s="1158"/>
      <c r="J28" s="1158"/>
      <c r="K28" s="1158"/>
      <c r="L28" s="176"/>
      <c r="M28" s="168">
        <v>22</v>
      </c>
      <c r="N28" s="290"/>
    </row>
    <row r="29" spans="1:14">
      <c r="A29" s="289"/>
      <c r="B29" s="170"/>
      <c r="C29" s="171"/>
      <c r="D29" s="172"/>
      <c r="E29" s="172"/>
      <c r="F29" s="172"/>
      <c r="G29" s="1180" t="s">
        <v>1210</v>
      </c>
      <c r="H29" s="1180"/>
      <c r="I29" s="1180"/>
      <c r="J29" s="1180"/>
      <c r="K29" s="1180"/>
      <c r="L29" s="177" t="s">
        <v>1134</v>
      </c>
      <c r="M29" s="173">
        <v>23</v>
      </c>
      <c r="N29" s="290"/>
    </row>
    <row r="30" spans="1:14" ht="16.2">
      <c r="A30" s="289"/>
      <c r="B30" s="1156" t="s">
        <v>1137</v>
      </c>
      <c r="C30" s="1157"/>
      <c r="D30" s="1157"/>
      <c r="E30" s="1157"/>
      <c r="F30" s="1157"/>
      <c r="G30" s="1158" t="s">
        <v>1143</v>
      </c>
      <c r="H30" s="1158"/>
      <c r="I30" s="1158"/>
      <c r="J30" s="1158"/>
      <c r="K30" s="1158"/>
      <c r="L30" s="179"/>
      <c r="M30" s="168">
        <v>24</v>
      </c>
      <c r="N30" s="290"/>
    </row>
    <row r="31" spans="1:14">
      <c r="A31" s="289"/>
      <c r="B31" s="166"/>
      <c r="C31" s="167"/>
      <c r="D31" s="164"/>
      <c r="E31" s="164"/>
      <c r="F31" s="164"/>
      <c r="G31" s="1159" t="s">
        <v>1144</v>
      </c>
      <c r="H31" s="1159"/>
      <c r="I31" s="1159"/>
      <c r="J31" s="1159"/>
      <c r="K31" s="1159"/>
      <c r="L31" s="177" t="s">
        <v>1134</v>
      </c>
      <c r="M31" s="169">
        <v>25</v>
      </c>
      <c r="N31" s="290"/>
    </row>
    <row r="32" spans="1:14">
      <c r="A32" s="289"/>
      <c r="B32" s="166"/>
      <c r="C32" s="167"/>
      <c r="D32" s="164"/>
      <c r="E32" s="164"/>
      <c r="F32" s="164"/>
      <c r="G32" s="1158" t="s">
        <v>1145</v>
      </c>
      <c r="H32" s="1158"/>
      <c r="I32" s="1158"/>
      <c r="J32" s="1158"/>
      <c r="K32" s="1158"/>
      <c r="L32" s="176" t="s">
        <v>1134</v>
      </c>
      <c r="M32" s="168">
        <v>26</v>
      </c>
      <c r="N32" s="290"/>
    </row>
    <row r="33" spans="1:14">
      <c r="A33" s="289"/>
      <c r="B33" s="166"/>
      <c r="C33" s="167"/>
      <c r="D33" s="164"/>
      <c r="E33" s="164"/>
      <c r="F33" s="164"/>
      <c r="G33" s="1159" t="s">
        <v>24</v>
      </c>
      <c r="H33" s="1159"/>
      <c r="I33" s="1159"/>
      <c r="J33" s="1159"/>
      <c r="K33" s="1159"/>
      <c r="L33" s="177" t="s">
        <v>1134</v>
      </c>
      <c r="M33" s="169">
        <v>27</v>
      </c>
      <c r="N33" s="290"/>
    </row>
    <row r="34" spans="1:14">
      <c r="A34" s="289"/>
      <c r="B34" s="166"/>
      <c r="C34" s="167"/>
      <c r="D34" s="164"/>
      <c r="E34" s="164"/>
      <c r="F34" s="164"/>
      <c r="G34" s="1158" t="s">
        <v>1046</v>
      </c>
      <c r="H34" s="1158"/>
      <c r="I34" s="1158"/>
      <c r="J34" s="1158"/>
      <c r="K34" s="1158"/>
      <c r="L34" s="176" t="s">
        <v>1134</v>
      </c>
      <c r="M34" s="168">
        <v>28</v>
      </c>
      <c r="N34" s="290"/>
    </row>
    <row r="35" spans="1:14">
      <c r="A35" s="289"/>
      <c r="B35" s="166"/>
      <c r="C35" s="167"/>
      <c r="D35" s="164"/>
      <c r="E35" s="164"/>
      <c r="F35" s="164"/>
      <c r="G35" s="1159" t="s">
        <v>1171</v>
      </c>
      <c r="H35" s="1159"/>
      <c r="I35" s="1159"/>
      <c r="J35" s="1159"/>
      <c r="K35" s="1159"/>
      <c r="L35" s="177" t="s">
        <v>1134</v>
      </c>
      <c r="M35" s="169">
        <v>29</v>
      </c>
      <c r="N35" s="290"/>
    </row>
    <row r="36" spans="1:14">
      <c r="A36" s="289"/>
      <c r="B36" s="166"/>
      <c r="C36" s="167"/>
      <c r="D36" s="164"/>
      <c r="E36" s="164"/>
      <c r="F36" s="164"/>
      <c r="G36" s="1158" t="s">
        <v>774</v>
      </c>
      <c r="H36" s="1158"/>
      <c r="I36" s="1158"/>
      <c r="J36" s="1158"/>
      <c r="K36" s="1158"/>
      <c r="L36" s="176"/>
      <c r="M36" s="168">
        <v>30</v>
      </c>
      <c r="N36" s="290"/>
    </row>
    <row r="37" spans="1:14">
      <c r="A37" s="289"/>
      <c r="B37" s="166"/>
      <c r="C37" s="167"/>
      <c r="D37" s="164"/>
      <c r="E37" s="164"/>
      <c r="F37" s="164"/>
      <c r="G37" s="1159" t="s">
        <v>1200</v>
      </c>
      <c r="H37" s="1159"/>
      <c r="I37" s="1159"/>
      <c r="J37" s="1159"/>
      <c r="K37" s="1159"/>
      <c r="L37" s="177" t="s">
        <v>1134</v>
      </c>
      <c r="M37" s="169">
        <v>31</v>
      </c>
      <c r="N37" s="290"/>
    </row>
    <row r="38" spans="1:14">
      <c r="A38" s="289"/>
      <c r="B38" s="166"/>
      <c r="C38" s="167"/>
      <c r="D38" s="164"/>
      <c r="E38" s="164"/>
      <c r="F38" s="164"/>
      <c r="G38" s="1158" t="s">
        <v>773</v>
      </c>
      <c r="H38" s="1158"/>
      <c r="I38" s="1158"/>
      <c r="J38" s="1158"/>
      <c r="K38" s="1158"/>
      <c r="L38" s="176"/>
      <c r="M38" s="168">
        <v>32</v>
      </c>
      <c r="N38" s="290"/>
    </row>
    <row r="39" spans="1:14">
      <c r="A39" s="289"/>
      <c r="B39" s="166"/>
      <c r="C39" s="167"/>
      <c r="D39" s="164"/>
      <c r="E39" s="164"/>
      <c r="F39" s="164"/>
      <c r="G39" s="1159" t="s">
        <v>1201</v>
      </c>
      <c r="H39" s="1159"/>
      <c r="I39" s="1159"/>
      <c r="J39" s="1159"/>
      <c r="K39" s="1159"/>
      <c r="L39" s="177" t="s">
        <v>1134</v>
      </c>
      <c r="M39" s="169">
        <v>33</v>
      </c>
      <c r="N39" s="290"/>
    </row>
    <row r="40" spans="1:14">
      <c r="A40" s="289"/>
      <c r="B40" s="166"/>
      <c r="C40" s="167"/>
      <c r="D40" s="164"/>
      <c r="E40" s="164"/>
      <c r="F40" s="164"/>
      <c r="G40" s="1158" t="s">
        <v>775</v>
      </c>
      <c r="H40" s="1158"/>
      <c r="I40" s="1158"/>
      <c r="J40" s="1158"/>
      <c r="K40" s="1158"/>
      <c r="L40" s="176"/>
      <c r="M40" s="168">
        <v>34</v>
      </c>
      <c r="N40" s="290"/>
    </row>
    <row r="41" spans="1:14">
      <c r="A41" s="289"/>
      <c r="B41" s="170"/>
      <c r="C41" s="171"/>
      <c r="D41" s="172"/>
      <c r="E41" s="172"/>
      <c r="F41" s="172"/>
      <c r="G41" s="1180" t="s">
        <v>1202</v>
      </c>
      <c r="H41" s="1180"/>
      <c r="I41" s="1180"/>
      <c r="J41" s="1180"/>
      <c r="K41" s="1180"/>
      <c r="L41" s="177" t="s">
        <v>1134</v>
      </c>
      <c r="M41" s="173">
        <v>35</v>
      </c>
      <c r="N41" s="290"/>
    </row>
    <row r="42" spans="1:14" ht="16.2">
      <c r="A42" s="289"/>
      <c r="B42" s="1149" t="s">
        <v>1140</v>
      </c>
      <c r="C42" s="1150"/>
      <c r="D42" s="1150"/>
      <c r="E42" s="1150"/>
      <c r="F42" s="1150"/>
      <c r="G42" s="1155" t="s">
        <v>1254</v>
      </c>
      <c r="H42" s="1155"/>
      <c r="I42" s="1155"/>
      <c r="J42" s="1155"/>
      <c r="K42" s="1155"/>
      <c r="L42" s="184"/>
      <c r="M42" s="168">
        <v>36</v>
      </c>
      <c r="N42" s="290"/>
    </row>
    <row r="43" spans="1:14">
      <c r="A43" s="289"/>
      <c r="B43" s="164"/>
      <c r="C43" s="164"/>
      <c r="D43" s="164"/>
      <c r="E43" s="164"/>
      <c r="F43" s="164"/>
      <c r="G43" s="164"/>
      <c r="H43" s="314"/>
      <c r="I43" s="164"/>
      <c r="J43" s="164"/>
      <c r="K43" s="164"/>
      <c r="L43" s="164"/>
      <c r="M43" s="164"/>
      <c r="N43" s="290"/>
    </row>
    <row r="44" spans="1:14" ht="13.95" customHeight="1">
      <c r="A44" s="291"/>
      <c r="B44" s="292"/>
      <c r="C44" s="292"/>
      <c r="D44" s="292"/>
      <c r="E44" s="292"/>
      <c r="F44" s="292"/>
      <c r="G44" s="292"/>
      <c r="H44" s="315"/>
      <c r="I44" s="292"/>
      <c r="J44" s="292"/>
      <c r="K44" s="292"/>
      <c r="L44" s="292"/>
      <c r="M44" s="292"/>
      <c r="N44" s="293"/>
    </row>
    <row r="45" spans="1:14" ht="30" customHeight="1">
      <c r="A45" s="989" t="s">
        <v>431</v>
      </c>
      <c r="B45" s="990"/>
      <c r="C45" s="990"/>
      <c r="D45" s="990"/>
      <c r="E45" s="990"/>
      <c r="F45" s="990"/>
      <c r="G45" s="990"/>
      <c r="H45" s="990"/>
      <c r="I45" s="990"/>
      <c r="J45" s="990"/>
      <c r="K45" s="990"/>
      <c r="L45" s="990"/>
      <c r="M45" s="990"/>
      <c r="N45" s="991"/>
    </row>
    <row r="46" spans="1:14" ht="34.950000000000003" customHeight="1">
      <c r="A46" s="992"/>
      <c r="B46" s="993"/>
      <c r="C46" s="993"/>
      <c r="D46" s="993"/>
      <c r="E46" s="993"/>
      <c r="F46" s="993"/>
      <c r="G46" s="993"/>
      <c r="H46" s="993"/>
      <c r="I46" s="993"/>
      <c r="J46" s="993"/>
      <c r="K46" s="993"/>
      <c r="L46" s="993"/>
      <c r="M46" s="993"/>
      <c r="N46" s="994"/>
    </row>
    <row r="47" spans="1:14" ht="37.200000000000003" customHeight="1">
      <c r="A47" s="995" t="s">
        <v>1204</v>
      </c>
      <c r="B47" s="996"/>
      <c r="C47" s="996"/>
      <c r="D47" s="996"/>
      <c r="E47" s="996"/>
      <c r="F47" s="996"/>
      <c r="G47" s="996"/>
      <c r="H47" s="996"/>
      <c r="I47" s="996"/>
      <c r="J47" s="996"/>
      <c r="K47" s="996"/>
      <c r="L47" s="996"/>
      <c r="M47" s="996"/>
      <c r="N47" s="997"/>
    </row>
    <row r="48" spans="1:14" ht="37.200000000000003" customHeight="1">
      <c r="A48" s="995"/>
      <c r="B48" s="996"/>
      <c r="C48" s="996"/>
      <c r="D48" s="996"/>
      <c r="E48" s="996"/>
      <c r="F48" s="996"/>
      <c r="G48" s="996"/>
      <c r="H48" s="996"/>
      <c r="I48" s="996"/>
      <c r="J48" s="996"/>
      <c r="K48" s="996"/>
      <c r="L48" s="996"/>
      <c r="M48" s="996"/>
      <c r="N48" s="997"/>
    </row>
    <row r="49" spans="1:14" ht="4.95" customHeight="1">
      <c r="A49" s="282"/>
      <c r="B49" s="283"/>
      <c r="C49" s="283"/>
      <c r="D49" s="283"/>
      <c r="E49" s="283"/>
      <c r="F49" s="283"/>
      <c r="G49" s="283"/>
      <c r="H49" s="316"/>
      <c r="I49" s="283"/>
      <c r="J49" s="283"/>
      <c r="K49" s="283"/>
      <c r="L49" s="283"/>
      <c r="M49" s="283"/>
      <c r="N49" s="284"/>
    </row>
    <row r="50" spans="1:14" ht="30" customHeight="1">
      <c r="A50" s="282"/>
      <c r="B50" s="1151" t="s">
        <v>1203</v>
      </c>
      <c r="C50" s="1151"/>
      <c r="D50" s="1151"/>
      <c r="E50" s="1151"/>
      <c r="F50" s="1151"/>
      <c r="G50" s="1151"/>
      <c r="H50" s="1151"/>
      <c r="I50" s="1151"/>
      <c r="J50" s="1151"/>
      <c r="K50" s="1151"/>
      <c r="L50" s="1151"/>
      <c r="M50" s="1151"/>
      <c r="N50" s="284"/>
    </row>
    <row r="51" spans="1:14" ht="15" customHeight="1">
      <c r="A51" s="282"/>
      <c r="B51" s="1151"/>
      <c r="C51" s="1151"/>
      <c r="D51" s="1151"/>
      <c r="E51" s="1151"/>
      <c r="F51" s="1151"/>
      <c r="G51" s="1151"/>
      <c r="H51" s="1151"/>
      <c r="I51" s="1151"/>
      <c r="J51" s="1151"/>
      <c r="K51" s="1151"/>
      <c r="L51" s="1151"/>
      <c r="M51" s="1151"/>
      <c r="N51" s="284"/>
    </row>
    <row r="52" spans="1:14" ht="4.95" customHeight="1">
      <c r="A52" s="282"/>
      <c r="B52" s="285"/>
      <c r="C52" s="285"/>
      <c r="D52" s="285"/>
      <c r="E52" s="285"/>
      <c r="F52" s="285"/>
      <c r="G52" s="285"/>
      <c r="H52" s="317"/>
      <c r="I52" s="285"/>
      <c r="J52" s="285"/>
      <c r="K52" s="285"/>
      <c r="L52" s="285"/>
      <c r="M52" s="285"/>
      <c r="N52" s="284"/>
    </row>
    <row r="53" spans="1:14" ht="10.199999999999999" customHeight="1">
      <c r="A53" s="274"/>
      <c r="B53" s="29"/>
      <c r="C53" s="29"/>
      <c r="D53" s="29"/>
      <c r="E53" s="29"/>
      <c r="F53" s="29"/>
      <c r="G53" s="29"/>
      <c r="H53" s="318"/>
      <c r="I53" s="29"/>
      <c r="J53" s="29"/>
      <c r="K53" s="29"/>
      <c r="L53" s="29"/>
      <c r="M53" s="29"/>
      <c r="N53" s="275"/>
    </row>
    <row r="54" spans="1:14" ht="15" customHeight="1">
      <c r="A54" s="274"/>
      <c r="B54" s="1206" t="s">
        <v>652</v>
      </c>
      <c r="C54" s="1206"/>
      <c r="D54" s="1206"/>
      <c r="E54" s="1206"/>
      <c r="F54" s="1206"/>
      <c r="G54" s="1206"/>
      <c r="H54" s="1206"/>
      <c r="I54" s="1206"/>
      <c r="J54" s="1206"/>
      <c r="K54" s="1206"/>
      <c r="L54" s="1206"/>
      <c r="M54" s="1206"/>
      <c r="N54" s="275"/>
    </row>
    <row r="55" spans="1:14" ht="15" customHeight="1">
      <c r="A55" s="274"/>
      <c r="B55" s="1206"/>
      <c r="C55" s="1206"/>
      <c r="D55" s="1206"/>
      <c r="E55" s="1206"/>
      <c r="F55" s="1206"/>
      <c r="G55" s="1206"/>
      <c r="H55" s="1206"/>
      <c r="I55" s="1206"/>
      <c r="J55" s="1206"/>
      <c r="K55" s="1206"/>
      <c r="L55" s="1206"/>
      <c r="M55" s="1206"/>
      <c r="N55" s="275"/>
    </row>
    <row r="56" spans="1:14" ht="15" customHeight="1">
      <c r="A56" s="274"/>
      <c r="B56" s="286"/>
      <c r="C56" s="286"/>
      <c r="D56" s="286"/>
      <c r="E56" s="286"/>
      <c r="F56" s="286"/>
      <c r="G56" s="286"/>
      <c r="H56" s="319"/>
      <c r="I56" s="286"/>
      <c r="J56" s="286"/>
      <c r="K56" s="286"/>
      <c r="L56" s="286"/>
      <c r="M56" s="286"/>
      <c r="N56" s="275"/>
    </row>
    <row r="57" spans="1:14" ht="10.199999999999999" customHeight="1">
      <c r="A57" s="274"/>
      <c r="B57" s="1214" t="s">
        <v>634</v>
      </c>
      <c r="C57" s="1214"/>
      <c r="D57" s="1214"/>
      <c r="E57" s="1214"/>
      <c r="F57" s="1214"/>
      <c r="G57" s="29"/>
      <c r="H57" s="318"/>
      <c r="I57" s="1215" t="s">
        <v>636</v>
      </c>
      <c r="J57" s="1215"/>
      <c r="K57" s="1215"/>
      <c r="L57" s="1215"/>
      <c r="M57" s="1215"/>
      <c r="N57" s="275"/>
    </row>
    <row r="58" spans="1:14" ht="15" customHeight="1">
      <c r="A58" s="274"/>
      <c r="B58" s="1214"/>
      <c r="C58" s="1214"/>
      <c r="D58" s="1214"/>
      <c r="E58" s="1214"/>
      <c r="F58" s="1214"/>
      <c r="G58" s="29"/>
      <c r="H58" s="318"/>
      <c r="I58" s="1215"/>
      <c r="J58" s="1215"/>
      <c r="K58" s="1215"/>
      <c r="L58" s="1215"/>
      <c r="M58" s="1215"/>
      <c r="N58" s="275"/>
    </row>
    <row r="59" spans="1:14" ht="15" customHeight="1">
      <c r="A59" s="274"/>
      <c r="B59" s="1214"/>
      <c r="C59" s="1214"/>
      <c r="D59" s="1214"/>
      <c r="E59" s="1214"/>
      <c r="F59" s="1214"/>
      <c r="G59" s="1207" t="s">
        <v>635</v>
      </c>
      <c r="H59" s="1207"/>
      <c r="I59" s="1215"/>
      <c r="J59" s="1215"/>
      <c r="K59" s="1215"/>
      <c r="L59" s="1215"/>
      <c r="M59" s="1215"/>
      <c r="N59" s="275"/>
    </row>
    <row r="60" spans="1:14" ht="15" customHeight="1">
      <c r="A60" s="274"/>
      <c r="B60" s="1214"/>
      <c r="C60" s="1214"/>
      <c r="D60" s="1214"/>
      <c r="E60" s="1214"/>
      <c r="F60" s="1214"/>
      <c r="G60" s="1207"/>
      <c r="H60" s="1207"/>
      <c r="I60" s="1215"/>
      <c r="J60" s="1215"/>
      <c r="K60" s="1215"/>
      <c r="L60" s="1215"/>
      <c r="M60" s="1215"/>
      <c r="N60" s="275"/>
    </row>
    <row r="61" spans="1:14" ht="10.199999999999999" customHeight="1">
      <c r="A61" s="274"/>
      <c r="B61" s="1214"/>
      <c r="C61" s="1214"/>
      <c r="D61" s="1214"/>
      <c r="E61" s="1214"/>
      <c r="F61" s="1214"/>
      <c r="G61" s="1207"/>
      <c r="H61" s="1207"/>
      <c r="I61" s="1215"/>
      <c r="J61" s="1215"/>
      <c r="K61" s="1215"/>
      <c r="L61" s="1215"/>
      <c r="M61" s="1215"/>
      <c r="N61" s="275"/>
    </row>
    <row r="62" spans="1:14" ht="15" customHeight="1" thickBot="1">
      <c r="A62" s="274"/>
      <c r="B62" s="286"/>
      <c r="C62" s="286"/>
      <c r="D62" s="286"/>
      <c r="E62" s="286"/>
      <c r="F62" s="286"/>
      <c r="G62" s="286"/>
      <c r="H62" s="319"/>
      <c r="I62" s="286"/>
      <c r="J62" s="286"/>
      <c r="K62" s="286"/>
      <c r="L62" s="286"/>
      <c r="M62" s="286"/>
      <c r="N62" s="275"/>
    </row>
    <row r="63" spans="1:14" ht="15" customHeight="1" thickTop="1">
      <c r="A63" s="274"/>
      <c r="B63" s="287" t="s">
        <v>637</v>
      </c>
      <c r="C63" s="29"/>
      <c r="D63" s="29"/>
      <c r="E63" s="1208" t="s">
        <v>643</v>
      </c>
      <c r="F63" s="1209"/>
      <c r="G63" s="1209"/>
      <c r="H63" s="1209"/>
      <c r="I63" s="1209"/>
      <c r="J63" s="1209"/>
      <c r="K63" s="1209"/>
      <c r="L63" s="1209"/>
      <c r="M63" s="1210"/>
      <c r="N63" s="275"/>
    </row>
    <row r="64" spans="1:14" ht="15" customHeight="1" thickBot="1">
      <c r="A64" s="274"/>
      <c r="B64" s="287" t="s">
        <v>638</v>
      </c>
      <c r="C64" s="29"/>
      <c r="D64" s="29"/>
      <c r="E64" s="1211"/>
      <c r="F64" s="1212"/>
      <c r="G64" s="1212"/>
      <c r="H64" s="1212"/>
      <c r="I64" s="1212"/>
      <c r="J64" s="1212"/>
      <c r="K64" s="1212"/>
      <c r="L64" s="1212"/>
      <c r="M64" s="1213"/>
      <c r="N64" s="275"/>
    </row>
    <row r="65" spans="1:62" ht="10.199999999999999" customHeight="1" thickTop="1">
      <c r="A65" s="274"/>
      <c r="B65" s="286"/>
      <c r="C65" s="286"/>
      <c r="D65" s="286"/>
      <c r="E65" s="286"/>
      <c r="F65" s="286"/>
      <c r="G65" s="286"/>
      <c r="H65" s="319"/>
      <c r="I65" s="286"/>
      <c r="J65" s="286"/>
      <c r="K65" s="286"/>
      <c r="L65" s="286"/>
      <c r="M65" s="286"/>
      <c r="N65" s="275"/>
    </row>
    <row r="66" spans="1:62" ht="15" customHeight="1">
      <c r="A66" s="1216" t="str">
        <f>IF(OR($E$63=$BF$74,$E$63=""),"+","")</f>
        <v>+</v>
      </c>
      <c r="B66" s="1188" t="str">
        <f>IF(E63="","INSTRUCTIONS: How to get the most from this",BF67)</f>
        <v xml:space="preserve">INSTRUCTIONS: How to get the most from this </v>
      </c>
      <c r="C66" s="1188"/>
      <c r="D66" s="1188"/>
      <c r="E66" s="1188"/>
      <c r="F66" s="1188"/>
      <c r="G66" s="1188"/>
      <c r="H66" s="1188"/>
      <c r="I66" s="1188"/>
      <c r="J66" s="1188"/>
      <c r="K66" s="1188"/>
      <c r="L66" s="1188"/>
      <c r="M66" s="1188"/>
      <c r="N66" s="1187" t="str">
        <f>IF(OR($E$63=$BF$74,$E$63=""),"+","")</f>
        <v>+</v>
      </c>
    </row>
    <row r="67" spans="1:62" ht="15" customHeight="1">
      <c r="A67" s="1216"/>
      <c r="B67" s="1188"/>
      <c r="C67" s="1188"/>
      <c r="D67" s="1188"/>
      <c r="E67" s="1188"/>
      <c r="F67" s="1188"/>
      <c r="G67" s="1188"/>
      <c r="H67" s="1188"/>
      <c r="I67" s="1188"/>
      <c r="J67" s="1188"/>
      <c r="K67" s="1188"/>
      <c r="L67" s="1188"/>
      <c r="M67" s="1188"/>
      <c r="N67" s="1187"/>
      <c r="BF67" s="46" t="str">
        <f>IF($E$63=$BF$74,BH67,IF($E$63=$BF$75,BI67,IF($E$63=$BF$76,BJ67,"")))</f>
        <v xml:space="preserve">INSTRUCTIONS: How to get the most from this </v>
      </c>
      <c r="BH67" s="46" t="s">
        <v>644</v>
      </c>
      <c r="BI67" s="46" t="s">
        <v>645</v>
      </c>
      <c r="BJ67" s="46" t="s">
        <v>646</v>
      </c>
    </row>
    <row r="68" spans="1:62" ht="15" customHeight="1">
      <c r="A68" s="1216"/>
      <c r="B68" s="969" t="str">
        <f>IF(E63="",BH70,BF70)</f>
        <v>This tool is interactive. Wherever you see a white field, select what best fits your experience. Then see how it changes the text below it. This text will be replaced when you select an option from the dropdown menu above.</v>
      </c>
      <c r="C68" s="969"/>
      <c r="D68" s="969"/>
      <c r="E68" s="969"/>
      <c r="F68" s="969"/>
      <c r="G68" s="969"/>
      <c r="H68" s="969"/>
      <c r="I68" s="969"/>
      <c r="J68" s="969"/>
      <c r="K68" s="969"/>
      <c r="L68" s="969"/>
      <c r="M68" s="969"/>
      <c r="N68" s="1187"/>
    </row>
    <row r="69" spans="1:62" ht="10.199999999999999" customHeight="1">
      <c r="A69" s="1216"/>
      <c r="B69" s="969"/>
      <c r="C69" s="969"/>
      <c r="D69" s="969"/>
      <c r="E69" s="969"/>
      <c r="F69" s="969"/>
      <c r="G69" s="969"/>
      <c r="H69" s="969"/>
      <c r="I69" s="969"/>
      <c r="J69" s="969"/>
      <c r="K69" s="969"/>
      <c r="L69" s="969"/>
      <c r="M69" s="969"/>
      <c r="N69" s="1187"/>
    </row>
    <row r="70" spans="1:62" ht="15" customHeight="1">
      <c r="A70" s="1216"/>
      <c r="B70" s="969"/>
      <c r="C70" s="969"/>
      <c r="D70" s="969"/>
      <c r="E70" s="969"/>
      <c r="F70" s="969"/>
      <c r="G70" s="969"/>
      <c r="H70" s="969"/>
      <c r="I70" s="969"/>
      <c r="J70" s="969"/>
      <c r="K70" s="969"/>
      <c r="L70" s="969"/>
      <c r="M70" s="969"/>
      <c r="N70" s="1187"/>
      <c r="BF70" s="46" t="str">
        <f>IF($E$63=$BF$74,BH70,IF($E$63=$BF$75,BI70,IF($E$63=$BF$76,BJ70,"")))</f>
        <v>This tool is interactive. Wherever you see a white field, select what best fits your experience. Then see how it changes the text below it. This text will be replaced when you select an option from the dropdown menu above.</v>
      </c>
      <c r="BH70" s="46" t="s">
        <v>647</v>
      </c>
      <c r="BI70" s="46" t="s">
        <v>648</v>
      </c>
      <c r="BJ70" s="46" t="s">
        <v>649</v>
      </c>
    </row>
    <row r="71" spans="1:62" ht="15" customHeight="1">
      <c r="A71" s="1216"/>
      <c r="B71" s="969"/>
      <c r="C71" s="969"/>
      <c r="D71" s="969"/>
      <c r="E71" s="969"/>
      <c r="F71" s="969"/>
      <c r="G71" s="969"/>
      <c r="H71" s="969"/>
      <c r="I71" s="969"/>
      <c r="J71" s="969"/>
      <c r="K71" s="969"/>
      <c r="L71" s="969"/>
      <c r="M71" s="969"/>
      <c r="N71" s="1187"/>
      <c r="BF71" s="46" t="str">
        <f>IF($E$63=$BF$74,BH71,IF($E$63=$BF$75,BI71,IF($E$63=$BF$76,BJ71,"")))</f>
        <v>Look for the "I" in a green circle, at the right, to indicate each Interactive feature. Your input brings this information alive with your own lived experiences. We aim to be as specific as possible. This interactive feature lets its insights be more specific to your life.</v>
      </c>
      <c r="BH71" s="46" t="s">
        <v>1215</v>
      </c>
      <c r="BI71" s="46" t="s">
        <v>642</v>
      </c>
      <c r="BJ71" s="46" t="s">
        <v>651</v>
      </c>
    </row>
    <row r="72" spans="1:62" ht="15" customHeight="1">
      <c r="A72" s="1216"/>
      <c r="B72" s="969"/>
      <c r="C72" s="969"/>
      <c r="D72" s="969"/>
      <c r="E72" s="969"/>
      <c r="F72" s="969"/>
      <c r="G72" s="969"/>
      <c r="H72" s="969"/>
      <c r="I72" s="969"/>
      <c r="J72" s="969"/>
      <c r="K72" s="969"/>
      <c r="L72" s="969"/>
      <c r="M72" s="969"/>
      <c r="N72" s="1187"/>
      <c r="BF72" s="46" t="str">
        <f>IF($E$63=$BF$74,BH72,IF($E$63=$BF$75,BI72,IF($E$63=$BF$76,BJ72,"")))</f>
        <v xml:space="preserve">This is the first version of this tool. You can expect it to be revised, as we learn from each other. Remember, politics exist for you and your needs. You and your needs do not exist for politics. </v>
      </c>
      <c r="BH72" s="46" t="s">
        <v>1214</v>
      </c>
      <c r="BI72" s="46" t="s">
        <v>641</v>
      </c>
      <c r="BJ72" s="46" t="s">
        <v>650</v>
      </c>
    </row>
    <row r="73" spans="1:62" ht="10.199999999999999" customHeight="1">
      <c r="A73" s="1216"/>
      <c r="B73" s="969"/>
      <c r="C73" s="969"/>
      <c r="D73" s="969"/>
      <c r="E73" s="969"/>
      <c r="F73" s="969"/>
      <c r="G73" s="969"/>
      <c r="H73" s="969"/>
      <c r="I73" s="969"/>
      <c r="J73" s="969"/>
      <c r="K73" s="969"/>
      <c r="L73" s="969"/>
      <c r="M73" s="969"/>
      <c r="N73" s="1187"/>
    </row>
    <row r="74" spans="1:62" ht="15" customHeight="1">
      <c r="A74" s="1216"/>
      <c r="B74" s="969" t="str">
        <f>IF(E63="",BH71,BF71)</f>
        <v>Look for the "I" in a green circle, at the right, to indicate each Interactive feature. Your input brings this information alive with your own lived experiences. We aim to be as specific as possible. This interactive feature lets its insights be more specific to your life.</v>
      </c>
      <c r="C74" s="969"/>
      <c r="D74" s="969"/>
      <c r="E74" s="969"/>
      <c r="F74" s="969"/>
      <c r="G74" s="969"/>
      <c r="H74" s="969"/>
      <c r="I74" s="969"/>
      <c r="J74" s="969"/>
      <c r="K74" s="969"/>
      <c r="L74" s="969"/>
      <c r="M74" s="969"/>
      <c r="N74" s="1187"/>
      <c r="BF74" s="137" t="s">
        <v>643</v>
      </c>
    </row>
    <row r="75" spans="1:62" ht="15" customHeight="1">
      <c r="A75" s="1216"/>
      <c r="B75" s="969"/>
      <c r="C75" s="969"/>
      <c r="D75" s="969"/>
      <c r="E75" s="969"/>
      <c r="F75" s="969"/>
      <c r="G75" s="969"/>
      <c r="H75" s="969"/>
      <c r="I75" s="969"/>
      <c r="J75" s="969"/>
      <c r="K75" s="969"/>
      <c r="L75" s="969"/>
      <c r="M75" s="969"/>
      <c r="N75" s="1187"/>
      <c r="BF75" s="2" t="str">
        <f>B57</f>
        <v>We freely choose our political positions after carefully reasoning each option.</v>
      </c>
    </row>
    <row r="76" spans="1:62" ht="15" customHeight="1">
      <c r="A76" s="1216"/>
      <c r="B76" s="969"/>
      <c r="C76" s="969"/>
      <c r="D76" s="969"/>
      <c r="E76" s="969"/>
      <c r="F76" s="969"/>
      <c r="G76" s="969"/>
      <c r="H76" s="969"/>
      <c r="I76" s="969"/>
      <c r="J76" s="969"/>
      <c r="K76" s="969"/>
      <c r="L76" s="969"/>
      <c r="M76" s="969"/>
      <c r="N76" s="1187"/>
      <c r="BF76" s="2" t="str">
        <f>I57</f>
        <v>We're compelled to choose a political position that best fits our painful needs.</v>
      </c>
    </row>
    <row r="77" spans="1:62" ht="10.199999999999999" customHeight="1">
      <c r="A77" s="1216"/>
      <c r="B77" s="969"/>
      <c r="C77" s="969"/>
      <c r="D77" s="969"/>
      <c r="E77" s="969"/>
      <c r="F77" s="969"/>
      <c r="G77" s="969"/>
      <c r="H77" s="969"/>
      <c r="I77" s="969"/>
      <c r="J77" s="969"/>
      <c r="K77" s="969"/>
      <c r="L77" s="969"/>
      <c r="M77" s="969"/>
      <c r="N77" s="1187"/>
    </row>
    <row r="78" spans="1:62" ht="15" customHeight="1">
      <c r="A78" s="1216"/>
      <c r="B78" s="969"/>
      <c r="C78" s="969"/>
      <c r="D78" s="969"/>
      <c r="E78" s="969"/>
      <c r="F78" s="969"/>
      <c r="G78" s="969"/>
      <c r="H78" s="969"/>
      <c r="I78" s="969"/>
      <c r="J78" s="969"/>
      <c r="K78" s="969"/>
      <c r="L78" s="969"/>
      <c r="M78" s="969"/>
      <c r="N78" s="1187"/>
    </row>
    <row r="79" spans="1:62" ht="15" customHeight="1">
      <c r="A79" s="1216"/>
      <c r="B79" s="969"/>
      <c r="C79" s="969"/>
      <c r="D79" s="969"/>
      <c r="E79" s="969"/>
      <c r="F79" s="969"/>
      <c r="G79" s="969"/>
      <c r="H79" s="969"/>
      <c r="I79" s="969"/>
      <c r="J79" s="969"/>
      <c r="K79" s="969"/>
      <c r="L79" s="969"/>
      <c r="M79" s="969"/>
      <c r="N79" s="1187"/>
    </row>
    <row r="80" spans="1:62" ht="15" customHeight="1">
      <c r="A80" s="1216"/>
      <c r="B80" s="969" t="str">
        <f>IF(E63="",BH72,BF72)</f>
        <v xml:space="preserve">This is the first version of this tool. You can expect it to be revised, as we learn from each other. Remember, politics exist for you and your needs. You and your needs do not exist for politics. </v>
      </c>
      <c r="C80" s="969"/>
      <c r="D80" s="969"/>
      <c r="E80" s="969"/>
      <c r="F80" s="969"/>
      <c r="G80" s="969"/>
      <c r="H80" s="969"/>
      <c r="I80" s="969"/>
      <c r="J80" s="969"/>
      <c r="K80" s="969"/>
      <c r="L80" s="969"/>
      <c r="M80" s="969"/>
      <c r="N80" s="1187"/>
    </row>
    <row r="81" spans="1:30" ht="10.199999999999999" customHeight="1">
      <c r="A81" s="1216"/>
      <c r="B81" s="969"/>
      <c r="C81" s="969"/>
      <c r="D81" s="969"/>
      <c r="E81" s="969"/>
      <c r="F81" s="969"/>
      <c r="G81" s="969"/>
      <c r="H81" s="969"/>
      <c r="I81" s="969"/>
      <c r="J81" s="969"/>
      <c r="K81" s="969"/>
      <c r="L81" s="969"/>
      <c r="M81" s="969"/>
      <c r="N81" s="1187"/>
    </row>
    <row r="82" spans="1:30" ht="15" customHeight="1">
      <c r="A82" s="1216"/>
      <c r="B82" s="969"/>
      <c r="C82" s="969"/>
      <c r="D82" s="969"/>
      <c r="E82" s="969"/>
      <c r="F82" s="969"/>
      <c r="G82" s="969"/>
      <c r="H82" s="969"/>
      <c r="I82" s="969"/>
      <c r="J82" s="969"/>
      <c r="K82" s="969"/>
      <c r="L82" s="969"/>
      <c r="M82" s="969"/>
      <c r="N82" s="1187"/>
    </row>
    <row r="83" spans="1:30" ht="15" customHeight="1">
      <c r="A83" s="1216"/>
      <c r="B83" s="969"/>
      <c r="C83" s="969"/>
      <c r="D83" s="969"/>
      <c r="E83" s="969"/>
      <c r="F83" s="969"/>
      <c r="G83" s="969"/>
      <c r="H83" s="969"/>
      <c r="I83" s="969"/>
      <c r="J83" s="969"/>
      <c r="K83" s="969"/>
      <c r="L83" s="969"/>
      <c r="M83" s="969"/>
      <c r="N83" s="1187"/>
    </row>
    <row r="84" spans="1:30" ht="15" customHeight="1">
      <c r="A84" s="1216"/>
      <c r="B84" s="969"/>
      <c r="C84" s="969"/>
      <c r="D84" s="969"/>
      <c r="E84" s="969"/>
      <c r="F84" s="969"/>
      <c r="G84" s="969"/>
      <c r="H84" s="969"/>
      <c r="I84" s="969"/>
      <c r="J84" s="969"/>
      <c r="K84" s="969"/>
      <c r="L84" s="969"/>
      <c r="M84" s="969"/>
      <c r="N84" s="1187"/>
    </row>
    <row r="85" spans="1:30" ht="4.95" customHeight="1">
      <c r="A85" s="274"/>
      <c r="B85" s="288"/>
      <c r="C85" s="288"/>
      <c r="D85" s="288"/>
      <c r="E85" s="288"/>
      <c r="F85" s="288"/>
      <c r="G85" s="288"/>
      <c r="H85" s="320"/>
      <c r="I85" s="288"/>
      <c r="J85" s="288"/>
      <c r="K85" s="288"/>
      <c r="L85" s="288"/>
      <c r="M85" s="288"/>
      <c r="N85" s="275"/>
    </row>
    <row r="86" spans="1:30" ht="15" customHeight="1">
      <c r="A86" s="274"/>
      <c r="B86" s="1217" t="str">
        <f>IF(E63&lt;&gt;"","HARMONY POLITICS overcomes polarizing hate with love","")</f>
        <v>HARMONY POLITICS overcomes polarizing hate with love</v>
      </c>
      <c r="C86" s="1217"/>
      <c r="D86" s="1217"/>
      <c r="E86" s="1217"/>
      <c r="F86" s="1217"/>
      <c r="G86" s="1217"/>
      <c r="H86" s="1217"/>
      <c r="I86" s="1217"/>
      <c r="J86" s="1217"/>
      <c r="K86" s="1217"/>
      <c r="L86" s="1217"/>
      <c r="M86" s="1217"/>
      <c r="N86" s="275"/>
    </row>
    <row r="87" spans="1:30" ht="15" customHeight="1">
      <c r="A87" s="274"/>
      <c r="B87" s="1217"/>
      <c r="C87" s="1217"/>
      <c r="D87" s="1217"/>
      <c r="E87" s="1217"/>
      <c r="F87" s="1217"/>
      <c r="G87" s="1217"/>
      <c r="H87" s="1217"/>
      <c r="I87" s="1217"/>
      <c r="J87" s="1217"/>
      <c r="K87" s="1217"/>
      <c r="L87" s="1217"/>
      <c r="M87" s="1217"/>
      <c r="N87" s="275"/>
    </row>
    <row r="88" spans="1:30" ht="4.95" customHeight="1">
      <c r="A88" s="276"/>
      <c r="B88" s="277"/>
      <c r="C88" s="277"/>
      <c r="D88" s="277"/>
      <c r="E88" s="277"/>
      <c r="F88" s="277"/>
      <c r="G88" s="277"/>
      <c r="H88" s="321"/>
      <c r="I88" s="277"/>
      <c r="J88" s="277"/>
      <c r="K88" s="277"/>
      <c r="L88" s="277"/>
      <c r="M88" s="277"/>
      <c r="N88" s="278"/>
    </row>
    <row r="89" spans="1:30" ht="30" customHeight="1">
      <c r="A89" s="258" t="s">
        <v>1148</v>
      </c>
      <c r="B89" s="946" t="s">
        <v>68</v>
      </c>
      <c r="C89" s="946"/>
      <c r="D89" s="946"/>
      <c r="E89" s="946"/>
      <c r="F89" s="946"/>
      <c r="G89" s="946"/>
      <c r="H89" s="946"/>
      <c r="I89" s="946"/>
      <c r="J89" s="946"/>
      <c r="K89" s="946"/>
      <c r="L89" s="946"/>
      <c r="M89" s="264"/>
      <c r="N89" s="260" t="s">
        <v>1149</v>
      </c>
      <c r="AC89" s="1"/>
    </row>
    <row r="90" spans="1:30">
      <c r="A90" s="253"/>
      <c r="B90" s="28"/>
      <c r="C90" s="28"/>
      <c r="D90" s="28"/>
      <c r="E90" s="28"/>
      <c r="F90" s="28"/>
      <c r="G90" s="28"/>
      <c r="H90" s="322"/>
      <c r="I90" s="28"/>
      <c r="J90" s="28"/>
      <c r="K90" s="28"/>
      <c r="L90" s="28"/>
      <c r="M90" s="28"/>
      <c r="N90" s="254"/>
      <c r="AC90" s="1"/>
    </row>
    <row r="91" spans="1:30">
      <c r="A91" s="253"/>
      <c r="B91" s="28"/>
      <c r="C91" s="28"/>
      <c r="D91" s="28"/>
      <c r="E91" s="28"/>
      <c r="F91" s="28"/>
      <c r="G91" s="28"/>
      <c r="H91" s="322"/>
      <c r="I91" s="28"/>
      <c r="J91" s="28"/>
      <c r="K91" s="28"/>
      <c r="L91" s="28"/>
      <c r="M91" s="28"/>
      <c r="N91" s="254"/>
      <c r="AC91" s="1"/>
    </row>
    <row r="92" spans="1:30" ht="45" customHeight="1">
      <c r="A92" s="253"/>
      <c r="B92" s="28"/>
      <c r="C92" s="28"/>
      <c r="D92" s="28"/>
      <c r="E92" s="28"/>
      <c r="F92" s="28"/>
      <c r="G92" s="28"/>
      <c r="H92" s="322"/>
      <c r="I92" s="28"/>
      <c r="J92" s="28"/>
      <c r="K92" s="28"/>
      <c r="L92" s="28"/>
      <c r="M92" s="28"/>
      <c r="N92" s="254"/>
      <c r="AC92" s="1"/>
    </row>
    <row r="93" spans="1:30">
      <c r="A93" s="253"/>
      <c r="B93" s="28"/>
      <c r="C93" s="28"/>
      <c r="D93" s="28"/>
      <c r="E93" s="28"/>
      <c r="F93" s="28"/>
      <c r="G93" s="28"/>
      <c r="H93" s="322"/>
      <c r="I93" s="28"/>
      <c r="J93" s="28"/>
      <c r="K93" s="28"/>
      <c r="L93" s="28"/>
      <c r="M93" s="28"/>
      <c r="N93" s="254"/>
      <c r="AC93" s="1"/>
    </row>
    <row r="94" spans="1:30" ht="30" customHeight="1">
      <c r="A94" s="253"/>
      <c r="B94" s="28"/>
      <c r="C94" s="28"/>
      <c r="D94" s="28"/>
      <c r="E94" s="28"/>
      <c r="F94" s="28"/>
      <c r="G94" s="28"/>
      <c r="H94" s="322"/>
      <c r="I94" s="28"/>
      <c r="J94" s="28"/>
      <c r="K94" s="28"/>
      <c r="L94" s="28"/>
      <c r="M94" s="28"/>
      <c r="N94" s="254"/>
      <c r="AC94" s="1"/>
      <c r="AD94" s="45"/>
    </row>
    <row r="95" spans="1:30" ht="30" customHeight="1">
      <c r="A95" s="253"/>
      <c r="B95" s="28"/>
      <c r="C95" s="28"/>
      <c r="D95" s="28"/>
      <c r="E95" s="28"/>
      <c r="F95" s="28"/>
      <c r="G95" s="28"/>
      <c r="H95" s="322"/>
      <c r="I95" s="28"/>
      <c r="J95" s="28"/>
      <c r="K95" s="28"/>
      <c r="L95" s="28"/>
      <c r="M95" s="28"/>
      <c r="N95" s="254"/>
      <c r="AC95" s="1"/>
    </row>
    <row r="96" spans="1:30" ht="30" customHeight="1">
      <c r="A96" s="253"/>
      <c r="B96" s="28"/>
      <c r="C96" s="28"/>
      <c r="D96" s="28"/>
      <c r="E96" s="28"/>
      <c r="F96" s="28"/>
      <c r="G96" s="28"/>
      <c r="H96" s="322"/>
      <c r="I96" s="28"/>
      <c r="J96" s="28"/>
      <c r="K96" s="28"/>
      <c r="L96" s="28"/>
      <c r="M96" s="28"/>
      <c r="N96" s="254"/>
      <c r="AC96" s="1"/>
    </row>
    <row r="97" spans="1:69">
      <c r="A97" s="253"/>
      <c r="B97" s="40"/>
      <c r="C97" s="28"/>
      <c r="D97" s="28"/>
      <c r="E97" s="28"/>
      <c r="F97" s="28"/>
      <c r="G97" s="28"/>
      <c r="H97" s="322"/>
      <c r="I97" s="28"/>
      <c r="J97" s="28"/>
      <c r="K97" s="28"/>
      <c r="L97" s="28"/>
      <c r="M97" s="28"/>
      <c r="N97" s="254"/>
      <c r="AC97" s="1"/>
    </row>
    <row r="98" spans="1:69">
      <c r="A98" s="253"/>
      <c r="B98" s="28"/>
      <c r="C98" s="28"/>
      <c r="D98" s="28"/>
      <c r="E98" s="28"/>
      <c r="F98" s="28"/>
      <c r="G98" s="28"/>
      <c r="H98" s="322"/>
      <c r="I98" s="28"/>
      <c r="J98" s="28"/>
      <c r="K98" s="28"/>
      <c r="L98" s="28"/>
      <c r="M98" s="28"/>
      <c r="N98" s="254"/>
      <c r="AC98" s="1"/>
    </row>
    <row r="99" spans="1:69" ht="30" customHeight="1">
      <c r="A99" s="253"/>
      <c r="B99" s="28"/>
      <c r="C99" s="28"/>
      <c r="D99" s="28"/>
      <c r="E99" s="28"/>
      <c r="F99" s="28"/>
      <c r="G99" s="28"/>
      <c r="H99" s="322"/>
      <c r="I99" s="28"/>
      <c r="J99" s="28"/>
      <c r="K99" s="28"/>
      <c r="L99" s="28"/>
      <c r="M99" s="28"/>
      <c r="N99" s="254"/>
      <c r="AC99" s="1"/>
    </row>
    <row r="100" spans="1:69" ht="30" customHeight="1">
      <c r="A100" s="253"/>
      <c r="B100" s="28"/>
      <c r="C100" s="28"/>
      <c r="D100" s="28"/>
      <c r="E100" s="28"/>
      <c r="F100" s="28"/>
      <c r="G100" s="28"/>
      <c r="H100" s="322"/>
      <c r="I100" s="28"/>
      <c r="J100" s="28"/>
      <c r="K100" s="28"/>
      <c r="L100" s="28"/>
      <c r="M100" s="28"/>
      <c r="N100" s="254"/>
      <c r="AC100" s="1"/>
      <c r="BB100" s="37" t="s">
        <v>66</v>
      </c>
      <c r="BC100" s="37" t="s">
        <v>67</v>
      </c>
    </row>
    <row r="101" spans="1:69">
      <c r="A101" s="253"/>
      <c r="B101" s="28"/>
      <c r="C101" s="28"/>
      <c r="D101" s="28"/>
      <c r="E101" s="28"/>
      <c r="F101" s="28"/>
      <c r="G101" s="28"/>
      <c r="H101" s="322"/>
      <c r="I101" s="28"/>
      <c r="J101" s="28"/>
      <c r="K101" s="28"/>
      <c r="L101" s="28"/>
      <c r="M101" s="28"/>
      <c r="N101" s="254"/>
      <c r="AC101" s="1"/>
      <c r="BB101" s="191" t="s">
        <v>557</v>
      </c>
      <c r="BC101" s="192" t="s">
        <v>571</v>
      </c>
      <c r="BD101" s="154" t="str">
        <f>CONCATENATE(BE101,BF101,BG101,BI101)</f>
        <v>Resolving this more than resolving that</v>
      </c>
      <c r="BE101" s="2" t="s">
        <v>555</v>
      </c>
      <c r="BF101" s="2" t="str">
        <f>IF(B173="","this",$B$173)</f>
        <v>this</v>
      </c>
      <c r="BG101" s="2" t="s">
        <v>556</v>
      </c>
      <c r="BI101" s="2" t="str">
        <f>IF(H173="","that",$H$173)</f>
        <v>that</v>
      </c>
      <c r="BL101" s="37" t="str">
        <f>CONCATENATE(BM101,BN101,BO101,BQ101)</f>
        <v>My need for this tends to be more resolved than my need for that</v>
      </c>
      <c r="BM101" s="2" t="s">
        <v>950</v>
      </c>
      <c r="BN101" s="2" t="str">
        <f>BF101</f>
        <v>this</v>
      </c>
      <c r="BO101" s="2" t="s">
        <v>1206</v>
      </c>
      <c r="BQ101" s="2" t="str">
        <f>BI101</f>
        <v>that</v>
      </c>
    </row>
    <row r="102" spans="1:69">
      <c r="A102" s="253"/>
      <c r="B102" s="28"/>
      <c r="C102" s="28"/>
      <c r="D102" s="28"/>
      <c r="E102" s="28"/>
      <c r="F102" s="28"/>
      <c r="G102" s="28"/>
      <c r="H102" s="322"/>
      <c r="I102" s="28"/>
      <c r="J102" s="28"/>
      <c r="K102" s="28"/>
      <c r="L102" s="28"/>
      <c r="M102" s="28"/>
      <c r="N102" s="254"/>
      <c r="AC102" s="1"/>
      <c r="BB102" s="191" t="s">
        <v>558</v>
      </c>
      <c r="BC102" s="192" t="s">
        <v>572</v>
      </c>
      <c r="BD102" s="154" t="str">
        <f>CONCATENATE(BE102,BI102,BG102,BF102)</f>
        <v>Resolving this more than resolving that</v>
      </c>
      <c r="BE102" s="2" t="s">
        <v>555</v>
      </c>
      <c r="BF102" s="2" t="str">
        <f>IF(H173="","that",$H$173)</f>
        <v>that</v>
      </c>
      <c r="BG102" s="2" t="s">
        <v>556</v>
      </c>
      <c r="BI102" s="2" t="str">
        <f>IF(B173="","this",$B$173)</f>
        <v>this</v>
      </c>
      <c r="BL102" s="37" t="str">
        <f>CONCATENATE(BM102,BN102,BO102,BQ102)</f>
        <v>My need for that tends to be more resolved than my need for this</v>
      </c>
      <c r="BM102" s="2" t="s">
        <v>950</v>
      </c>
      <c r="BN102" s="2" t="str">
        <f>BF102</f>
        <v>that</v>
      </c>
      <c r="BO102" s="2" t="s">
        <v>1206</v>
      </c>
      <c r="BQ102" s="2" t="str">
        <f>BI102</f>
        <v>this</v>
      </c>
    </row>
    <row r="103" spans="1:69" ht="19.95" customHeight="1">
      <c r="A103" s="253"/>
      <c r="B103" s="28"/>
      <c r="C103" s="28"/>
      <c r="D103" s="28"/>
      <c r="E103" s="28"/>
      <c r="F103" s="28"/>
      <c r="G103" s="28"/>
      <c r="H103" s="322"/>
      <c r="I103" s="28"/>
      <c r="J103" s="28"/>
      <c r="K103" s="28"/>
      <c r="L103" s="28"/>
      <c r="M103" s="28"/>
      <c r="N103" s="254"/>
      <c r="AC103" s="1"/>
      <c r="BB103" s="191" t="s">
        <v>559</v>
      </c>
      <c r="BC103" s="192" t="s">
        <v>573</v>
      </c>
    </row>
    <row r="104" spans="1:69" ht="19.95" customHeight="1">
      <c r="A104" s="253"/>
      <c r="B104" s="28"/>
      <c r="C104" s="28"/>
      <c r="D104" s="28"/>
      <c r="E104" s="28"/>
      <c r="F104" s="28"/>
      <c r="G104" s="28"/>
      <c r="H104" s="322"/>
      <c r="I104" s="28"/>
      <c r="J104" s="28"/>
      <c r="K104" s="28"/>
      <c r="L104" s="28"/>
      <c r="M104" s="28"/>
      <c r="N104" s="254"/>
      <c r="AC104" s="1"/>
      <c r="BB104" s="191" t="s">
        <v>560</v>
      </c>
      <c r="BC104" s="192" t="s">
        <v>574</v>
      </c>
    </row>
    <row r="105" spans="1:69" ht="19.95" customHeight="1">
      <c r="A105" s="253"/>
      <c r="B105" s="28"/>
      <c r="C105" s="28"/>
      <c r="D105" s="28"/>
      <c r="E105" s="28"/>
      <c r="F105" s="28"/>
      <c r="G105" s="28"/>
      <c r="H105" s="322"/>
      <c r="I105" s="28"/>
      <c r="J105" s="28"/>
      <c r="K105" s="28"/>
      <c r="L105" s="28"/>
      <c r="M105" s="28"/>
      <c r="N105" s="254"/>
      <c r="AC105" s="1"/>
      <c r="BB105" s="191" t="s">
        <v>561</v>
      </c>
      <c r="BC105" s="192" t="s">
        <v>575</v>
      </c>
    </row>
    <row r="106" spans="1:69" ht="19.95" customHeight="1">
      <c r="A106" s="253"/>
      <c r="B106" s="28"/>
      <c r="C106" s="28"/>
      <c r="D106" s="28"/>
      <c r="E106" s="28"/>
      <c r="F106" s="28"/>
      <c r="G106" s="28"/>
      <c r="H106" s="322"/>
      <c r="I106" s="28"/>
      <c r="J106" s="28"/>
      <c r="K106" s="28"/>
      <c r="L106" s="28"/>
      <c r="M106" s="28"/>
      <c r="N106" s="254"/>
      <c r="AC106" s="1"/>
      <c r="BB106" s="191" t="s">
        <v>562</v>
      </c>
      <c r="BC106" s="193" t="s">
        <v>181</v>
      </c>
      <c r="BE106" s="2" t="str">
        <f>IF($B$176=BL101,BF109,BF113)</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07" spans="1:69" ht="19.95" customHeight="1">
      <c r="A107" s="253"/>
      <c r="B107" s="28"/>
      <c r="C107" s="28"/>
      <c r="D107" s="28"/>
      <c r="E107" s="28"/>
      <c r="F107" s="28"/>
      <c r="G107" s="28"/>
      <c r="H107" s="322"/>
      <c r="I107" s="28"/>
      <c r="J107" s="28"/>
      <c r="K107" s="28"/>
      <c r="L107" s="28"/>
      <c r="M107" s="28"/>
      <c r="N107" s="254"/>
      <c r="AC107" s="1"/>
      <c r="BB107" s="191" t="s">
        <v>563</v>
      </c>
      <c r="BC107" s="192" t="s">
        <v>576</v>
      </c>
      <c r="BE107" s="2" t="str">
        <f>IF($B$176=BL102,BF113,BF109)</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08" spans="1:69" ht="19.95" customHeight="1">
      <c r="A108" s="253"/>
      <c r="B108" s="28"/>
      <c r="C108" s="28"/>
      <c r="D108" s="28"/>
      <c r="E108" s="28"/>
      <c r="F108" s="28"/>
      <c r="G108" s="28"/>
      <c r="H108" s="322"/>
      <c r="I108" s="28"/>
      <c r="J108" s="28"/>
      <c r="K108" s="28"/>
      <c r="L108" s="28"/>
      <c r="M108" s="28"/>
      <c r="N108" s="254"/>
      <c r="AC108" s="1"/>
      <c r="BB108" s="191" t="s">
        <v>564</v>
      </c>
      <c r="BC108" s="192" t="s">
        <v>577</v>
      </c>
    </row>
    <row r="109" spans="1:69" ht="19.95" customHeight="1">
      <c r="A109" s="253"/>
      <c r="B109" s="28"/>
      <c r="C109" s="28"/>
      <c r="D109" s="28"/>
      <c r="E109" s="28"/>
      <c r="F109" s="28"/>
      <c r="G109" s="28"/>
      <c r="H109" s="322"/>
      <c r="I109" s="28"/>
      <c r="J109" s="28"/>
      <c r="K109" s="28"/>
      <c r="L109" s="28"/>
      <c r="M109" s="28"/>
      <c r="N109" s="254"/>
      <c r="AC109" s="1"/>
      <c r="BB109" s="191" t="s">
        <v>565</v>
      </c>
      <c r="BC109" s="192" t="s">
        <v>578</v>
      </c>
      <c r="BF109" s="2" t="str">
        <f>CONCATENATE(BG110,BG111,BG112)</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10" spans="1:69" ht="19.95" customHeight="1">
      <c r="A110" s="253"/>
      <c r="B110" s="28"/>
      <c r="C110" s="28"/>
      <c r="D110" s="28"/>
      <c r="E110" s="28"/>
      <c r="F110" s="28"/>
      <c r="G110" s="28"/>
      <c r="H110" s="322"/>
      <c r="I110" s="28"/>
      <c r="J110" s="28"/>
      <c r="K110" s="28"/>
      <c r="L110" s="28"/>
      <c r="M110" s="28"/>
      <c r="N110" s="254"/>
      <c r="AC110" s="1"/>
      <c r="BB110" s="191" t="s">
        <v>200</v>
      </c>
      <c r="BC110" s="192" t="s">
        <v>579</v>
      </c>
      <c r="BG110" s="2" t="s">
        <v>746</v>
      </c>
    </row>
    <row r="111" spans="1:69" ht="19.95" customHeight="1">
      <c r="A111" s="253"/>
      <c r="B111" s="28"/>
      <c r="C111" s="28"/>
      <c r="D111" s="28"/>
      <c r="E111" s="28"/>
      <c r="F111" s="28"/>
      <c r="G111" s="28"/>
      <c r="H111" s="322"/>
      <c r="I111" s="28"/>
      <c r="J111" s="28"/>
      <c r="K111" s="28"/>
      <c r="L111" s="28"/>
      <c r="M111" s="28"/>
      <c r="N111" s="254"/>
      <c r="AC111" s="1"/>
      <c r="BB111" s="191" t="s">
        <v>566</v>
      </c>
      <c r="BC111" s="192" t="s">
        <v>580</v>
      </c>
      <c r="BG111" s="2" t="s">
        <v>748</v>
      </c>
    </row>
    <row r="112" spans="1:69" ht="19.95" customHeight="1">
      <c r="A112" s="253"/>
      <c r="B112" s="28"/>
      <c r="C112" s="28"/>
      <c r="D112" s="28"/>
      <c r="E112" s="28"/>
      <c r="F112" s="28"/>
      <c r="G112" s="28"/>
      <c r="H112" s="322"/>
      <c r="I112" s="28"/>
      <c r="J112" s="28"/>
      <c r="K112" s="28"/>
      <c r="L112" s="28"/>
      <c r="M112" s="28"/>
      <c r="N112" s="254"/>
      <c r="AC112" s="1"/>
      <c r="BB112" s="191" t="s">
        <v>567</v>
      </c>
      <c r="BC112" s="192" t="s">
        <v>179</v>
      </c>
      <c r="BG112" s="2" t="s">
        <v>751</v>
      </c>
    </row>
    <row r="113" spans="1:60" ht="19.95" customHeight="1">
      <c r="A113" s="253"/>
      <c r="B113" s="28"/>
      <c r="C113" s="28"/>
      <c r="D113" s="28"/>
      <c r="E113" s="28"/>
      <c r="F113" s="28"/>
      <c r="G113" s="28"/>
      <c r="H113" s="322"/>
      <c r="I113" s="28"/>
      <c r="J113" s="28"/>
      <c r="K113" s="28"/>
      <c r="L113" s="28"/>
      <c r="M113" s="28"/>
      <c r="N113" s="254"/>
      <c r="AC113" s="1"/>
      <c r="BB113" s="191" t="s">
        <v>568</v>
      </c>
      <c r="BC113" s="192" t="s">
        <v>581</v>
      </c>
      <c r="BF113" s="2" t="str">
        <f>CONCATENATE(BG114,BG115,BG116)</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14" spans="1:60" ht="19.95" customHeight="1">
      <c r="A114" s="253"/>
      <c r="B114" s="28"/>
      <c r="C114" s="28"/>
      <c r="D114" s="28"/>
      <c r="E114" s="28"/>
      <c r="F114" s="28"/>
      <c r="G114" s="28"/>
      <c r="H114" s="322"/>
      <c r="I114" s="28"/>
      <c r="J114" s="28"/>
      <c r="K114" s="28"/>
      <c r="L114" s="28"/>
      <c r="M114" s="28"/>
      <c r="N114" s="254"/>
      <c r="AC114" s="1"/>
      <c r="BB114" s="191" t="s">
        <v>198</v>
      </c>
      <c r="BC114" s="192" t="s">
        <v>582</v>
      </c>
      <c r="BG114" s="2" t="s">
        <v>747</v>
      </c>
    </row>
    <row r="115" spans="1:60" ht="19.95" customHeight="1">
      <c r="A115" s="253"/>
      <c r="B115" s="28"/>
      <c r="C115" s="28"/>
      <c r="D115" s="28"/>
      <c r="E115" s="28"/>
      <c r="F115" s="28"/>
      <c r="G115" s="28"/>
      <c r="H115" s="322"/>
      <c r="I115" s="28"/>
      <c r="J115" s="28"/>
      <c r="K115" s="28"/>
      <c r="L115" s="28"/>
      <c r="M115" s="28"/>
      <c r="N115" s="254"/>
      <c r="AC115" s="1"/>
      <c r="BB115" s="191" t="s">
        <v>569</v>
      </c>
      <c r="BC115" s="192" t="s">
        <v>583</v>
      </c>
      <c r="BG115" s="2" t="s">
        <v>749</v>
      </c>
    </row>
    <row r="116" spans="1:60" ht="19.95" customHeight="1">
      <c r="A116" s="253"/>
      <c r="B116" s="28"/>
      <c r="C116" s="28"/>
      <c r="D116" s="28"/>
      <c r="E116" s="28"/>
      <c r="F116" s="28"/>
      <c r="G116" s="28"/>
      <c r="H116" s="322"/>
      <c r="I116" s="28"/>
      <c r="J116" s="28"/>
      <c r="K116" s="28"/>
      <c r="L116" s="28"/>
      <c r="M116" s="28"/>
      <c r="N116" s="254"/>
      <c r="AC116" s="1"/>
      <c r="BB116" s="191" t="s">
        <v>570</v>
      </c>
      <c r="BC116" s="192" t="s">
        <v>197</v>
      </c>
      <c r="BG116" s="2" t="s">
        <v>750</v>
      </c>
    </row>
    <row r="117" spans="1:60" ht="19.95" customHeight="1">
      <c r="A117" s="253"/>
      <c r="B117" s="28"/>
      <c r="C117" s="28"/>
      <c r="D117" s="28"/>
      <c r="E117" s="28"/>
      <c r="F117" s="28"/>
      <c r="G117" s="28"/>
      <c r="H117" s="322"/>
      <c r="I117" s="28"/>
      <c r="J117" s="28"/>
      <c r="K117" s="28"/>
      <c r="L117" s="28"/>
      <c r="M117" s="28"/>
      <c r="N117" s="254"/>
      <c r="AC117" s="1"/>
    </row>
    <row r="118" spans="1:60" ht="19.95" customHeight="1">
      <c r="A118" s="253"/>
      <c r="B118" s="28"/>
      <c r="C118" s="28"/>
      <c r="D118" s="28"/>
      <c r="E118" s="28"/>
      <c r="F118" s="28"/>
      <c r="G118" s="28"/>
      <c r="H118" s="322"/>
      <c r="I118" s="28"/>
      <c r="J118" s="28"/>
      <c r="K118" s="28"/>
      <c r="L118" s="28"/>
      <c r="M118" s="28"/>
      <c r="N118" s="254"/>
      <c r="AC118" s="1"/>
    </row>
    <row r="119" spans="1:60">
      <c r="A119" s="253"/>
      <c r="B119" s="28"/>
      <c r="C119" s="28"/>
      <c r="D119" s="28"/>
      <c r="E119" s="28"/>
      <c r="F119" s="28"/>
      <c r="G119" s="28"/>
      <c r="H119" s="322"/>
      <c r="I119" s="28"/>
      <c r="J119" s="28"/>
      <c r="K119" s="28"/>
      <c r="L119" s="28"/>
      <c r="M119" s="28"/>
      <c r="N119" s="254"/>
      <c r="AC119" s="1"/>
    </row>
    <row r="120" spans="1:60">
      <c r="A120" s="255"/>
      <c r="B120" s="256"/>
      <c r="C120" s="256"/>
      <c r="D120" s="256"/>
      <c r="E120" s="256"/>
      <c r="F120" s="256"/>
      <c r="G120" s="256"/>
      <c r="H120" s="323"/>
      <c r="I120" s="256"/>
      <c r="J120" s="256"/>
      <c r="K120" s="256"/>
      <c r="L120" s="256"/>
      <c r="M120" s="256"/>
      <c r="N120" s="257"/>
      <c r="AC120" s="1"/>
    </row>
    <row r="121" spans="1:60" ht="30" customHeight="1">
      <c r="A121" s="250" t="s">
        <v>1148</v>
      </c>
      <c r="B121" s="944" t="s">
        <v>65</v>
      </c>
      <c r="C121" s="944"/>
      <c r="D121" s="944"/>
      <c r="E121" s="944"/>
      <c r="F121" s="944"/>
      <c r="G121" s="944"/>
      <c r="H121" s="944"/>
      <c r="I121" s="944"/>
      <c r="J121" s="944"/>
      <c r="K121" s="944"/>
      <c r="L121" s="944"/>
      <c r="M121" s="251"/>
      <c r="N121" s="252" t="s">
        <v>1149</v>
      </c>
      <c r="AC121" s="1"/>
    </row>
    <row r="122" spans="1:60">
      <c r="A122" s="253"/>
      <c r="B122" s="28"/>
      <c r="C122" s="28"/>
      <c r="D122" s="28"/>
      <c r="E122" s="28"/>
      <c r="F122" s="28"/>
      <c r="G122" s="28"/>
      <c r="H122" s="322"/>
      <c r="I122" s="28"/>
      <c r="J122" s="28"/>
      <c r="K122" s="28"/>
      <c r="L122" s="28"/>
      <c r="M122" s="28"/>
      <c r="N122" s="254"/>
      <c r="AC122" s="1"/>
    </row>
    <row r="123" spans="1:60">
      <c r="A123" s="253"/>
      <c r="B123" s="998" t="str">
        <f>BB123</f>
        <v xml:space="preserve">To illustrate this point, consider your need for water. We all need water, but get it in different ways. Likewise, we all need protection from threats, but some of us depend more on government security services than others. And for different things. </v>
      </c>
      <c r="C123" s="998"/>
      <c r="D123" s="998"/>
      <c r="E123" s="998"/>
      <c r="F123" s="998"/>
      <c r="G123" s="998"/>
      <c r="H123" s="998"/>
      <c r="I123" s="998"/>
      <c r="J123" s="998"/>
      <c r="K123" s="998"/>
      <c r="L123" s="998"/>
      <c r="M123" s="998"/>
      <c r="N123" s="254"/>
      <c r="AC123" s="1"/>
      <c r="BB123" s="2" t="str">
        <f>CONCATENATE(BD123,BE123,BF123,BG123,BH123)</f>
        <v xml:space="preserve">To illustrate this point, consider your need for water. We all need water, but get it in different ways. Likewise, we all need protection from threats, but some of us depend more on government security services than others. And for different things. </v>
      </c>
      <c r="BD123" s="2" t="s">
        <v>1166</v>
      </c>
      <c r="BE123" s="2" t="str">
        <f>BN145</f>
        <v>water</v>
      </c>
      <c r="BF123" s="2" t="s">
        <v>1167</v>
      </c>
      <c r="BG123" s="2" t="str">
        <f>BE123</f>
        <v>water</v>
      </c>
      <c r="BH123" s="2" t="s">
        <v>1216</v>
      </c>
    </row>
    <row r="124" spans="1:60" ht="19.95" customHeight="1">
      <c r="A124" s="253"/>
      <c r="B124" s="998"/>
      <c r="C124" s="998"/>
      <c r="D124" s="998"/>
      <c r="E124" s="998"/>
      <c r="F124" s="998"/>
      <c r="G124" s="998"/>
      <c r="H124" s="998"/>
      <c r="I124" s="998"/>
      <c r="J124" s="998"/>
      <c r="K124" s="998"/>
      <c r="L124" s="998"/>
      <c r="M124" s="998"/>
      <c r="N124" s="254"/>
      <c r="AC124" s="1"/>
    </row>
    <row r="125" spans="1:60" ht="19.95" customHeight="1">
      <c r="A125" s="253"/>
      <c r="B125" s="998"/>
      <c r="C125" s="998"/>
      <c r="D125" s="998"/>
      <c r="E125" s="998"/>
      <c r="F125" s="998"/>
      <c r="G125" s="998"/>
      <c r="H125" s="998"/>
      <c r="I125" s="998"/>
      <c r="J125" s="998"/>
      <c r="K125" s="998"/>
      <c r="L125" s="998"/>
      <c r="M125" s="998"/>
      <c r="N125" s="254"/>
      <c r="AC125" s="1"/>
    </row>
    <row r="126" spans="1:60" ht="19.95" customHeight="1">
      <c r="A126" s="253"/>
      <c r="B126" s="998" t="str">
        <f>BB126</f>
        <v>Click on WATER in the white field below to change this illustration. See how we all share the same core-needs. But diverge in how we ease such needs.</v>
      </c>
      <c r="C126" s="998"/>
      <c r="D126" s="998"/>
      <c r="E126" s="998"/>
      <c r="F126" s="998"/>
      <c r="G126" s="998"/>
      <c r="H126" s="998"/>
      <c r="I126" s="998"/>
      <c r="J126" s="998"/>
      <c r="K126" s="998"/>
      <c r="L126" s="998"/>
      <c r="M126" s="998"/>
      <c r="N126" s="254"/>
      <c r="AC126" s="1"/>
      <c r="BB126" s="2" t="str">
        <f>CONCATENATE(BD126,BE126,BF126,BG126)</f>
        <v>Click on WATER in the white field below to change this illustration. See how we all share the same core-needs. But diverge in how we ease such needs.</v>
      </c>
      <c r="BD126" s="2" t="s">
        <v>1168</v>
      </c>
      <c r="BE126" s="2" t="str">
        <f>IF(E129="","the blank",E129)</f>
        <v>WATER</v>
      </c>
      <c r="BF126" s="2" t="str">
        <f>IF(NOT(E129="")," in the","")</f>
        <v xml:space="preserve"> in the</v>
      </c>
      <c r="BG126" s="2" t="s">
        <v>1169</v>
      </c>
    </row>
    <row r="127" spans="1:60" ht="19.95" customHeight="1">
      <c r="A127" s="253"/>
      <c r="B127" s="998"/>
      <c r="C127" s="998"/>
      <c r="D127" s="998"/>
      <c r="E127" s="998"/>
      <c r="F127" s="998"/>
      <c r="G127" s="998"/>
      <c r="H127" s="998"/>
      <c r="I127" s="998"/>
      <c r="J127" s="998"/>
      <c r="K127" s="998"/>
      <c r="L127" s="998"/>
      <c r="M127" s="998"/>
      <c r="N127" s="254"/>
      <c r="AC127" s="1"/>
    </row>
    <row r="128" spans="1:60" ht="19.95" customHeight="1" thickBot="1">
      <c r="A128" s="253"/>
      <c r="B128" s="998"/>
      <c r="C128" s="998"/>
      <c r="D128" s="998"/>
      <c r="E128" s="998"/>
      <c r="F128" s="998"/>
      <c r="G128" s="998"/>
      <c r="H128" s="998"/>
      <c r="I128" s="998"/>
      <c r="J128" s="998"/>
      <c r="K128" s="998"/>
      <c r="L128" s="998"/>
      <c r="M128" s="998"/>
      <c r="N128" s="254"/>
      <c r="AC128" s="1"/>
    </row>
    <row r="129" spans="1:29" ht="19.95" customHeight="1">
      <c r="A129" s="253"/>
      <c r="B129" s="1220" t="s">
        <v>502</v>
      </c>
      <c r="C129" s="1201"/>
      <c r="D129" s="1201"/>
      <c r="E129" s="1195" t="s">
        <v>388</v>
      </c>
      <c r="F129" s="1196"/>
      <c r="G129" s="1196"/>
      <c r="H129" s="1197"/>
      <c r="I129" s="1201" t="s">
        <v>503</v>
      </c>
      <c r="J129" s="1201"/>
      <c r="K129" s="1201"/>
      <c r="L129" s="1201"/>
      <c r="M129" s="1202"/>
      <c r="N129" s="254"/>
      <c r="AC129" s="1"/>
    </row>
    <row r="130" spans="1:29" ht="19.95" customHeight="1" thickBot="1">
      <c r="A130" s="253"/>
      <c r="B130" s="1221"/>
      <c r="C130" s="1203"/>
      <c r="D130" s="1203"/>
      <c r="E130" s="1198"/>
      <c r="F130" s="1199"/>
      <c r="G130" s="1199"/>
      <c r="H130" s="1200"/>
      <c r="I130" s="1203"/>
      <c r="J130" s="1203"/>
      <c r="K130" s="1203"/>
      <c r="L130" s="1203"/>
      <c r="M130" s="1204"/>
      <c r="N130" s="254"/>
      <c r="AC130" s="1"/>
    </row>
    <row r="131" spans="1:29" ht="19.95" customHeight="1" thickBot="1">
      <c r="A131" s="253"/>
      <c r="B131" s="28"/>
      <c r="C131" s="28"/>
      <c r="D131" s="28"/>
      <c r="E131" s="28"/>
      <c r="F131" s="28"/>
      <c r="G131" s="28"/>
      <c r="H131" s="322"/>
      <c r="I131" s="28"/>
      <c r="J131" s="28"/>
      <c r="K131" s="28"/>
      <c r="L131" s="28"/>
      <c r="M131" s="28"/>
      <c r="N131" s="254"/>
      <c r="AC131" s="1"/>
    </row>
    <row r="132" spans="1:29" ht="19.95" customHeight="1" thickTop="1">
      <c r="A132" s="253"/>
      <c r="B132" s="128" t="s">
        <v>54</v>
      </c>
      <c r="C132" s="96"/>
      <c r="D132" s="96"/>
      <c r="E132" s="94" t="s">
        <v>58</v>
      </c>
      <c r="F132" s="26"/>
      <c r="G132" s="26"/>
      <c r="H132" s="1189" t="str">
        <f>BB150</f>
        <v>"I'm thirsty."</v>
      </c>
      <c r="I132" s="1189"/>
      <c r="J132" s="1189"/>
      <c r="K132" s="1192" t="str">
        <f>BB151</f>
        <v>"I'm thirsty."</v>
      </c>
      <c r="L132" s="1192"/>
      <c r="M132" s="1192"/>
      <c r="N132" s="254"/>
      <c r="AC132" s="1"/>
    </row>
    <row r="133" spans="1:29" ht="19.95" customHeight="1">
      <c r="A133" s="253"/>
      <c r="B133" s="1205" t="str">
        <f>BB146</f>
        <v>We all feel the same need for bodily fluid balance.</v>
      </c>
      <c r="C133" s="1205"/>
      <c r="D133" s="1205"/>
      <c r="E133" s="1205"/>
      <c r="F133" s="1205"/>
      <c r="G133" s="100"/>
      <c r="H133" s="1190"/>
      <c r="I133" s="1190"/>
      <c r="J133" s="1190"/>
      <c r="K133" s="1193"/>
      <c r="L133" s="1193"/>
      <c r="M133" s="1193"/>
      <c r="N133" s="254"/>
      <c r="AC133" s="1"/>
    </row>
    <row r="134" spans="1:29" ht="19.95" customHeight="1" thickBot="1">
      <c r="A134" s="253"/>
      <c r="B134" s="1205"/>
      <c r="C134" s="1205"/>
      <c r="D134" s="1205"/>
      <c r="E134" s="1205"/>
      <c r="F134" s="1205"/>
      <c r="G134" s="100"/>
      <c r="H134" s="1191"/>
      <c r="I134" s="1191"/>
      <c r="J134" s="1191"/>
      <c r="K134" s="1194"/>
      <c r="L134" s="1194"/>
      <c r="M134" s="1194"/>
      <c r="N134" s="254"/>
      <c r="AC134" s="1"/>
    </row>
    <row r="135" spans="1:29" ht="19.95" customHeight="1" thickTop="1" thickBot="1">
      <c r="A135" s="253"/>
      <c r="B135" s="26"/>
      <c r="C135" s="26"/>
      <c r="D135" s="26"/>
      <c r="E135" s="26"/>
      <c r="F135" s="26"/>
      <c r="G135" s="26"/>
      <c r="H135" s="324"/>
      <c r="I135" s="26"/>
      <c r="J135" s="26"/>
      <c r="K135" s="26"/>
      <c r="L135" s="26"/>
      <c r="M135" s="26"/>
      <c r="N135" s="254"/>
      <c r="AC135" s="1"/>
    </row>
    <row r="136" spans="1:29" ht="19.95" customHeight="1" thickTop="1">
      <c r="A136" s="253"/>
      <c r="B136" s="128" t="s">
        <v>55</v>
      </c>
      <c r="C136" s="95"/>
      <c r="D136" s="95"/>
      <c r="E136" s="97" t="s">
        <v>59</v>
      </c>
      <c r="F136" s="27"/>
      <c r="G136" s="27"/>
      <c r="H136" s="1189" t="str">
        <f>BB152</f>
        <v>“I need a drink of water, or iced latte.”</v>
      </c>
      <c r="I136" s="1189"/>
      <c r="J136" s="1189"/>
      <c r="K136" s="1192" t="str">
        <f>BB153</f>
        <v>“I need a drink of water, or cold beer.”</v>
      </c>
      <c r="L136" s="1192"/>
      <c r="M136" s="1192"/>
      <c r="N136" s="254"/>
      <c r="AC136" s="1"/>
    </row>
    <row r="137" spans="1:29" ht="19.95" customHeight="1">
      <c r="A137" s="253"/>
      <c r="B137" s="1222" t="str">
        <f>BB147</f>
        <v>We all rely on something with water to restore fluid balance.</v>
      </c>
      <c r="C137" s="1222"/>
      <c r="D137" s="1222"/>
      <c r="E137" s="1222"/>
      <c r="F137" s="1222"/>
      <c r="G137" s="30"/>
      <c r="H137" s="1190"/>
      <c r="I137" s="1190"/>
      <c r="J137" s="1190"/>
      <c r="K137" s="1193"/>
      <c r="L137" s="1193"/>
      <c r="M137" s="1193"/>
      <c r="N137" s="254"/>
      <c r="AC137" s="1"/>
    </row>
    <row r="138" spans="1:29" ht="19.95" customHeight="1" thickBot="1">
      <c r="A138" s="253"/>
      <c r="B138" s="1222"/>
      <c r="C138" s="1222"/>
      <c r="D138" s="1222"/>
      <c r="E138" s="1222"/>
      <c r="F138" s="1222"/>
      <c r="G138" s="27"/>
      <c r="H138" s="1191"/>
      <c r="I138" s="1191"/>
      <c r="J138" s="1191"/>
      <c r="K138" s="1194"/>
      <c r="L138" s="1194"/>
      <c r="M138" s="1194"/>
      <c r="N138" s="254"/>
      <c r="AC138" s="1"/>
    </row>
    <row r="139" spans="1:29" ht="19.95" customHeight="1" thickTop="1" thickBot="1">
      <c r="A139" s="253"/>
      <c r="B139" s="27"/>
      <c r="C139" s="27"/>
      <c r="D139" s="27"/>
      <c r="E139" s="27"/>
      <c r="F139" s="27"/>
      <c r="G139" s="27"/>
      <c r="H139" s="325"/>
      <c r="I139" s="27"/>
      <c r="J139" s="27"/>
      <c r="K139" s="27"/>
      <c r="L139" s="27"/>
      <c r="M139" s="27"/>
      <c r="N139" s="254"/>
      <c r="AC139" s="1"/>
    </row>
    <row r="140" spans="1:29" ht="19.95" customHeight="1" thickTop="1">
      <c r="A140" s="253"/>
      <c r="B140" s="128" t="s">
        <v>56</v>
      </c>
      <c r="C140" s="95"/>
      <c r="D140" s="95"/>
      <c r="E140" s="98" t="s">
        <v>60</v>
      </c>
      <c r="F140" s="31"/>
      <c r="G140" s="31"/>
      <c r="H140" s="1189" t="str">
        <f>BB154</f>
        <v>“Government serves the demand.”</v>
      </c>
      <c r="I140" s="1189"/>
      <c r="J140" s="1189"/>
      <c r="K140" s="1192" t="str">
        <f>BB155</f>
        <v>“The market ensures efficient supply.”</v>
      </c>
      <c r="L140" s="1192"/>
      <c r="M140" s="1192"/>
      <c r="N140" s="254"/>
      <c r="AC140" s="1"/>
    </row>
    <row r="141" spans="1:29" ht="19.95" customHeight="1">
      <c r="A141" s="253"/>
      <c r="B141" s="1223" t="str">
        <f>BB148</f>
        <v>You get your water from a bottle, while I from a tap.</v>
      </c>
      <c r="C141" s="1223"/>
      <c r="D141" s="1223"/>
      <c r="E141" s="1223"/>
      <c r="F141" s="1223"/>
      <c r="G141" s="31"/>
      <c r="H141" s="1190"/>
      <c r="I141" s="1190"/>
      <c r="J141" s="1190"/>
      <c r="K141" s="1193"/>
      <c r="L141" s="1193"/>
      <c r="M141" s="1193"/>
      <c r="N141" s="254"/>
      <c r="AC141" s="1"/>
    </row>
    <row r="142" spans="1:29" ht="19.95" customHeight="1" thickBot="1">
      <c r="A142" s="253"/>
      <c r="B142" s="1223"/>
      <c r="C142" s="1223"/>
      <c r="D142" s="1223"/>
      <c r="E142" s="1223"/>
      <c r="F142" s="1223"/>
      <c r="G142" s="31"/>
      <c r="H142" s="1191"/>
      <c r="I142" s="1191"/>
      <c r="J142" s="1191"/>
      <c r="K142" s="1194"/>
      <c r="L142" s="1194"/>
      <c r="M142" s="1194"/>
      <c r="N142" s="254"/>
      <c r="AC142" s="1"/>
    </row>
    <row r="143" spans="1:29" ht="19.95" customHeight="1" thickTop="1" thickBot="1">
      <c r="A143" s="253"/>
      <c r="B143" s="281"/>
      <c r="C143" s="281"/>
      <c r="D143" s="281"/>
      <c r="E143" s="281"/>
      <c r="F143" s="281"/>
      <c r="G143" s="281"/>
      <c r="H143" s="326"/>
      <c r="I143" s="281"/>
      <c r="J143" s="281"/>
      <c r="K143" s="281"/>
      <c r="L143" s="281"/>
      <c r="M143" s="281"/>
      <c r="N143" s="254"/>
      <c r="AC143" s="1"/>
    </row>
    <row r="144" spans="1:29" ht="19.95" customHeight="1" thickTop="1">
      <c r="A144" s="253"/>
      <c r="B144" s="128" t="s">
        <v>57</v>
      </c>
      <c r="C144" s="95"/>
      <c r="D144" s="95"/>
      <c r="E144" s="99" t="s">
        <v>538</v>
      </c>
      <c r="F144" s="29"/>
      <c r="G144" s="29"/>
      <c r="H144" s="1189" t="str">
        <f>BB156</f>
        <v>“I rely on regulated city water.”</v>
      </c>
      <c r="I144" s="1189"/>
      <c r="J144" s="1189"/>
      <c r="K144" s="1192" t="str">
        <f>BB157</f>
        <v>“I can dig my own well.”</v>
      </c>
      <c r="L144" s="1192"/>
      <c r="M144" s="1192"/>
      <c r="N144" s="254"/>
      <c r="AC144" s="1"/>
    </row>
    <row r="145" spans="1:66" ht="19.95" customHeight="1">
      <c r="A145" s="253"/>
      <c r="B145" s="1219" t="str">
        <f>BB149</f>
        <v>I can buy it myself but must rely on many others in the market.</v>
      </c>
      <c r="C145" s="1219"/>
      <c r="D145" s="1219"/>
      <c r="E145" s="1219"/>
      <c r="F145" s="1219"/>
      <c r="G145" s="29"/>
      <c r="H145" s="1190"/>
      <c r="I145" s="1190"/>
      <c r="J145" s="1190"/>
      <c r="K145" s="1193"/>
      <c r="L145" s="1193"/>
      <c r="M145" s="1193"/>
      <c r="N145" s="254"/>
      <c r="AC145" s="1"/>
      <c r="BE145" s="126" t="str">
        <f>BM146</f>
        <v>WATER</v>
      </c>
      <c r="BF145" s="126" t="str">
        <f>BM147</f>
        <v>FOOD</v>
      </c>
      <c r="BG145" s="126" t="str">
        <f>BM148</f>
        <v>HOUSING</v>
      </c>
      <c r="BH145" s="126" t="str">
        <f>BM149</f>
        <v>HEALTH</v>
      </c>
      <c r="BI145" s="126" t="str">
        <f>BM150</f>
        <v>INCOME</v>
      </c>
      <c r="BJ145" s="126" t="str">
        <f>BM151</f>
        <v>SAFETY</v>
      </c>
      <c r="BK145" s="126" t="str">
        <f>BM152</f>
        <v>FUN</v>
      </c>
      <c r="BL145" s="126" t="str">
        <f>BM153</f>
        <v>TRAVEL</v>
      </c>
      <c r="BN145" s="126" t="str">
        <f>IF(E129=BM146,BN146,IF(E129=BM147,BN147,IF(E129=BM148,BN148,IF(E129=BM149,BN149,IF(E129=BM150,BN150,IF(E129=BM151,BN151,IF(E129=BM152,BN152,IF(E129=BM153,BN153,BN146))))))))</f>
        <v>water</v>
      </c>
    </row>
    <row r="146" spans="1:66" ht="19.95" customHeight="1" thickBot="1">
      <c r="A146" s="253"/>
      <c r="B146" s="1219"/>
      <c r="C146" s="1219"/>
      <c r="D146" s="1219"/>
      <c r="E146" s="1219"/>
      <c r="F146" s="1219"/>
      <c r="G146" s="29"/>
      <c r="H146" s="1191"/>
      <c r="I146" s="1191"/>
      <c r="J146" s="1191"/>
      <c r="K146" s="1194"/>
      <c r="L146" s="1194"/>
      <c r="M146" s="1194"/>
      <c r="N146" s="254"/>
      <c r="AC146" s="1"/>
      <c r="BB146" s="2" t="str">
        <f t="shared" ref="BB146:BB157" si="0">IF($E$129=BM$146,BE146,IF($E$129=BM$147,BF146,IF($E$129=BM$148,BG146,IF($E$129=BM$149,BH146,IF($E$129=BM$150,BI146,IF($E$129=BM$151,BJ146,IF($E$129=BM$152,BK146,IF($E$129=BM$153,BL146,""))))))))</f>
        <v>We all feel the same need for bodily fluid balance.</v>
      </c>
      <c r="BD146" s="127" t="s">
        <v>383</v>
      </c>
      <c r="BE146" s="2" t="s">
        <v>517</v>
      </c>
      <c r="BF146" s="2" t="s">
        <v>518</v>
      </c>
      <c r="BG146" s="2" t="s">
        <v>519</v>
      </c>
      <c r="BH146" s="2" t="s">
        <v>745</v>
      </c>
      <c r="BI146" s="2" t="s">
        <v>520</v>
      </c>
      <c r="BJ146" s="2" t="s">
        <v>521</v>
      </c>
      <c r="BK146" s="2" t="s">
        <v>522</v>
      </c>
      <c r="BL146" s="2" t="s">
        <v>523</v>
      </c>
      <c r="BM146" s="125" t="s">
        <v>388</v>
      </c>
      <c r="BN146" s="37" t="s">
        <v>1158</v>
      </c>
    </row>
    <row r="147" spans="1:66" ht="14.4" thickTop="1">
      <c r="A147" s="253"/>
      <c r="B147" s="29"/>
      <c r="C147" s="29"/>
      <c r="D147" s="29"/>
      <c r="E147" s="29"/>
      <c r="F147" s="29"/>
      <c r="G147" s="29"/>
      <c r="H147" s="318"/>
      <c r="I147" s="29"/>
      <c r="J147" s="29"/>
      <c r="K147" s="29"/>
      <c r="L147" s="29"/>
      <c r="M147" s="29"/>
      <c r="N147" s="254"/>
      <c r="AC147" s="1"/>
      <c r="BB147" s="2" t="str">
        <f t="shared" si="0"/>
        <v>We all rely on something with water to restore fluid balance.</v>
      </c>
      <c r="BD147" s="127" t="s">
        <v>384</v>
      </c>
      <c r="BE147" s="2" t="s">
        <v>414</v>
      </c>
      <c r="BF147" s="2" t="s">
        <v>536</v>
      </c>
      <c r="BG147" s="2" t="s">
        <v>526</v>
      </c>
      <c r="BH147" s="2" t="s">
        <v>528</v>
      </c>
      <c r="BI147" s="2" t="s">
        <v>541</v>
      </c>
      <c r="BJ147" s="2" t="s">
        <v>530</v>
      </c>
      <c r="BK147" s="2" t="s">
        <v>532</v>
      </c>
      <c r="BL147" s="2" t="s">
        <v>534</v>
      </c>
      <c r="BM147" s="125" t="s">
        <v>364</v>
      </c>
      <c r="BN147" s="37" t="s">
        <v>1159</v>
      </c>
    </row>
    <row r="148" spans="1:66">
      <c r="A148" s="253"/>
      <c r="B148" s="28"/>
      <c r="C148" s="28"/>
      <c r="D148" s="28"/>
      <c r="E148" s="28"/>
      <c r="F148" s="28"/>
      <c r="G148" s="28"/>
      <c r="H148" s="322"/>
      <c r="I148" s="28"/>
      <c r="J148" s="28"/>
      <c r="K148" s="28"/>
      <c r="L148" s="28"/>
      <c r="M148" s="28"/>
      <c r="N148" s="254"/>
      <c r="AC148" s="1"/>
      <c r="BB148" s="2" t="str">
        <f t="shared" si="0"/>
        <v>You get your water from a bottle, while I from a tap.</v>
      </c>
      <c r="BD148" s="127" t="s">
        <v>385</v>
      </c>
      <c r="BE148" s="2" t="s">
        <v>501</v>
      </c>
      <c r="BF148" s="2" t="s">
        <v>524</v>
      </c>
      <c r="BG148" s="2" t="s">
        <v>527</v>
      </c>
      <c r="BH148" s="2" t="s">
        <v>540</v>
      </c>
      <c r="BI148" s="2" t="s">
        <v>529</v>
      </c>
      <c r="BJ148" s="2" t="s">
        <v>531</v>
      </c>
      <c r="BK148" s="2" t="s">
        <v>533</v>
      </c>
      <c r="BL148" s="2" t="s">
        <v>535</v>
      </c>
      <c r="BM148" s="125" t="s">
        <v>413</v>
      </c>
      <c r="BN148" s="37" t="s">
        <v>1160</v>
      </c>
    </row>
    <row r="149" spans="1:66">
      <c r="A149" s="253"/>
      <c r="B149" s="28"/>
      <c r="C149" s="28"/>
      <c r="D149" s="28"/>
      <c r="E149" s="28"/>
      <c r="F149" s="28"/>
      <c r="G149" s="28"/>
      <c r="H149" s="322"/>
      <c r="I149" s="28"/>
      <c r="J149" s="28"/>
      <c r="K149" s="28"/>
      <c r="L149" s="28"/>
      <c r="M149" s="28"/>
      <c r="N149" s="254"/>
      <c r="AC149" s="1"/>
      <c r="BB149" s="2" t="str">
        <f t="shared" si="0"/>
        <v>I can buy it myself but must rely on many others in the market.</v>
      </c>
      <c r="BD149" s="127" t="s">
        <v>386</v>
      </c>
      <c r="BE149" s="2" t="s">
        <v>500</v>
      </c>
      <c r="BF149" s="2" t="s">
        <v>525</v>
      </c>
      <c r="BG149" s="2" t="s">
        <v>548</v>
      </c>
      <c r="BH149" s="2" t="s">
        <v>547</v>
      </c>
      <c r="BI149" s="2" t="s">
        <v>1217</v>
      </c>
      <c r="BJ149" s="2" t="s">
        <v>545</v>
      </c>
      <c r="BK149" s="2" t="s">
        <v>546</v>
      </c>
      <c r="BL149" s="2" t="s">
        <v>549</v>
      </c>
      <c r="BM149" s="125" t="s">
        <v>368</v>
      </c>
      <c r="BN149" s="37" t="s">
        <v>1161</v>
      </c>
    </row>
    <row r="150" spans="1:66">
      <c r="A150" s="253"/>
      <c r="B150" s="28"/>
      <c r="C150" s="28"/>
      <c r="D150" s="28"/>
      <c r="E150" s="28"/>
      <c r="F150" s="28"/>
      <c r="G150" s="28"/>
      <c r="H150" s="322"/>
      <c r="I150" s="28"/>
      <c r="J150" s="28"/>
      <c r="K150" s="28"/>
      <c r="L150" s="28"/>
      <c r="M150" s="28"/>
      <c r="N150" s="254"/>
      <c r="AC150" s="1"/>
      <c r="BB150" s="2" t="str">
        <f t="shared" si="0"/>
        <v>"I'm thirsty."</v>
      </c>
      <c r="BD150" s="127" t="s">
        <v>504</v>
      </c>
      <c r="BE150" s="2" t="s">
        <v>415</v>
      </c>
      <c r="BF150" s="2" t="s">
        <v>512</v>
      </c>
      <c r="BG150" s="2" t="s">
        <v>513</v>
      </c>
      <c r="BH150" s="2" t="s">
        <v>514</v>
      </c>
      <c r="BI150" s="2" t="s">
        <v>515</v>
      </c>
      <c r="BJ150" s="2" t="s">
        <v>516</v>
      </c>
      <c r="BK150" s="2" t="s">
        <v>407</v>
      </c>
      <c r="BL150" s="2" t="s">
        <v>381</v>
      </c>
      <c r="BM150" s="125" t="s">
        <v>371</v>
      </c>
      <c r="BN150" s="37" t="s">
        <v>1162</v>
      </c>
    </row>
    <row r="151" spans="1:66">
      <c r="A151" s="253"/>
      <c r="B151" s="28"/>
      <c r="C151" s="28"/>
      <c r="D151" s="28"/>
      <c r="E151" s="28"/>
      <c r="F151" s="28"/>
      <c r="G151" s="28"/>
      <c r="H151" s="322"/>
      <c r="I151" s="28"/>
      <c r="J151" s="28"/>
      <c r="K151" s="28"/>
      <c r="L151" s="28"/>
      <c r="M151" s="28"/>
      <c r="N151" s="254"/>
      <c r="AC151" s="1"/>
      <c r="BB151" s="2" t="str">
        <f t="shared" si="0"/>
        <v>"I'm thirsty."</v>
      </c>
      <c r="BD151" s="127" t="s">
        <v>505</v>
      </c>
      <c r="BE151" s="2" t="str">
        <f>BE150</f>
        <v>"I'm thirsty."</v>
      </c>
      <c r="BF151" s="2" t="str">
        <f t="shared" ref="BF151:BL151" si="1">BF150</f>
        <v>"I'm hungry."</v>
      </c>
      <c r="BG151" s="2" t="str">
        <f t="shared" si="1"/>
        <v>"I'm cold."</v>
      </c>
      <c r="BH151" s="2" t="str">
        <f t="shared" si="1"/>
        <v>"I'm ill."</v>
      </c>
      <c r="BI151" s="2" t="str">
        <f t="shared" si="1"/>
        <v>"I'm broke."</v>
      </c>
      <c r="BJ151" s="2" t="str">
        <f t="shared" si="1"/>
        <v>"I'm scared."</v>
      </c>
      <c r="BK151" s="2" t="str">
        <f t="shared" si="1"/>
        <v>"I'm stuck."</v>
      </c>
      <c r="BL151" s="2" t="str">
        <f t="shared" si="1"/>
        <v>"I'm bored."</v>
      </c>
      <c r="BM151" s="125" t="s">
        <v>376</v>
      </c>
      <c r="BN151" s="37" t="s">
        <v>1163</v>
      </c>
    </row>
    <row r="152" spans="1:66">
      <c r="A152" s="253"/>
      <c r="B152" s="28"/>
      <c r="C152" s="28"/>
      <c r="D152" s="28"/>
      <c r="E152" s="28"/>
      <c r="F152" s="28"/>
      <c r="G152" s="28"/>
      <c r="H152" s="322"/>
      <c r="I152" s="28"/>
      <c r="J152" s="28"/>
      <c r="K152" s="28"/>
      <c r="L152" s="28"/>
      <c r="M152" s="28"/>
      <c r="N152" s="254"/>
      <c r="AC152" s="1"/>
      <c r="BB152" s="2" t="str">
        <f t="shared" si="0"/>
        <v>“I need a drink of water, or iced latte.”</v>
      </c>
      <c r="BD152" s="127" t="s">
        <v>506</v>
      </c>
      <c r="BE152" s="2" t="s">
        <v>389</v>
      </c>
      <c r="BF152" s="2" t="s">
        <v>673</v>
      </c>
      <c r="BG152" s="2" t="s">
        <v>537</v>
      </c>
      <c r="BH152" s="2" t="s">
        <v>395</v>
      </c>
      <c r="BI152" s="2" t="s">
        <v>372</v>
      </c>
      <c r="BJ152" s="2" t="s">
        <v>542</v>
      </c>
      <c r="BK152" s="2" t="s">
        <v>382</v>
      </c>
      <c r="BL152" s="2" t="s">
        <v>408</v>
      </c>
      <c r="BM152" s="125" t="s">
        <v>380</v>
      </c>
      <c r="BN152" s="37" t="s">
        <v>1164</v>
      </c>
    </row>
    <row r="153" spans="1:66">
      <c r="A153" s="253"/>
      <c r="B153" s="28"/>
      <c r="C153" s="28"/>
      <c r="D153" s="28"/>
      <c r="E153" s="28"/>
      <c r="F153" s="28"/>
      <c r="G153" s="28"/>
      <c r="H153" s="322"/>
      <c r="I153" s="28"/>
      <c r="J153" s="28"/>
      <c r="K153" s="28"/>
      <c r="L153" s="28"/>
      <c r="M153" s="28"/>
      <c r="N153" s="254"/>
      <c r="AC153" s="1"/>
      <c r="BB153" s="2" t="str">
        <f t="shared" si="0"/>
        <v>“I need a drink of water, or cold beer.”</v>
      </c>
      <c r="BD153" s="127" t="s">
        <v>507</v>
      </c>
      <c r="BE153" s="2" t="s">
        <v>390</v>
      </c>
      <c r="BF153" s="2" t="s">
        <v>674</v>
      </c>
      <c r="BG153" s="2" t="s">
        <v>365</v>
      </c>
      <c r="BH153" s="2" t="s">
        <v>396</v>
      </c>
      <c r="BI153" s="2" t="s">
        <v>373</v>
      </c>
      <c r="BJ153" s="2" t="s">
        <v>377</v>
      </c>
      <c r="BK153" s="2" t="s">
        <v>543</v>
      </c>
      <c r="BL153" s="2" t="s">
        <v>409</v>
      </c>
      <c r="BM153" s="125" t="s">
        <v>387</v>
      </c>
      <c r="BN153" s="37" t="s">
        <v>1165</v>
      </c>
    </row>
    <row r="154" spans="1:66">
      <c r="A154" s="253"/>
      <c r="B154" s="28"/>
      <c r="C154" s="28"/>
      <c r="D154" s="28"/>
      <c r="E154" s="28"/>
      <c r="F154" s="28"/>
      <c r="G154" s="28"/>
      <c r="H154" s="322"/>
      <c r="I154" s="28"/>
      <c r="J154" s="28"/>
      <c r="K154" s="28"/>
      <c r="L154" s="28"/>
      <c r="M154" s="28"/>
      <c r="N154" s="254"/>
      <c r="AC154" s="1"/>
      <c r="BB154" s="2" t="str">
        <f t="shared" si="0"/>
        <v>“Government serves the demand.”</v>
      </c>
      <c r="BD154" s="127" t="s">
        <v>508</v>
      </c>
      <c r="BE154" s="2" t="s">
        <v>550</v>
      </c>
      <c r="BF154" s="2" t="s">
        <v>393</v>
      </c>
      <c r="BG154" s="2" t="s">
        <v>393</v>
      </c>
      <c r="BH154" s="2" t="s">
        <v>369</v>
      </c>
      <c r="BI154" s="2" t="s">
        <v>374</v>
      </c>
      <c r="BJ154" s="2" t="s">
        <v>402</v>
      </c>
      <c r="BK154" s="2" t="s">
        <v>405</v>
      </c>
      <c r="BL154" s="2" t="s">
        <v>410</v>
      </c>
    </row>
    <row r="155" spans="1:66">
      <c r="A155" s="253"/>
      <c r="B155" s="28"/>
      <c r="C155" s="28"/>
      <c r="D155" s="28"/>
      <c r="E155" s="28"/>
      <c r="F155" s="28"/>
      <c r="G155" s="28"/>
      <c r="H155" s="322"/>
      <c r="I155" s="28"/>
      <c r="J155" s="28"/>
      <c r="K155" s="28"/>
      <c r="L155" s="28"/>
      <c r="M155" s="28"/>
      <c r="N155" s="254"/>
      <c r="AC155" s="1"/>
      <c r="BB155" s="2" t="str">
        <f t="shared" si="0"/>
        <v>“The market ensures efficient supply.”</v>
      </c>
      <c r="BD155" s="127" t="s">
        <v>509</v>
      </c>
      <c r="BE155" s="2" t="s">
        <v>551</v>
      </c>
      <c r="BF155" s="2" t="s">
        <v>394</v>
      </c>
      <c r="BG155" s="2" t="s">
        <v>539</v>
      </c>
      <c r="BH155" s="2" t="s">
        <v>370</v>
      </c>
      <c r="BI155" s="2" t="s">
        <v>375</v>
      </c>
      <c r="BJ155" s="2" t="s">
        <v>401</v>
      </c>
      <c r="BK155" s="2" t="s">
        <v>406</v>
      </c>
      <c r="BL155" s="2" t="s">
        <v>411</v>
      </c>
    </row>
    <row r="156" spans="1:66">
      <c r="A156" s="253"/>
      <c r="B156" s="28"/>
      <c r="C156" s="28"/>
      <c r="D156" s="28"/>
      <c r="E156" s="28"/>
      <c r="F156" s="28"/>
      <c r="G156" s="28"/>
      <c r="H156" s="322"/>
      <c r="I156" s="28"/>
      <c r="J156" s="28"/>
      <c r="K156" s="28"/>
      <c r="L156" s="28"/>
      <c r="M156" s="28"/>
      <c r="N156" s="254"/>
      <c r="AC156" s="1"/>
      <c r="BB156" s="2" t="str">
        <f t="shared" si="0"/>
        <v>“I rely on regulated city water.”</v>
      </c>
      <c r="BD156" s="127" t="s">
        <v>510</v>
      </c>
      <c r="BE156" s="2" t="s">
        <v>392</v>
      </c>
      <c r="BF156" s="2" t="s">
        <v>366</v>
      </c>
      <c r="BG156" s="2" t="s">
        <v>366</v>
      </c>
      <c r="BH156" s="2" t="s">
        <v>397</v>
      </c>
      <c r="BI156" s="2" t="s">
        <v>400</v>
      </c>
      <c r="BJ156" s="2" t="s">
        <v>378</v>
      </c>
      <c r="BK156" s="2" t="s">
        <v>404</v>
      </c>
      <c r="BL156" s="2" t="s">
        <v>412</v>
      </c>
    </row>
    <row r="157" spans="1:66">
      <c r="A157" s="255"/>
      <c r="B157" s="256"/>
      <c r="C157" s="256"/>
      <c r="D157" s="256"/>
      <c r="E157" s="256"/>
      <c r="F157" s="256"/>
      <c r="G157" s="256"/>
      <c r="H157" s="323"/>
      <c r="I157" s="256"/>
      <c r="J157" s="256"/>
      <c r="K157" s="256"/>
      <c r="L157" s="256"/>
      <c r="M157" s="256"/>
      <c r="N157" s="257"/>
      <c r="AC157" s="1"/>
      <c r="BB157" s="2" t="str">
        <f t="shared" si="0"/>
        <v>“I can dig my own well.”</v>
      </c>
      <c r="BD157" s="127" t="s">
        <v>511</v>
      </c>
      <c r="BE157" s="2" t="s">
        <v>391</v>
      </c>
      <c r="BF157" s="2" t="s">
        <v>367</v>
      </c>
      <c r="BG157" s="2" t="s">
        <v>367</v>
      </c>
      <c r="BH157" s="2" t="s">
        <v>398</v>
      </c>
      <c r="BI157" s="2" t="s">
        <v>399</v>
      </c>
      <c r="BJ157" s="2" t="s">
        <v>379</v>
      </c>
      <c r="BK157" s="2" t="s">
        <v>403</v>
      </c>
      <c r="BL157" s="2" t="s">
        <v>544</v>
      </c>
    </row>
    <row r="158" spans="1:66" ht="30" customHeight="1">
      <c r="A158" s="250" t="s">
        <v>1148</v>
      </c>
      <c r="B158" s="944" t="s">
        <v>1205</v>
      </c>
      <c r="C158" s="944"/>
      <c r="D158" s="944"/>
      <c r="E158" s="944"/>
      <c r="F158" s="944"/>
      <c r="G158" s="944"/>
      <c r="H158" s="944"/>
      <c r="I158" s="944"/>
      <c r="J158" s="944"/>
      <c r="K158" s="944"/>
      <c r="L158" s="944"/>
      <c r="M158" s="251"/>
      <c r="N158" s="252" t="s">
        <v>1149</v>
      </c>
    </row>
    <row r="159" spans="1:66">
      <c r="A159" s="253"/>
      <c r="B159" s="28"/>
      <c r="C159" s="28"/>
      <c r="D159" s="28"/>
      <c r="E159" s="28"/>
      <c r="F159" s="28"/>
      <c r="G159" s="28"/>
      <c r="H159" s="322"/>
      <c r="I159" s="28"/>
      <c r="J159" s="28"/>
      <c r="K159" s="28"/>
      <c r="L159" s="28"/>
      <c r="M159" s="28"/>
      <c r="N159" s="254"/>
    </row>
    <row r="160" spans="1:66" ht="13.95" customHeight="1">
      <c r="A160" s="253"/>
      <c r="B160" s="966" t="str">
        <f>BB160</f>
        <v>If not getting enough water, you will naturally obsess more about water. Reasoning has little to do with it. You can use reasoning for how to get the water you need, but there is no rational choice involved when nature prioritizes your urgent need for water. Emotions then rule.</v>
      </c>
      <c r="C160" s="966"/>
      <c r="D160" s="966"/>
      <c r="E160" s="966"/>
      <c r="F160" s="966"/>
      <c r="G160" s="966"/>
      <c r="H160" s="966"/>
      <c r="I160" s="966"/>
      <c r="J160" s="966"/>
      <c r="K160" s="966"/>
      <c r="L160" s="966"/>
      <c r="M160" s="966"/>
      <c r="N160" s="254"/>
      <c r="BB160" s="2" t="str">
        <f>CONCATENATE(BE160,BF160,BG160,BH160,BI160,BJ160,BK160,BL160,BM160)</f>
        <v>If not getting enough water, you will naturally obsess more about water. Reasoning has little to do with it. You can use reasoning for how to get the water you need, but there is no rational choice involved when nature prioritizes your urgent need for water. Emotions then rule.</v>
      </c>
      <c r="BE160" s="2" t="s">
        <v>584</v>
      </c>
      <c r="BF160" s="2" t="str">
        <f>BN145</f>
        <v>water</v>
      </c>
      <c r="BG160" s="129" t="s">
        <v>585</v>
      </c>
      <c r="BH160" s="2" t="str">
        <f>BF160</f>
        <v>water</v>
      </c>
      <c r="BI160" s="2" t="s">
        <v>586</v>
      </c>
      <c r="BJ160" s="2" t="str">
        <f>BH160</f>
        <v>water</v>
      </c>
      <c r="BK160" s="2" t="s">
        <v>587</v>
      </c>
      <c r="BL160" s="2" t="str">
        <f>BJ160</f>
        <v>water</v>
      </c>
      <c r="BM160" s="2" t="s">
        <v>594</v>
      </c>
    </row>
    <row r="161" spans="1:64">
      <c r="A161" s="253"/>
      <c r="B161" s="966"/>
      <c r="C161" s="966"/>
      <c r="D161" s="966"/>
      <c r="E161" s="966"/>
      <c r="F161" s="966"/>
      <c r="G161" s="966"/>
      <c r="H161" s="966"/>
      <c r="I161" s="966"/>
      <c r="J161" s="966"/>
      <c r="K161" s="966"/>
      <c r="L161" s="966"/>
      <c r="M161" s="966"/>
      <c r="N161" s="254"/>
      <c r="BB161" s="2" t="str">
        <f>CONCATENATE(BE161,BF161,BG161,BH161,BI161,BJ161,BK161,BL161,BM161)</f>
        <v>Nature prioritizes your less resolved needs along this "need-experience funnel." If relying on substitute resources, your painful need persists. If unable to access a resource, your painful need persists. If vulnerable to others impacting your access to resources, your painful need persists. Can you get the water you need completely on your own, or must you trust others?</v>
      </c>
      <c r="BE161" s="2" t="s">
        <v>1218</v>
      </c>
      <c r="BF161" s="2" t="str">
        <f>BF160</f>
        <v>water</v>
      </c>
      <c r="BG161" s="2" t="s">
        <v>588</v>
      </c>
    </row>
    <row r="162" spans="1:64">
      <c r="A162" s="253"/>
      <c r="B162" s="966"/>
      <c r="C162" s="966"/>
      <c r="D162" s="966"/>
      <c r="E162" s="966"/>
      <c r="F162" s="966"/>
      <c r="G162" s="966"/>
      <c r="H162" s="966"/>
      <c r="I162" s="966"/>
      <c r="J162" s="966"/>
      <c r="K162" s="966"/>
      <c r="L162" s="966"/>
      <c r="M162" s="966"/>
      <c r="N162" s="254"/>
    </row>
    <row r="163" spans="1:64">
      <c r="A163" s="253"/>
      <c r="B163" s="966"/>
      <c r="C163" s="966"/>
      <c r="D163" s="966"/>
      <c r="E163" s="966"/>
      <c r="F163" s="966"/>
      <c r="G163" s="966"/>
      <c r="H163" s="966"/>
      <c r="I163" s="966"/>
      <c r="J163" s="966"/>
      <c r="K163" s="966"/>
      <c r="L163" s="966"/>
      <c r="M163" s="966"/>
      <c r="N163" s="254"/>
    </row>
    <row r="164" spans="1:64" ht="14.4" customHeight="1">
      <c r="A164" s="253"/>
      <c r="B164" s="966" t="str">
        <f>BB161</f>
        <v>Nature prioritizes your less resolved needs along this "need-experience funnel." If relying on substitute resources, your painful need persists. If unable to access a resource, your painful need persists. If vulnerable to others impacting your access to resources, your painful need persists. Can you get the water you need completely on your own, or must you trust others?</v>
      </c>
      <c r="C164" s="966"/>
      <c r="D164" s="966"/>
      <c r="E164" s="966"/>
      <c r="F164" s="966"/>
      <c r="G164" s="966"/>
      <c r="H164" s="966"/>
      <c r="I164" s="966"/>
      <c r="J164" s="966"/>
      <c r="K164" s="966"/>
      <c r="L164" s="966"/>
      <c r="M164" s="966"/>
      <c r="N164" s="254"/>
    </row>
    <row r="165" spans="1:64" ht="16.2">
      <c r="A165" s="253"/>
      <c r="B165" s="966"/>
      <c r="C165" s="966"/>
      <c r="D165" s="966"/>
      <c r="E165" s="966"/>
      <c r="F165" s="966"/>
      <c r="G165" s="966"/>
      <c r="H165" s="966"/>
      <c r="I165" s="966"/>
      <c r="J165" s="966"/>
      <c r="K165" s="966"/>
      <c r="L165" s="966"/>
      <c r="M165" s="966"/>
      <c r="N165" s="254"/>
      <c r="BE165" s="49" t="s">
        <v>73</v>
      </c>
      <c r="BF165" s="49" t="s">
        <v>74</v>
      </c>
      <c r="BG165" s="49" t="s">
        <v>75</v>
      </c>
      <c r="BH165" s="49" t="s">
        <v>76</v>
      </c>
      <c r="BI165" s="49" t="s">
        <v>77</v>
      </c>
      <c r="BJ165" s="49" t="s">
        <v>78</v>
      </c>
      <c r="BK165" s="49" t="s">
        <v>79</v>
      </c>
      <c r="BL165" s="49" t="s">
        <v>80</v>
      </c>
    </row>
    <row r="166" spans="1:64" ht="15.6" customHeight="1">
      <c r="A166" s="253"/>
      <c r="B166" s="966"/>
      <c r="C166" s="966"/>
      <c r="D166" s="966"/>
      <c r="E166" s="966"/>
      <c r="F166" s="966"/>
      <c r="G166" s="966"/>
      <c r="H166" s="966"/>
      <c r="I166" s="966"/>
      <c r="J166" s="966"/>
      <c r="K166" s="966"/>
      <c r="L166" s="966"/>
      <c r="M166" s="966"/>
      <c r="N166" s="254"/>
    </row>
    <row r="167" spans="1:64" ht="16.95" customHeight="1">
      <c r="A167" s="253"/>
      <c r="B167" s="966"/>
      <c r="C167" s="966"/>
      <c r="D167" s="966"/>
      <c r="E167" s="966"/>
      <c r="F167" s="966"/>
      <c r="G167" s="966"/>
      <c r="H167" s="966"/>
      <c r="I167" s="966"/>
      <c r="J167" s="966"/>
      <c r="K167" s="966"/>
      <c r="L167" s="966"/>
      <c r="M167" s="966"/>
      <c r="N167" s="254"/>
      <c r="BB167" s="2" t="str">
        <f>IF($Q$92=BB$92,BE167,IF($Q$92=BB$93,BF167,IF($Q$92=BB$94,BG167,IF($Q$92=BB$95,BH167,IF($Q$92=BB$96,BI167,IF($Q$92=BB$97,BJ167,IF($Q$92=BB$98,BK167,IF($Q$92=BB$99,BL167,""))))))))</f>
        <v>OPEN BORDERS</v>
      </c>
      <c r="BD167" s="50" t="s">
        <v>125</v>
      </c>
      <c r="BE167" s="2" t="s">
        <v>17</v>
      </c>
      <c r="BF167" s="2" t="s">
        <v>265</v>
      </c>
      <c r="BG167" s="2" t="s">
        <v>271</v>
      </c>
      <c r="BH167" s="2" t="s">
        <v>281</v>
      </c>
      <c r="BI167" s="2" t="s">
        <v>293</v>
      </c>
      <c r="BJ167" s="2" t="s">
        <v>309</v>
      </c>
      <c r="BK167" s="2" t="s">
        <v>323</v>
      </c>
      <c r="BL167" s="2" t="s">
        <v>335</v>
      </c>
    </row>
    <row r="168" spans="1:64" ht="30" customHeight="1">
      <c r="A168" s="253"/>
      <c r="B168" s="909" t="s">
        <v>0</v>
      </c>
      <c r="C168" s="28"/>
      <c r="D168" s="28"/>
      <c r="E168" s="28"/>
      <c r="F168" s="28"/>
      <c r="G168" s="28"/>
      <c r="H168" s="909" t="s">
        <v>1</v>
      </c>
      <c r="I168" s="28"/>
      <c r="J168" s="28"/>
      <c r="K168" s="28"/>
      <c r="L168" s="28"/>
      <c r="M168" s="28"/>
      <c r="N168" s="254"/>
      <c r="BB168" s="2" t="str">
        <f t="shared" ref="BB168:BB180" si="2">IF($Q$92=BB$92,BE168,IF($Q$92=BB$93,BF168,IF($Q$92=BB$94,BG168,IF($Q$92=BB$95,BH168,IF($Q$92=BB$96,BI168,IF($Q$92=BB$97,BJ168,IF($Q$92=BB$98,BK168,IF($Q$92=BB$99,BL168,""))))))))</f>
        <v>RELAX BORDERS</v>
      </c>
      <c r="BD168" s="50" t="s">
        <v>126</v>
      </c>
      <c r="BE168" s="2" t="s">
        <v>18</v>
      </c>
      <c r="BF168" s="2" t="s">
        <v>266</v>
      </c>
      <c r="BG168" s="2" t="s">
        <v>272</v>
      </c>
      <c r="BH168" s="2" t="s">
        <v>282</v>
      </c>
      <c r="BI168" s="2" t="s">
        <v>296</v>
      </c>
      <c r="BJ168" s="2" t="s">
        <v>310</v>
      </c>
      <c r="BK168" s="2" t="s">
        <v>324</v>
      </c>
      <c r="BL168" s="2" t="s">
        <v>336</v>
      </c>
    </row>
    <row r="169" spans="1:64" ht="30" customHeight="1">
      <c r="A169" s="253"/>
      <c r="B169" s="1010" t="s">
        <v>589</v>
      </c>
      <c r="C169" s="1010"/>
      <c r="D169" s="1010"/>
      <c r="E169" s="1010"/>
      <c r="F169" s="1010"/>
      <c r="G169" s="1010"/>
      <c r="H169" s="1010" t="s">
        <v>1245</v>
      </c>
      <c r="I169" s="1010"/>
      <c r="J169" s="1010"/>
      <c r="K169" s="1010"/>
      <c r="L169" s="1010"/>
      <c r="M169" s="1010"/>
      <c r="N169" s="254"/>
      <c r="BB169" s="2" t="str">
        <f t="shared" si="2"/>
        <v>EASY ENTRY</v>
      </c>
      <c r="BD169" s="50" t="s">
        <v>127</v>
      </c>
      <c r="BE169" s="2" t="s">
        <v>135</v>
      </c>
      <c r="BF169" s="2" t="s">
        <v>267</v>
      </c>
      <c r="BG169" s="2" t="s">
        <v>273</v>
      </c>
      <c r="BH169" s="2" t="s">
        <v>283</v>
      </c>
      <c r="BI169" s="2" t="s">
        <v>297</v>
      </c>
      <c r="BJ169" s="2" t="s">
        <v>311</v>
      </c>
      <c r="BK169" s="2" t="s">
        <v>325</v>
      </c>
      <c r="BL169" s="2" t="s">
        <v>337</v>
      </c>
    </row>
    <row r="170" spans="1:64" ht="30" customHeight="1">
      <c r="A170" s="253"/>
      <c r="B170" s="1010"/>
      <c r="C170" s="1010"/>
      <c r="D170" s="1010"/>
      <c r="E170" s="1010"/>
      <c r="F170" s="1010"/>
      <c r="G170" s="1010"/>
      <c r="H170" s="1010"/>
      <c r="I170" s="1010"/>
      <c r="J170" s="1010"/>
      <c r="K170" s="1010"/>
      <c r="L170" s="1010"/>
      <c r="M170" s="1010"/>
      <c r="N170" s="254"/>
      <c r="BB170" s="2" t="str">
        <f t="shared" si="2"/>
        <v>STEM ENTRY</v>
      </c>
      <c r="BD170" s="50" t="s">
        <v>128</v>
      </c>
      <c r="BE170" s="2" t="s">
        <v>192</v>
      </c>
      <c r="BF170" s="2" t="s">
        <v>268</v>
      </c>
      <c r="BG170" s="2" t="s">
        <v>274</v>
      </c>
      <c r="BH170" s="2" t="s">
        <v>284</v>
      </c>
      <c r="BI170" s="2" t="s">
        <v>298</v>
      </c>
      <c r="BJ170" s="2" t="s">
        <v>312</v>
      </c>
      <c r="BK170" s="2" t="s">
        <v>326</v>
      </c>
      <c r="BL170" s="2" t="s">
        <v>338</v>
      </c>
    </row>
    <row r="171" spans="1:64" ht="4.95" customHeight="1">
      <c r="A171" s="253"/>
      <c r="B171" s="1011" t="s">
        <v>590</v>
      </c>
      <c r="C171" s="1011"/>
      <c r="D171" s="1011"/>
      <c r="E171" s="1011"/>
      <c r="F171" s="1011"/>
      <c r="G171" s="1011"/>
      <c r="H171" s="1011" t="s">
        <v>591</v>
      </c>
      <c r="I171" s="1011"/>
      <c r="J171" s="1011"/>
      <c r="K171" s="1011"/>
      <c r="L171" s="1011"/>
      <c r="M171" s="1011"/>
      <c r="N171" s="254"/>
      <c r="BD171" s="50"/>
    </row>
    <row r="172" spans="1:64" ht="15" customHeight="1">
      <c r="A172" s="253"/>
      <c r="B172" s="1012"/>
      <c r="C172" s="1012"/>
      <c r="D172" s="1012"/>
      <c r="E172" s="1012"/>
      <c r="F172" s="1012"/>
      <c r="G172" s="1012"/>
      <c r="H172" s="1012"/>
      <c r="I172" s="1012"/>
      <c r="J172" s="1012"/>
      <c r="K172" s="1012"/>
      <c r="L172" s="1012"/>
      <c r="M172" s="1012"/>
      <c r="N172" s="254"/>
      <c r="BB172" s="2" t="str">
        <f t="shared" si="2"/>
        <v>MERIT ENTRY</v>
      </c>
      <c r="BD172" s="50" t="s">
        <v>129</v>
      </c>
      <c r="BE172" s="2" t="s">
        <v>193</v>
      </c>
      <c r="BF172" s="2" t="s">
        <v>269</v>
      </c>
      <c r="BG172" s="2" t="s">
        <v>275</v>
      </c>
      <c r="BH172" s="2" t="s">
        <v>285</v>
      </c>
      <c r="BI172" s="2" t="s">
        <v>299</v>
      </c>
      <c r="BJ172" s="2" t="s">
        <v>313</v>
      </c>
      <c r="BK172" s="2" t="s">
        <v>327</v>
      </c>
      <c r="BL172" s="2" t="s">
        <v>339</v>
      </c>
    </row>
    <row r="173" spans="1:64" ht="34.950000000000003" customHeight="1">
      <c r="A173" s="253"/>
      <c r="B173" s="1225"/>
      <c r="C173" s="967"/>
      <c r="D173" s="967"/>
      <c r="E173" s="967"/>
      <c r="F173" s="967"/>
      <c r="G173" s="1226"/>
      <c r="H173" s="967"/>
      <c r="I173" s="967"/>
      <c r="J173" s="967"/>
      <c r="K173" s="967"/>
      <c r="L173" s="967"/>
      <c r="M173" s="968"/>
      <c r="N173" s="254"/>
      <c r="BB173" s="2" t="str">
        <f t="shared" si="2"/>
        <v>NO ENTRY</v>
      </c>
      <c r="BD173" s="50" t="s">
        <v>130</v>
      </c>
      <c r="BE173" s="2" t="s">
        <v>194</v>
      </c>
      <c r="BF173" s="2" t="s">
        <v>270</v>
      </c>
      <c r="BG173" s="2" t="s">
        <v>276</v>
      </c>
      <c r="BH173" s="2" t="s">
        <v>286</v>
      </c>
      <c r="BI173" s="2" t="s">
        <v>300</v>
      </c>
      <c r="BJ173" s="2" t="s">
        <v>314</v>
      </c>
      <c r="BK173" s="2" t="s">
        <v>328</v>
      </c>
      <c r="BL173" s="2" t="s">
        <v>716</v>
      </c>
    </row>
    <row r="174" spans="1:64" ht="15" customHeight="1">
      <c r="A174" s="253"/>
      <c r="B174" s="28"/>
      <c r="C174" s="28"/>
      <c r="D174" s="28"/>
      <c r="E174" s="28"/>
      <c r="F174" s="28"/>
      <c r="G174" s="28"/>
      <c r="H174" s="322"/>
      <c r="I174" s="28"/>
      <c r="J174" s="28"/>
      <c r="K174" s="28"/>
      <c r="L174" s="28"/>
      <c r="M174" s="28"/>
      <c r="N174" s="254"/>
      <c r="BD174" s="48"/>
    </row>
    <row r="175" spans="1:64" ht="14.4" customHeight="1">
      <c r="A175" s="253"/>
      <c r="B175" s="1013" t="s">
        <v>592</v>
      </c>
      <c r="C175" s="1013"/>
      <c r="D175" s="1013"/>
      <c r="E175" s="1013"/>
      <c r="F175" s="1013"/>
      <c r="G175" s="1013"/>
      <c r="H175" s="1013"/>
      <c r="I175" s="1013"/>
      <c r="J175" s="1013"/>
      <c r="K175" s="1013"/>
      <c r="L175" s="1013"/>
      <c r="M175" s="1013"/>
      <c r="N175" s="254"/>
      <c r="BB175" s="2" t="str">
        <f>IF($Q$92=BB$92,BE175,IF($Q$92=BB$93,BF175,IF($Q$92=BB$94,BG175,IF($Q$92=BB$95,BH175,IF($Q$92=BB$96,BI175,IF($Q$92=BB$97,BJ175,IF($Q$92=BB$98,BK175,IF($Q$92=BB$99,BL175,""))))))))</f>
        <v>We as nontraditional people feel systemically excluded from advantaged spaces by arbitrary national borders</v>
      </c>
      <c r="BD175" s="50" t="s">
        <v>119</v>
      </c>
      <c r="BE175" s="2" t="s">
        <v>346</v>
      </c>
      <c r="BF175" s="2" t="s">
        <v>352</v>
      </c>
      <c r="BG175" s="2" t="s">
        <v>358</v>
      </c>
      <c r="BH175" s="2" t="s">
        <v>287</v>
      </c>
      <c r="BI175" s="2" t="s">
        <v>301</v>
      </c>
      <c r="BJ175" s="2" t="s">
        <v>315</v>
      </c>
      <c r="BK175" s="2" t="s">
        <v>329</v>
      </c>
      <c r="BL175" s="2" t="s">
        <v>340</v>
      </c>
    </row>
    <row r="176" spans="1:64" ht="14.4" customHeight="1">
      <c r="A176" s="253"/>
      <c r="B176" s="1014"/>
      <c r="C176" s="1015"/>
      <c r="D176" s="1015"/>
      <c r="E176" s="1015"/>
      <c r="F176" s="1015"/>
      <c r="G176" s="1015"/>
      <c r="H176" s="1015"/>
      <c r="I176" s="1015"/>
      <c r="J176" s="1015"/>
      <c r="K176" s="1015"/>
      <c r="L176" s="1015"/>
      <c r="M176" s="1016"/>
      <c r="N176" s="254"/>
      <c r="BB176" s="2" t="str">
        <f>IF($Q$92=BB$92,BE176,IF($Q$92=BB$93,BF176,IF($Q$92=BB$94,BG176,IF($Q$92=BB$95,BH176,IF($Q$92=BB$96,BI176,IF($Q$92=BB$97,BJ176,IF($Q$92=BB$98,BK176,IF($Q$92=BB$99,BL176,""))))))))</f>
        <v>We need to admit most immigrants are desperate to leave situations largely of our interventionists making</v>
      </c>
      <c r="BD176" s="50" t="s">
        <v>120</v>
      </c>
      <c r="BE176" s="2" t="s">
        <v>347</v>
      </c>
      <c r="BF176" s="2" t="s">
        <v>353</v>
      </c>
      <c r="BG176" s="2" t="s">
        <v>359</v>
      </c>
      <c r="BH176" s="2" t="s">
        <v>288</v>
      </c>
      <c r="BI176" s="2" t="s">
        <v>302</v>
      </c>
      <c r="BJ176" s="2" t="s">
        <v>316</v>
      </c>
      <c r="BK176" s="2" t="s">
        <v>330</v>
      </c>
      <c r="BL176" s="2" t="s">
        <v>341</v>
      </c>
    </row>
    <row r="177" spans="1:64" ht="14.4" customHeight="1">
      <c r="A177" s="253"/>
      <c r="B177" s="1017"/>
      <c r="C177" s="1018"/>
      <c r="D177" s="1018"/>
      <c r="E177" s="1018"/>
      <c r="F177" s="1018"/>
      <c r="G177" s="1018"/>
      <c r="H177" s="1018"/>
      <c r="I177" s="1018"/>
      <c r="J177" s="1018"/>
      <c r="K177" s="1018"/>
      <c r="L177" s="1018"/>
      <c r="M177" s="1019"/>
      <c r="N177" s="254"/>
      <c r="BB177" s="2" t="str">
        <f>IF($Q$92=BB$92,BE177,IF($Q$92=BB$93,BF177,IF($Q$92=BB$94,BG177,IF($Q$92=BB$95,BH177,IF($Q$92=BB$96,BI177,IF($Q$92=BB$97,BJ177,IF($Q$92=BB$98,BK177,IF($Q$92=BB$99,BL177,""))))))))</f>
        <v>We need immigrants willing to do jobs citizens won’t and offer amnesty for citizenship after they show such merit</v>
      </c>
      <c r="BD177" s="50" t="s">
        <v>121</v>
      </c>
      <c r="BE177" s="2" t="s">
        <v>348</v>
      </c>
      <c r="BF177" s="2" t="s">
        <v>354</v>
      </c>
      <c r="BG177" s="2" t="s">
        <v>360</v>
      </c>
      <c r="BH177" s="2" t="s">
        <v>289</v>
      </c>
      <c r="BI177" s="2" t="s">
        <v>303</v>
      </c>
      <c r="BJ177" s="2" t="s">
        <v>317</v>
      </c>
      <c r="BK177" s="2" t="s">
        <v>331</v>
      </c>
      <c r="BL177" s="2" t="s">
        <v>342</v>
      </c>
    </row>
    <row r="178" spans="1:64" ht="14.4" customHeight="1">
      <c r="A178" s="253"/>
      <c r="B178" s="1224" t="s">
        <v>593</v>
      </c>
      <c r="C178" s="1224"/>
      <c r="D178" s="1224"/>
      <c r="E178" s="1224"/>
      <c r="F178" s="1224"/>
      <c r="G178" s="1224"/>
      <c r="H178" s="1224"/>
      <c r="I178" s="1224"/>
      <c r="J178" s="1224"/>
      <c r="K178" s="1224"/>
      <c r="L178" s="1224"/>
      <c r="M178" s="1224"/>
      <c r="N178" s="254"/>
      <c r="BB178" s="2" t="str">
        <f t="shared" si="2"/>
        <v>We can offer amnesty to children born to illegal migrant parents after they show merit</v>
      </c>
      <c r="BD178" s="50" t="s">
        <v>122</v>
      </c>
      <c r="BE178" s="2" t="s">
        <v>349</v>
      </c>
      <c r="BF178" s="2" t="s">
        <v>355</v>
      </c>
      <c r="BG178" s="2" t="s">
        <v>361</v>
      </c>
      <c r="BH178" s="2" t="s">
        <v>290</v>
      </c>
      <c r="BI178" s="2" t="s">
        <v>304</v>
      </c>
      <c r="BJ178" s="2" t="s">
        <v>319</v>
      </c>
      <c r="BK178" s="2" t="s">
        <v>332</v>
      </c>
      <c r="BL178" s="2" t="s">
        <v>343</v>
      </c>
    </row>
    <row r="179" spans="1:64" ht="14.4" customHeight="1">
      <c r="A179" s="253"/>
      <c r="B179" s="28"/>
      <c r="C179" s="28"/>
      <c r="D179" s="28"/>
      <c r="E179" s="28"/>
      <c r="F179" s="28"/>
      <c r="G179" s="28"/>
      <c r="H179" s="322"/>
      <c r="I179" s="28"/>
      <c r="J179" s="28"/>
      <c r="K179" s="28"/>
      <c r="L179" s="28"/>
      <c r="M179" s="28"/>
      <c r="N179" s="254"/>
      <c r="BB179" s="2" t="str">
        <f t="shared" si="2"/>
        <v>We need to limit migration to those first showing merit before crossing any of our sacred borders</v>
      </c>
      <c r="BD179" s="50" t="s">
        <v>123</v>
      </c>
      <c r="BE179" s="2" t="s">
        <v>350</v>
      </c>
      <c r="BF179" s="2" t="s">
        <v>356</v>
      </c>
      <c r="BG179" s="2" t="s">
        <v>362</v>
      </c>
      <c r="BH179" s="2" t="s">
        <v>291</v>
      </c>
      <c r="BI179" s="2" t="s">
        <v>305</v>
      </c>
      <c r="BJ179" s="2" t="s">
        <v>318</v>
      </c>
      <c r="BK179" s="2" t="s">
        <v>333</v>
      </c>
      <c r="BL179" s="2" t="s">
        <v>714</v>
      </c>
    </row>
    <row r="180" spans="1:64" ht="14.4" customHeight="1">
      <c r="A180" s="253"/>
      <c r="B180" s="966" t="str">
        <f>BB182</f>
        <v>SELECT OPTIONS ABOVE TO ESTIMATE YOUR PRIORITIZING PSYCHOSOCIAL NEEDS</v>
      </c>
      <c r="C180" s="966"/>
      <c r="D180" s="966"/>
      <c r="E180" s="966"/>
      <c r="F180" s="966"/>
      <c r="G180" s="966"/>
      <c r="H180" s="966"/>
      <c r="I180" s="966"/>
      <c r="J180" s="966"/>
      <c r="K180" s="966"/>
      <c r="L180" s="966"/>
      <c r="M180" s="966"/>
      <c r="N180" s="254"/>
      <c r="BB180" s="2" t="str">
        <f t="shared" si="2"/>
        <v>Nativist Americans feel smothered by excessive immigration, pressurizing already strained cohesion</v>
      </c>
      <c r="BD180" s="50" t="s">
        <v>124</v>
      </c>
      <c r="BE180" s="2" t="s">
        <v>351</v>
      </c>
      <c r="BF180" s="2" t="s">
        <v>357</v>
      </c>
      <c r="BG180" s="2" t="s">
        <v>363</v>
      </c>
      <c r="BH180" s="2" t="s">
        <v>292</v>
      </c>
      <c r="BI180" s="2" t="s">
        <v>306</v>
      </c>
      <c r="BJ180" s="2" t="s">
        <v>320</v>
      </c>
      <c r="BK180" s="2" t="s">
        <v>334</v>
      </c>
      <c r="BL180" s="2" t="s">
        <v>344</v>
      </c>
    </row>
    <row r="181" spans="1:64" ht="15" customHeight="1">
      <c r="A181" s="253"/>
      <c r="B181" s="966"/>
      <c r="C181" s="966"/>
      <c r="D181" s="966"/>
      <c r="E181" s="966"/>
      <c r="F181" s="966"/>
      <c r="G181" s="966"/>
      <c r="H181" s="966"/>
      <c r="I181" s="966"/>
      <c r="J181" s="966"/>
      <c r="K181" s="966"/>
      <c r="L181" s="966"/>
      <c r="M181" s="966"/>
      <c r="N181" s="254"/>
    </row>
    <row r="182" spans="1:64" ht="34.950000000000003" customHeight="1">
      <c r="A182" s="253"/>
      <c r="B182" s="966"/>
      <c r="C182" s="966"/>
      <c r="D182" s="966"/>
      <c r="E182" s="966"/>
      <c r="F182" s="966"/>
      <c r="G182" s="966"/>
      <c r="H182" s="966"/>
      <c r="I182" s="966"/>
      <c r="J182" s="966"/>
      <c r="K182" s="966"/>
      <c r="L182" s="966"/>
      <c r="M182" s="966"/>
      <c r="N182" s="254"/>
      <c r="BB182" s="2" t="str">
        <f>IF(B176="",BB183,BE106)</f>
        <v>SELECT OPTIONS ABOVE TO ESTIMATE YOUR PRIORITIZING PSYCHOSOCIAL NEEDS</v>
      </c>
    </row>
    <row r="183" spans="1:64">
      <c r="A183" s="253"/>
      <c r="B183" s="280"/>
      <c r="C183" s="280"/>
      <c r="D183" s="280"/>
      <c r="E183" s="280"/>
      <c r="F183" s="280"/>
      <c r="G183" s="280"/>
      <c r="H183" s="327"/>
      <c r="I183" s="280"/>
      <c r="J183" s="280"/>
      <c r="K183" s="280"/>
      <c r="L183" s="280"/>
      <c r="M183" s="280"/>
      <c r="N183" s="254"/>
      <c r="BB183" s="2" t="s">
        <v>1219</v>
      </c>
    </row>
    <row r="184" spans="1:64">
      <c r="A184" s="253"/>
      <c r="B184" s="280"/>
      <c r="C184" s="280"/>
      <c r="D184" s="280"/>
      <c r="E184" s="280"/>
      <c r="F184" s="280"/>
      <c r="G184" s="280"/>
      <c r="H184" s="327"/>
      <c r="I184" s="280"/>
      <c r="J184" s="280"/>
      <c r="K184" s="280"/>
      <c r="L184" s="280"/>
      <c r="M184" s="280"/>
      <c r="N184" s="254"/>
    </row>
    <row r="185" spans="1:64">
      <c r="A185" s="253"/>
      <c r="B185" s="28"/>
      <c r="C185" s="28"/>
      <c r="D185" s="28"/>
      <c r="E185" s="28"/>
      <c r="F185" s="28"/>
      <c r="G185" s="28"/>
      <c r="H185" s="322"/>
      <c r="I185" s="28"/>
      <c r="J185" s="28"/>
      <c r="K185" s="28"/>
      <c r="L185" s="28"/>
      <c r="M185" s="28"/>
      <c r="N185" s="254"/>
    </row>
    <row r="186" spans="1:64">
      <c r="A186" s="253"/>
      <c r="B186" s="28"/>
      <c r="C186" s="28"/>
      <c r="D186" s="28"/>
      <c r="E186" s="28"/>
      <c r="F186" s="28"/>
      <c r="G186" s="28"/>
      <c r="H186" s="322"/>
      <c r="I186" s="28"/>
      <c r="J186" s="28"/>
      <c r="K186" s="28"/>
      <c r="L186" s="28"/>
      <c r="M186" s="28"/>
      <c r="N186" s="254"/>
    </row>
    <row r="187" spans="1:64">
      <c r="A187" s="253"/>
      <c r="B187" s="28"/>
      <c r="C187" s="28"/>
      <c r="D187" s="28"/>
      <c r="E187" s="28"/>
      <c r="F187" s="28"/>
      <c r="G187" s="28"/>
      <c r="H187" s="322"/>
      <c r="I187" s="28"/>
      <c r="J187" s="28"/>
      <c r="K187" s="28"/>
      <c r="L187" s="28"/>
      <c r="M187" s="28"/>
      <c r="N187" s="254"/>
    </row>
    <row r="188" spans="1:64">
      <c r="A188" s="253"/>
      <c r="B188" s="28"/>
      <c r="C188" s="28"/>
      <c r="D188" s="28"/>
      <c r="E188" s="28"/>
      <c r="F188" s="28"/>
      <c r="G188" s="28"/>
      <c r="H188" s="322"/>
      <c r="I188" s="28"/>
      <c r="J188" s="28"/>
      <c r="K188" s="28"/>
      <c r="L188" s="28"/>
      <c r="M188" s="28"/>
      <c r="N188" s="254"/>
    </row>
    <row r="189" spans="1:64">
      <c r="A189" s="253"/>
      <c r="B189" s="28"/>
      <c r="C189" s="28"/>
      <c r="D189" s="28"/>
      <c r="E189" s="28"/>
      <c r="F189" s="28"/>
      <c r="G189" s="28"/>
      <c r="H189" s="322"/>
      <c r="I189" s="28"/>
      <c r="J189" s="28"/>
      <c r="K189" s="28"/>
      <c r="L189" s="28"/>
      <c r="M189" s="28"/>
      <c r="N189" s="254"/>
    </row>
    <row r="190" spans="1:64">
      <c r="A190" s="253"/>
      <c r="B190" s="28"/>
      <c r="C190" s="28"/>
      <c r="D190" s="28"/>
      <c r="E190" s="28"/>
      <c r="F190" s="28"/>
      <c r="G190" s="28"/>
      <c r="H190" s="322"/>
      <c r="I190" s="28"/>
      <c r="J190" s="28"/>
      <c r="K190" s="28"/>
      <c r="L190" s="28"/>
      <c r="M190" s="28"/>
      <c r="N190" s="254"/>
    </row>
    <row r="191" spans="1:64">
      <c r="A191" s="253"/>
      <c r="B191" s="28"/>
      <c r="C191" s="28"/>
      <c r="D191" s="28"/>
      <c r="E191" s="28"/>
      <c r="F191" s="28"/>
      <c r="G191" s="28"/>
      <c r="H191" s="322"/>
      <c r="I191" s="28"/>
      <c r="J191" s="28"/>
      <c r="K191" s="28"/>
      <c r="L191" s="28"/>
      <c r="M191" s="28"/>
      <c r="N191" s="254"/>
    </row>
    <row r="192" spans="1:64">
      <c r="A192" s="253"/>
      <c r="B192" s="28"/>
      <c r="C192" s="28"/>
      <c r="D192" s="28"/>
      <c r="E192" s="28"/>
      <c r="F192" s="28"/>
      <c r="G192" s="28"/>
      <c r="H192" s="322"/>
      <c r="I192" s="28"/>
      <c r="J192" s="28"/>
      <c r="K192" s="28"/>
      <c r="L192" s="28"/>
      <c r="M192" s="28"/>
      <c r="N192" s="254"/>
    </row>
    <row r="193" spans="1:81">
      <c r="A193" s="253"/>
      <c r="B193" s="28"/>
      <c r="C193" s="28"/>
      <c r="D193" s="28"/>
      <c r="E193" s="28"/>
      <c r="F193" s="28"/>
      <c r="G193" s="28"/>
      <c r="H193" s="322"/>
      <c r="I193" s="28"/>
      <c r="J193" s="28"/>
      <c r="K193" s="28"/>
      <c r="L193" s="28"/>
      <c r="M193" s="28"/>
      <c r="N193" s="254"/>
    </row>
    <row r="194" spans="1:81">
      <c r="A194" s="253"/>
      <c r="B194" s="28"/>
      <c r="C194" s="28"/>
      <c r="D194" s="28"/>
      <c r="E194" s="28"/>
      <c r="F194" s="28"/>
      <c r="G194" s="28"/>
      <c r="H194" s="322"/>
      <c r="I194" s="28"/>
      <c r="J194" s="28"/>
      <c r="K194" s="28"/>
      <c r="L194" s="28"/>
      <c r="M194" s="28"/>
      <c r="N194" s="254"/>
    </row>
    <row r="195" spans="1:81">
      <c r="A195" s="253"/>
      <c r="B195" s="28"/>
      <c r="C195" s="28"/>
      <c r="D195" s="28"/>
      <c r="E195" s="28"/>
      <c r="F195" s="28"/>
      <c r="G195" s="28"/>
      <c r="H195" s="322"/>
      <c r="I195" s="28"/>
      <c r="J195" s="28"/>
      <c r="K195" s="28"/>
      <c r="L195" s="28"/>
      <c r="M195" s="28"/>
      <c r="N195" s="254"/>
    </row>
    <row r="196" spans="1:81">
      <c r="A196" s="253"/>
      <c r="B196" s="28"/>
      <c r="C196" s="28"/>
      <c r="D196" s="28"/>
      <c r="E196" s="28"/>
      <c r="F196" s="28"/>
      <c r="G196" s="28"/>
      <c r="H196" s="322"/>
      <c r="I196" s="28"/>
      <c r="J196" s="28"/>
      <c r="K196" s="28"/>
      <c r="L196" s="28"/>
      <c r="M196" s="28"/>
      <c r="N196" s="254"/>
    </row>
    <row r="197" spans="1:81">
      <c r="A197" s="255"/>
      <c r="B197" s="256"/>
      <c r="C197" s="256"/>
      <c r="D197" s="256"/>
      <c r="E197" s="256"/>
      <c r="F197" s="256"/>
      <c r="G197" s="256"/>
      <c r="H197" s="323"/>
      <c r="I197" s="256"/>
      <c r="J197" s="256"/>
      <c r="K197" s="256"/>
      <c r="L197" s="256"/>
      <c r="M197" s="256"/>
      <c r="N197" s="257"/>
    </row>
    <row r="198" spans="1:81" ht="30" customHeight="1">
      <c r="A198" s="250" t="s">
        <v>1148</v>
      </c>
      <c r="B198" s="944" t="s">
        <v>2</v>
      </c>
      <c r="C198" s="944"/>
      <c r="D198" s="944"/>
      <c r="E198" s="944"/>
      <c r="F198" s="944"/>
      <c r="G198" s="944"/>
      <c r="H198" s="944"/>
      <c r="I198" s="944"/>
      <c r="J198" s="944"/>
      <c r="K198" s="944"/>
      <c r="L198" s="944"/>
      <c r="M198" s="251"/>
      <c r="N198" s="252" t="s">
        <v>1149</v>
      </c>
    </row>
    <row r="199" spans="1:81" ht="14.4" customHeight="1">
      <c r="A199" s="253"/>
      <c r="B199" s="1003" t="str">
        <f>BB200</f>
        <v>Your inflexible needs orient your focus. We each experience this as a psychosocial orientation. Quick estimate your own psychosocial orientation, and see if it predicts your political outlook.</v>
      </c>
      <c r="C199" s="1003"/>
      <c r="D199" s="1003"/>
      <c r="E199" s="1003"/>
      <c r="F199" s="1003"/>
      <c r="G199" s="1003"/>
      <c r="H199" s="1003"/>
      <c r="I199" s="1003"/>
      <c r="J199" s="1003"/>
      <c r="K199" s="1003"/>
      <c r="L199" s="1003"/>
      <c r="M199" s="1003"/>
      <c r="N199" s="254"/>
    </row>
    <row r="200" spans="1:81">
      <c r="A200" s="253"/>
      <c r="B200" s="1003"/>
      <c r="C200" s="1003"/>
      <c r="D200" s="1003"/>
      <c r="E200" s="1003"/>
      <c r="F200" s="1003"/>
      <c r="G200" s="1003"/>
      <c r="H200" s="1003"/>
      <c r="I200" s="1003"/>
      <c r="J200" s="1003"/>
      <c r="K200" s="1003"/>
      <c r="L200" s="1003"/>
      <c r="M200" s="1003"/>
      <c r="N200" s="254"/>
      <c r="BB200" s="37" t="str">
        <f>CONCATENATE(BC201,BC202)</f>
        <v>Your inflexible needs orient your focus. We each experience this as a psychosocial orientation. Quick estimate your own psychosocial orientation, and see if it predicts your political outlook.</v>
      </c>
    </row>
    <row r="201" spans="1:81" ht="14.4" thickBot="1">
      <c r="A201" s="253"/>
      <c r="B201" s="1003"/>
      <c r="C201" s="1003"/>
      <c r="D201" s="1003"/>
      <c r="E201" s="1003"/>
      <c r="F201" s="1003"/>
      <c r="G201" s="1003"/>
      <c r="H201" s="1003"/>
      <c r="I201" s="1003"/>
      <c r="J201" s="1003"/>
      <c r="K201" s="1003"/>
      <c r="L201" s="1003"/>
      <c r="M201" s="1003"/>
      <c r="N201" s="254"/>
      <c r="BC201" s="2" t="s">
        <v>1220</v>
      </c>
    </row>
    <row r="202" spans="1:81" ht="19.95" customHeight="1" thickTop="1">
      <c r="A202" s="253"/>
      <c r="B202" s="28"/>
      <c r="C202" s="28"/>
      <c r="D202" s="1004"/>
      <c r="E202" s="1005"/>
      <c r="F202" s="1005"/>
      <c r="G202" s="1005"/>
      <c r="H202" s="1005"/>
      <c r="I202" s="1005"/>
      <c r="J202" s="1005"/>
      <c r="K202" s="1006"/>
      <c r="L202" s="28"/>
      <c r="M202" s="28"/>
      <c r="N202" s="254"/>
      <c r="BC202" s="2" t="s">
        <v>597</v>
      </c>
    </row>
    <row r="203" spans="1:81" ht="19.95" customHeight="1" thickBot="1">
      <c r="A203" s="253"/>
      <c r="B203" s="28"/>
      <c r="C203" s="28"/>
      <c r="D203" s="1007"/>
      <c r="E203" s="1008"/>
      <c r="F203" s="1008"/>
      <c r="G203" s="1008"/>
      <c r="H203" s="1008"/>
      <c r="I203" s="1008"/>
      <c r="J203" s="1008"/>
      <c r="K203" s="1009"/>
      <c r="L203" s="28"/>
      <c r="M203" s="28"/>
      <c r="N203" s="254"/>
      <c r="BQ203" s="2">
        <f>IF(D202="",0,1)</f>
        <v>0</v>
      </c>
      <c r="BS203" s="139">
        <f>IF(D202=BW203,"1",IF(D202=BW204,"-1",0))</f>
        <v>0</v>
      </c>
      <c r="BT203" s="2" t="str">
        <f>IF(D202=BW203,"DEEP",IF(D202=BW204,"WIDE",""))</f>
        <v/>
      </c>
      <c r="BV203" s="2">
        <v>1</v>
      </c>
      <c r="BW203" s="32" t="s">
        <v>670</v>
      </c>
      <c r="BX203" s="33"/>
      <c r="BY203" s="33"/>
      <c r="BZ203" s="33"/>
      <c r="CA203" s="33"/>
      <c r="CB203" s="33"/>
      <c r="CC203" s="34"/>
    </row>
    <row r="204" spans="1:81" ht="19.95" customHeight="1" thickTop="1">
      <c r="A204" s="253"/>
      <c r="B204" s="28"/>
      <c r="C204" s="28"/>
      <c r="D204" s="1004"/>
      <c r="E204" s="1005"/>
      <c r="F204" s="1005"/>
      <c r="G204" s="1005"/>
      <c r="H204" s="1005"/>
      <c r="I204" s="1005"/>
      <c r="J204" s="1005"/>
      <c r="K204" s="1006"/>
      <c r="L204" s="28"/>
      <c r="M204" s="28"/>
      <c r="N204" s="254"/>
      <c r="BS204" s="139"/>
      <c r="BW204" s="4" t="s">
        <v>671</v>
      </c>
      <c r="BX204" s="5"/>
      <c r="BY204" s="5"/>
      <c r="BZ204" s="5"/>
      <c r="CA204" s="5"/>
      <c r="CB204" s="5"/>
      <c r="CC204" s="6"/>
    </row>
    <row r="205" spans="1:81" ht="19.95" customHeight="1" thickBot="1">
      <c r="A205" s="253"/>
      <c r="B205" s="28"/>
      <c r="C205" s="28"/>
      <c r="D205" s="1007"/>
      <c r="E205" s="1008"/>
      <c r="F205" s="1008"/>
      <c r="G205" s="1008"/>
      <c r="H205" s="1008"/>
      <c r="I205" s="1008"/>
      <c r="J205" s="1008"/>
      <c r="K205" s="1009"/>
      <c r="L205" s="28"/>
      <c r="M205" s="28"/>
      <c r="N205" s="254"/>
      <c r="BQ205" s="2">
        <f>IF(D204="",0,1)</f>
        <v>0</v>
      </c>
      <c r="BS205" s="139">
        <f>IF(D204=BW205,"1",IF(D204=BW206,"-1",0))</f>
        <v>0</v>
      </c>
      <c r="BT205" s="2" t="str">
        <f>IF(D204=BW205,"DEEP",IF(D204=BW206,"WIDE",""))</f>
        <v/>
      </c>
      <c r="BV205" s="2">
        <v>2</v>
      </c>
      <c r="BW205" s="32" t="s">
        <v>654</v>
      </c>
      <c r="BX205" s="33"/>
      <c r="BY205" s="33"/>
      <c r="BZ205" s="33"/>
      <c r="CA205" s="33"/>
      <c r="CB205" s="33"/>
      <c r="CC205" s="34"/>
    </row>
    <row r="206" spans="1:81" ht="19.95" customHeight="1" thickTop="1">
      <c r="A206" s="253"/>
      <c r="B206" s="28"/>
      <c r="C206" s="28"/>
      <c r="D206" s="1004"/>
      <c r="E206" s="1005"/>
      <c r="F206" s="1005"/>
      <c r="G206" s="1005"/>
      <c r="H206" s="1005"/>
      <c r="I206" s="1005"/>
      <c r="J206" s="1005"/>
      <c r="K206" s="1006"/>
      <c r="L206" s="28"/>
      <c r="M206" s="28"/>
      <c r="N206" s="254"/>
      <c r="BS206" s="139"/>
      <c r="BW206" s="4" t="s">
        <v>655</v>
      </c>
      <c r="BX206" s="5"/>
      <c r="BY206" s="5"/>
      <c r="BZ206" s="5"/>
      <c r="CA206" s="5"/>
      <c r="CB206" s="5"/>
      <c r="CC206" s="6"/>
    </row>
    <row r="207" spans="1:81" ht="19.95" customHeight="1" thickBot="1">
      <c r="A207" s="253"/>
      <c r="B207" s="28"/>
      <c r="C207" s="28"/>
      <c r="D207" s="1007"/>
      <c r="E207" s="1008"/>
      <c r="F207" s="1008"/>
      <c r="G207" s="1008"/>
      <c r="H207" s="1008"/>
      <c r="I207" s="1008"/>
      <c r="J207" s="1008"/>
      <c r="K207" s="1009"/>
      <c r="L207" s="28"/>
      <c r="M207" s="28"/>
      <c r="N207" s="254"/>
      <c r="BQ207" s="2">
        <f>IF(D206="",0,1)</f>
        <v>0</v>
      </c>
      <c r="BS207" s="139">
        <f>IF(D206=BW207,"1",IF(D206=BW208,"-1",0))</f>
        <v>0</v>
      </c>
      <c r="BT207" s="2" t="str">
        <f>IF(D206=BW207,"DEEP",IF(D206=BW208,"WIDE",""))</f>
        <v/>
      </c>
      <c r="BV207" s="2">
        <v>3</v>
      </c>
      <c r="BW207" s="32" t="s">
        <v>653</v>
      </c>
      <c r="BX207" s="33"/>
      <c r="BY207" s="33"/>
      <c r="BZ207" s="33"/>
      <c r="CA207" s="33"/>
      <c r="CB207" s="33"/>
      <c r="CC207" s="34"/>
    </row>
    <row r="208" spans="1:81" ht="19.95" customHeight="1" thickTop="1">
      <c r="A208" s="253"/>
      <c r="B208" s="28"/>
      <c r="C208" s="28"/>
      <c r="D208" s="1004"/>
      <c r="E208" s="1005"/>
      <c r="F208" s="1005"/>
      <c r="G208" s="1005"/>
      <c r="H208" s="1005"/>
      <c r="I208" s="1005"/>
      <c r="J208" s="1005"/>
      <c r="K208" s="1006"/>
      <c r="L208" s="28"/>
      <c r="M208" s="28"/>
      <c r="N208" s="254"/>
      <c r="BS208" s="139"/>
      <c r="BW208" s="4" t="s">
        <v>672</v>
      </c>
      <c r="BX208" s="5"/>
      <c r="BY208" s="5"/>
      <c r="BZ208" s="5"/>
      <c r="CA208" s="5"/>
      <c r="CB208" s="5"/>
      <c r="CC208" s="6"/>
    </row>
    <row r="209" spans="1:81" ht="19.95" customHeight="1" thickBot="1">
      <c r="A209" s="253"/>
      <c r="B209" s="28"/>
      <c r="C209" s="28"/>
      <c r="D209" s="1007"/>
      <c r="E209" s="1008"/>
      <c r="F209" s="1008"/>
      <c r="G209" s="1008"/>
      <c r="H209" s="1008"/>
      <c r="I209" s="1008"/>
      <c r="J209" s="1008"/>
      <c r="K209" s="1009"/>
      <c r="L209" s="28"/>
      <c r="M209" s="28"/>
      <c r="N209" s="254"/>
      <c r="BQ209" s="2">
        <f>IF(D208="",0,1)</f>
        <v>0</v>
      </c>
      <c r="BS209" s="139">
        <f>IF(D208=BW209,"1",IF(D208=BW210,"-1",0))</f>
        <v>0</v>
      </c>
      <c r="BT209" s="2" t="str">
        <f>IF(D208=BW209,"DEEP",IF(D208=BW210,"WIDE",""))</f>
        <v/>
      </c>
      <c r="BV209" s="2">
        <v>4</v>
      </c>
      <c r="BW209" s="32" t="s">
        <v>658</v>
      </c>
      <c r="BX209" s="33"/>
      <c r="BY209" s="33"/>
      <c r="BZ209" s="33"/>
      <c r="CA209" s="33"/>
      <c r="CB209" s="33"/>
      <c r="CC209" s="34"/>
    </row>
    <row r="210" spans="1:81" ht="19.95" customHeight="1" thickTop="1">
      <c r="A210" s="253"/>
      <c r="B210" s="28"/>
      <c r="C210" s="28"/>
      <c r="D210" s="1004"/>
      <c r="E210" s="1005"/>
      <c r="F210" s="1005"/>
      <c r="G210" s="1005"/>
      <c r="H210" s="1005"/>
      <c r="I210" s="1005"/>
      <c r="J210" s="1005"/>
      <c r="K210" s="1006"/>
      <c r="L210" s="28"/>
      <c r="M210" s="28"/>
      <c r="N210" s="254"/>
      <c r="BS210" s="139"/>
      <c r="BW210" s="4" t="s">
        <v>659</v>
      </c>
      <c r="BX210" s="5"/>
      <c r="BY210" s="5"/>
      <c r="BZ210" s="5"/>
      <c r="CA210" s="5"/>
      <c r="CB210" s="5"/>
      <c r="CC210" s="6"/>
    </row>
    <row r="211" spans="1:81" ht="19.95" customHeight="1" thickBot="1">
      <c r="A211" s="253"/>
      <c r="B211" s="28"/>
      <c r="C211" s="28"/>
      <c r="D211" s="1007"/>
      <c r="E211" s="1008"/>
      <c r="F211" s="1008"/>
      <c r="G211" s="1008"/>
      <c r="H211" s="1008"/>
      <c r="I211" s="1008"/>
      <c r="J211" s="1008"/>
      <c r="K211" s="1009"/>
      <c r="L211" s="28"/>
      <c r="M211" s="28"/>
      <c r="N211" s="254"/>
      <c r="BB211" s="2">
        <f t="shared" ref="BB211:BB218" si="3">IF($Q$92=BB$92,BE211,IF($Q$92=BB$93,BF211,IF($Q$92=BB$94,BG211,IF($Q$92=BB$95,BH211,IF($Q$92=BB$96,BI211,IF($Q$92=BB$97,BJ211,IF($Q$92=BB$98,BK211,IF($Q$92=BB$99,BL211,""))))))))</f>
        <v>0</v>
      </c>
      <c r="BQ211" s="2">
        <f>IF(D210="",0,1)</f>
        <v>0</v>
      </c>
      <c r="BS211" s="139">
        <f>IF(D210=BW211,"1",IF(D210=BW212,"-1",0))</f>
        <v>0</v>
      </c>
      <c r="BT211" s="2" t="str">
        <f>IF(D210=BW211,"DEEP",IF(D210=BW212,"WIDE",""))</f>
        <v/>
      </c>
      <c r="BV211" s="2">
        <v>5</v>
      </c>
      <c r="BW211" s="32" t="s">
        <v>656</v>
      </c>
      <c r="BX211" s="33"/>
      <c r="BY211" s="33"/>
      <c r="BZ211" s="33"/>
      <c r="CA211" s="33"/>
      <c r="CB211" s="33"/>
      <c r="CC211" s="34"/>
    </row>
    <row r="212" spans="1:81" ht="19.95" customHeight="1" thickTop="1">
      <c r="A212" s="253"/>
      <c r="B212" s="28"/>
      <c r="C212" s="28"/>
      <c r="D212" s="1004"/>
      <c r="E212" s="1005"/>
      <c r="F212" s="1005"/>
      <c r="G212" s="1005"/>
      <c r="H212" s="1005"/>
      <c r="I212" s="1005"/>
      <c r="J212" s="1005"/>
      <c r="K212" s="1006"/>
      <c r="L212" s="28"/>
      <c r="M212" s="28"/>
      <c r="N212" s="254"/>
      <c r="BB212" s="2">
        <f t="shared" si="3"/>
        <v>0</v>
      </c>
      <c r="BS212" s="139"/>
      <c r="BW212" s="4" t="s">
        <v>657</v>
      </c>
      <c r="BX212" s="5"/>
      <c r="BY212" s="5"/>
      <c r="BZ212" s="5"/>
      <c r="CA212" s="5"/>
      <c r="CB212" s="5"/>
      <c r="CC212" s="6"/>
    </row>
    <row r="213" spans="1:81" ht="19.95" customHeight="1" thickBot="1">
      <c r="A213" s="253"/>
      <c r="B213" s="28"/>
      <c r="C213" s="28"/>
      <c r="D213" s="1007"/>
      <c r="E213" s="1008"/>
      <c r="F213" s="1008"/>
      <c r="G213" s="1008"/>
      <c r="H213" s="1008"/>
      <c r="I213" s="1008"/>
      <c r="J213" s="1008"/>
      <c r="K213" s="1009"/>
      <c r="L213" s="28"/>
      <c r="M213" s="28"/>
      <c r="N213" s="254"/>
      <c r="BB213" s="2">
        <f t="shared" si="3"/>
        <v>0</v>
      </c>
      <c r="BQ213" s="2">
        <f>IF(D212="",0,1)</f>
        <v>0</v>
      </c>
      <c r="BS213" s="139">
        <f>IF(D212=BW213,"1",IF(D212=BW214,"-1",0))</f>
        <v>0</v>
      </c>
      <c r="BT213" s="2" t="str">
        <f>IF(D212=BW213,"DEEP",IF(D212=BW214,"WIDE",""))</f>
        <v/>
      </c>
      <c r="BV213" s="2">
        <v>6</v>
      </c>
      <c r="BW213" s="32" t="s">
        <v>660</v>
      </c>
      <c r="BX213" s="33"/>
      <c r="BY213" s="33"/>
      <c r="BZ213" s="33"/>
      <c r="CA213" s="33"/>
      <c r="CB213" s="33"/>
      <c r="CC213" s="34"/>
    </row>
    <row r="214" spans="1:81" ht="19.95" customHeight="1" thickTop="1">
      <c r="A214" s="253"/>
      <c r="B214" s="28"/>
      <c r="C214" s="28"/>
      <c r="D214" s="1004"/>
      <c r="E214" s="1005"/>
      <c r="F214" s="1005"/>
      <c r="G214" s="1005"/>
      <c r="H214" s="1005"/>
      <c r="I214" s="1005"/>
      <c r="J214" s="1005"/>
      <c r="K214" s="1006"/>
      <c r="L214" s="28"/>
      <c r="M214" s="28"/>
      <c r="N214" s="254"/>
      <c r="BB214" s="2">
        <f t="shared" si="3"/>
        <v>0</v>
      </c>
      <c r="BS214" s="139"/>
      <c r="BW214" s="4" t="s">
        <v>661</v>
      </c>
      <c r="BX214" s="5"/>
      <c r="BY214" s="5"/>
      <c r="BZ214" s="5"/>
      <c r="CA214" s="5"/>
      <c r="CB214" s="5"/>
      <c r="CC214" s="6"/>
    </row>
    <row r="215" spans="1:81" ht="19.95" customHeight="1" thickBot="1">
      <c r="A215" s="253"/>
      <c r="B215" s="28"/>
      <c r="C215" s="28"/>
      <c r="D215" s="1007"/>
      <c r="E215" s="1008"/>
      <c r="F215" s="1008"/>
      <c r="G215" s="1008"/>
      <c r="H215" s="1008"/>
      <c r="I215" s="1008"/>
      <c r="J215" s="1008"/>
      <c r="K215" s="1009"/>
      <c r="L215" s="28"/>
      <c r="M215" s="28"/>
      <c r="N215" s="254"/>
      <c r="BB215" s="2">
        <f t="shared" si="3"/>
        <v>0</v>
      </c>
      <c r="BQ215" s="2">
        <f>IF(D214="",0,1)</f>
        <v>0</v>
      </c>
      <c r="BS215" s="139">
        <f>IF(D214=BW215,"1",IF(D214=BW216,"-1",0))</f>
        <v>0</v>
      </c>
      <c r="BT215" s="2" t="str">
        <f>IF(D214=BW215,"DEEP",IF(D214=BW216,"WIDE",""))</f>
        <v/>
      </c>
      <c r="BV215" s="2">
        <v>7</v>
      </c>
      <c r="BW215" s="32" t="s">
        <v>662</v>
      </c>
      <c r="BX215" s="33"/>
      <c r="BY215" s="33"/>
      <c r="BZ215" s="33"/>
      <c r="CA215" s="33"/>
      <c r="CB215" s="33"/>
      <c r="CC215" s="34"/>
    </row>
    <row r="216" spans="1:81" ht="19.95" customHeight="1" thickTop="1">
      <c r="A216" s="253"/>
      <c r="B216" s="28"/>
      <c r="C216" s="28"/>
      <c r="D216" s="1004"/>
      <c r="E216" s="1005"/>
      <c r="F216" s="1005"/>
      <c r="G216" s="1005"/>
      <c r="H216" s="1005"/>
      <c r="I216" s="1005"/>
      <c r="J216" s="1005"/>
      <c r="K216" s="1006"/>
      <c r="L216" s="28"/>
      <c r="M216" s="28"/>
      <c r="N216" s="254"/>
      <c r="BB216" s="2">
        <f t="shared" si="3"/>
        <v>0</v>
      </c>
      <c r="BS216" s="139"/>
      <c r="BW216" s="4" t="s">
        <v>663</v>
      </c>
      <c r="BX216" s="5"/>
      <c r="BY216" s="5"/>
      <c r="BZ216" s="5"/>
      <c r="CA216" s="5"/>
      <c r="CB216" s="5"/>
      <c r="CC216" s="6"/>
    </row>
    <row r="217" spans="1:81" ht="19.95" customHeight="1" thickBot="1">
      <c r="A217" s="253"/>
      <c r="B217" s="28"/>
      <c r="C217" s="28"/>
      <c r="D217" s="1007"/>
      <c r="E217" s="1008"/>
      <c r="F217" s="1008"/>
      <c r="G217" s="1008"/>
      <c r="H217" s="1008"/>
      <c r="I217" s="1008"/>
      <c r="J217" s="1008"/>
      <c r="K217" s="1009"/>
      <c r="L217" s="28"/>
      <c r="M217" s="28"/>
      <c r="N217" s="254"/>
      <c r="BB217" s="2">
        <f t="shared" si="3"/>
        <v>0</v>
      </c>
      <c r="BQ217" s="2">
        <f>IF(D216="",0,1)</f>
        <v>0</v>
      </c>
      <c r="BS217" s="139">
        <f>IF(D216=BW217,"1",IF(D216=BW218,"-1",0))</f>
        <v>0</v>
      </c>
      <c r="BT217" s="2" t="str">
        <f>IF(D216=BW217,"DEEP",IF(D216=BW218,"WIDE",""))</f>
        <v/>
      </c>
      <c r="BV217" s="2">
        <v>8</v>
      </c>
      <c r="BW217" s="32" t="s">
        <v>664</v>
      </c>
      <c r="BX217" s="33"/>
      <c r="BY217" s="33"/>
      <c r="BZ217" s="33"/>
      <c r="CA217" s="33"/>
      <c r="CB217" s="33"/>
      <c r="CC217" s="34"/>
    </row>
    <row r="218" spans="1:81" ht="19.95" customHeight="1" thickTop="1">
      <c r="A218" s="253"/>
      <c r="B218" s="28"/>
      <c r="C218" s="28"/>
      <c r="D218" s="1004"/>
      <c r="E218" s="1005"/>
      <c r="F218" s="1005"/>
      <c r="G218" s="1005"/>
      <c r="H218" s="1005"/>
      <c r="I218" s="1005"/>
      <c r="J218" s="1005"/>
      <c r="K218" s="1006"/>
      <c r="L218" s="28"/>
      <c r="M218" s="28"/>
      <c r="N218" s="254"/>
      <c r="BB218" s="2">
        <f t="shared" si="3"/>
        <v>0</v>
      </c>
      <c r="BS218" s="139"/>
      <c r="BW218" s="4" t="s">
        <v>665</v>
      </c>
      <c r="BX218" s="5"/>
      <c r="BY218" s="5"/>
      <c r="BZ218" s="5"/>
      <c r="CA218" s="5"/>
      <c r="CB218" s="5"/>
      <c r="CC218" s="6"/>
    </row>
    <row r="219" spans="1:81" ht="19.95" customHeight="1" thickBot="1">
      <c r="A219" s="253"/>
      <c r="B219" s="28"/>
      <c r="C219" s="28"/>
      <c r="D219" s="1007"/>
      <c r="E219" s="1008"/>
      <c r="F219" s="1008"/>
      <c r="G219" s="1008"/>
      <c r="H219" s="1008"/>
      <c r="I219" s="1008"/>
      <c r="J219" s="1008"/>
      <c r="K219" s="1009"/>
      <c r="L219" s="28"/>
      <c r="M219" s="28"/>
      <c r="N219" s="254"/>
      <c r="BQ219" s="2">
        <f>IF(D218="",0,1)</f>
        <v>0</v>
      </c>
      <c r="BS219" s="139">
        <f>IF(D218=BW219,"1",IF(D218=BW220,"-1",0))</f>
        <v>0</v>
      </c>
      <c r="BT219" s="2" t="str">
        <f>IF(D218=BW219,"DEEP",IF(D218=BW220,"WIDE",""))</f>
        <v/>
      </c>
      <c r="BV219" s="2">
        <v>9</v>
      </c>
      <c r="BW219" s="32" t="s">
        <v>666</v>
      </c>
      <c r="BX219" s="33"/>
      <c r="BY219" s="33"/>
      <c r="BZ219" s="33"/>
      <c r="CA219" s="33"/>
      <c r="CB219" s="33"/>
      <c r="CC219" s="34"/>
    </row>
    <row r="220" spans="1:81" ht="19.95" customHeight="1" thickTop="1">
      <c r="A220" s="253"/>
      <c r="B220" s="28"/>
      <c r="C220" s="28"/>
      <c r="D220" s="1004"/>
      <c r="E220" s="1005"/>
      <c r="F220" s="1005"/>
      <c r="G220" s="1005"/>
      <c r="H220" s="1005"/>
      <c r="I220" s="1005"/>
      <c r="J220" s="1005"/>
      <c r="K220" s="1006"/>
      <c r="L220" s="28"/>
      <c r="M220" s="28"/>
      <c r="N220" s="254"/>
      <c r="BS220" s="139"/>
      <c r="BW220" s="4" t="s">
        <v>667</v>
      </c>
      <c r="BX220" s="5"/>
      <c r="BY220" s="5"/>
      <c r="BZ220" s="5"/>
      <c r="CA220" s="5"/>
      <c r="CB220" s="5"/>
      <c r="CC220" s="6"/>
    </row>
    <row r="221" spans="1:81" ht="19.95" customHeight="1" thickBot="1">
      <c r="A221" s="253"/>
      <c r="B221" s="28"/>
      <c r="C221" s="28"/>
      <c r="D221" s="1007"/>
      <c r="E221" s="1008"/>
      <c r="F221" s="1008"/>
      <c r="G221" s="1008"/>
      <c r="H221" s="1008"/>
      <c r="I221" s="1008"/>
      <c r="J221" s="1008"/>
      <c r="K221" s="1009"/>
      <c r="L221" s="28"/>
      <c r="M221" s="28"/>
      <c r="N221" s="254"/>
      <c r="BQ221" s="2">
        <f>IF(D220="",0,1)</f>
        <v>0</v>
      </c>
      <c r="BS221" s="139">
        <f>IF(D220=BW221,"1",IF(D220=BW222,"-1",0))</f>
        <v>0</v>
      </c>
      <c r="BT221" s="2" t="str">
        <f>IF(D220=BW221,"DEEP",IF(D220=BW222,"WIDE",""))</f>
        <v/>
      </c>
      <c r="BV221" s="2">
        <v>10</v>
      </c>
      <c r="BW221" s="32" t="s">
        <v>669</v>
      </c>
      <c r="BX221" s="33"/>
      <c r="BY221" s="33"/>
      <c r="BZ221" s="33"/>
      <c r="CA221" s="33"/>
      <c r="CB221" s="33"/>
      <c r="CC221" s="34"/>
    </row>
    <row r="222" spans="1:81" ht="14.4" thickTop="1">
      <c r="A222" s="253"/>
      <c r="B222" s="28"/>
      <c r="C222" s="28"/>
      <c r="D222" s="28"/>
      <c r="E222" s="28"/>
      <c r="F222" s="28"/>
      <c r="G222" s="28"/>
      <c r="H222" s="322"/>
      <c r="I222" s="28"/>
      <c r="J222" s="28"/>
      <c r="K222" s="28"/>
      <c r="L222" s="28"/>
      <c r="M222" s="28"/>
      <c r="N222" s="254"/>
      <c r="BW222" s="4" t="s">
        <v>668</v>
      </c>
      <c r="BX222" s="5"/>
      <c r="BY222" s="5"/>
      <c r="BZ222" s="5"/>
      <c r="CA222" s="5"/>
      <c r="CB222" s="5"/>
      <c r="CC222" s="6"/>
    </row>
    <row r="223" spans="1:81">
      <c r="A223" s="253"/>
      <c r="B223" s="28"/>
      <c r="C223" s="988" t="str">
        <f>IF(BQ224&lt;10,BT231,BT228)</f>
        <v>Fill in each of these 10 blank fields above. Then check back here to find your estimated PSYCHOSOCIAL ORIENTATION. We all have one, shaped by our prioritizing needs. Then shaping our political views. What's yours?</v>
      </c>
      <c r="D223" s="988"/>
      <c r="E223" s="988"/>
      <c r="F223" s="988"/>
      <c r="G223" s="988"/>
      <c r="H223" s="988"/>
      <c r="I223" s="988"/>
      <c r="J223" s="988"/>
      <c r="K223" s="988"/>
      <c r="L223" s="988"/>
      <c r="M223" s="28"/>
      <c r="N223" s="254"/>
      <c r="BS223" s="138"/>
      <c r="BW223" s="141" t="s">
        <v>690</v>
      </c>
      <c r="BX223" s="141" t="s">
        <v>691</v>
      </c>
      <c r="BY223" s="141" t="s">
        <v>688</v>
      </c>
      <c r="BZ223" s="141" t="s">
        <v>689</v>
      </c>
      <c r="CA223" s="141" t="s">
        <v>692</v>
      </c>
      <c r="CB223" s="141" t="s">
        <v>687</v>
      </c>
    </row>
    <row r="224" spans="1:81">
      <c r="A224" s="253"/>
      <c r="B224" s="28"/>
      <c r="C224" s="988"/>
      <c r="D224" s="988"/>
      <c r="E224" s="988"/>
      <c r="F224" s="988"/>
      <c r="G224" s="988"/>
      <c r="H224" s="988"/>
      <c r="I224" s="988"/>
      <c r="J224" s="988"/>
      <c r="K224" s="988"/>
      <c r="L224" s="988"/>
      <c r="M224" s="28"/>
      <c r="N224" s="254"/>
      <c r="BQ224" s="2">
        <f>SUM(BQ203:BQ223)</f>
        <v>0</v>
      </c>
      <c r="BS224" s="140">
        <f>BS203+BS205+BS207+BS209+BS211+BS213+BS215+BS217+BS219+BS221</f>
        <v>0</v>
      </c>
      <c r="BT224" s="37" t="str">
        <f>IF(AND(BS224&gt;=BW226,BS224&lt;BW227),BW224,IF(AND(BS224&gt;=BX226,BS224&lt;BX227),BX224,IF(AND(BS224&gt;=BY226,BS224&lt;BY227),BY224,IF(AND(BS224&gt;=BZ226,BS224&lt;BZ227),BZ224,IF(AND(BS224&gt;=CA226,BS224&lt;CA227),CA224,IF(AND(BS224&gt;=CB226,BS224&lt;=CB227),CB224,""))))))</f>
        <v>DEEP-AND-WIDE</v>
      </c>
      <c r="BW224" s="2" t="s">
        <v>675</v>
      </c>
      <c r="BX224" s="2" t="s">
        <v>676</v>
      </c>
      <c r="BY224" s="2" t="s">
        <v>683</v>
      </c>
      <c r="BZ224" s="2" t="s">
        <v>684</v>
      </c>
      <c r="CA224" s="2" t="s">
        <v>677</v>
      </c>
      <c r="CB224" s="2" t="s">
        <v>678</v>
      </c>
    </row>
    <row r="225" spans="1:81">
      <c r="A225" s="253"/>
      <c r="B225" s="28"/>
      <c r="C225" s="988"/>
      <c r="D225" s="988"/>
      <c r="E225" s="988"/>
      <c r="F225" s="988"/>
      <c r="G225" s="988"/>
      <c r="H225" s="988"/>
      <c r="I225" s="988"/>
      <c r="J225" s="988"/>
      <c r="K225" s="988"/>
      <c r="L225" s="988"/>
      <c r="M225" s="28"/>
      <c r="N225" s="254"/>
      <c r="BT225" s="144" t="str">
        <f>IF(BT224=BW224,BW225,IF(BT224=BX224,BX225,IF(BT224=BY224,BY225,IF(BT224=BZ224,BZ225,IF(BT224=CA224,CA225,IF(BT224=CB224,CB225,""))))))</f>
        <v>CENTRIST CONSERVATIVE</v>
      </c>
      <c r="BW225" s="2" t="s">
        <v>685</v>
      </c>
      <c r="BX225" s="2" t="s">
        <v>679</v>
      </c>
      <c r="BY225" s="2" t="s">
        <v>680</v>
      </c>
      <c r="BZ225" s="2" t="s">
        <v>681</v>
      </c>
      <c r="CA225" s="2" t="s">
        <v>682</v>
      </c>
      <c r="CB225" s="2" t="s">
        <v>686</v>
      </c>
    </row>
    <row r="226" spans="1:81">
      <c r="A226" s="253"/>
      <c r="B226" s="28"/>
      <c r="C226" s="988"/>
      <c r="D226" s="988"/>
      <c r="E226" s="988"/>
      <c r="F226" s="988"/>
      <c r="G226" s="988"/>
      <c r="H226" s="988"/>
      <c r="I226" s="988"/>
      <c r="J226" s="988"/>
      <c r="K226" s="988"/>
      <c r="L226" s="988"/>
      <c r="M226" s="28"/>
      <c r="N226" s="254"/>
      <c r="BW226" s="139">
        <v>-10</v>
      </c>
      <c r="BX226" s="139">
        <v>-9</v>
      </c>
      <c r="BY226" s="139">
        <v>-4</v>
      </c>
      <c r="BZ226" s="139">
        <v>0</v>
      </c>
      <c r="CA226" s="139">
        <v>4</v>
      </c>
      <c r="CB226" s="139">
        <v>9</v>
      </c>
      <c r="CC226" s="139"/>
    </row>
    <row r="227" spans="1:81">
      <c r="A227" s="253"/>
      <c r="B227" s="28"/>
      <c r="C227" s="988"/>
      <c r="D227" s="988"/>
      <c r="E227" s="988"/>
      <c r="F227" s="988"/>
      <c r="G227" s="988"/>
      <c r="H227" s="988"/>
      <c r="I227" s="988"/>
      <c r="J227" s="988"/>
      <c r="K227" s="988"/>
      <c r="L227" s="988"/>
      <c r="M227" s="28"/>
      <c r="N227" s="254"/>
      <c r="BW227" s="139">
        <f>BX226</f>
        <v>-9</v>
      </c>
      <c r="BX227" s="139">
        <f>BY226</f>
        <v>-4</v>
      </c>
      <c r="BY227" s="139">
        <f>BZ226</f>
        <v>0</v>
      </c>
      <c r="BZ227" s="139">
        <f>CA226</f>
        <v>4</v>
      </c>
      <c r="CA227" s="139">
        <f>CB226</f>
        <v>9</v>
      </c>
      <c r="CB227" s="139">
        <v>10</v>
      </c>
      <c r="CC227" s="139"/>
    </row>
    <row r="228" spans="1:81">
      <c r="A228" s="253"/>
      <c r="B228" s="1020" t="str">
        <f>IF(BQ224&lt;10,BT232,BT229)</f>
        <v>You likely find the most comfort for your publicly affected needs among other like-minded partisans and ideologues. Together, you oppose those of a different political outlook. Because they prioritize a clashing set of needs than yours. Your prioritized needs keep you different from their outlook, not reasoned arguments. But stubborn needs.</v>
      </c>
      <c r="C228" s="1020"/>
      <c r="D228" s="1020"/>
      <c r="E228" s="1020"/>
      <c r="F228" s="1020"/>
      <c r="G228" s="1020"/>
      <c r="H228" s="1020"/>
      <c r="I228" s="1020"/>
      <c r="J228" s="1020"/>
      <c r="K228" s="1020"/>
      <c r="L228" s="1020"/>
      <c r="M228" s="1020"/>
      <c r="N228" s="254"/>
      <c r="BT228" s="2" t="str">
        <f>CONCATENATE(BW228,BX228,BY228,BZ228,CA228)</f>
        <v xml:space="preserve">Your responses indicate you have a DEEP-AND-WIDE psychosocial orientation. You likely express it best with CENTRIST CONSERVATIVE views. Your political outlook outwardly expresses your inward psychosocial orientation. </v>
      </c>
      <c r="BW228" s="2" t="s">
        <v>693</v>
      </c>
      <c r="BX228" s="2" t="str">
        <f>BT224</f>
        <v>DEEP-AND-WIDE</v>
      </c>
      <c r="BY228" s="139" t="s">
        <v>694</v>
      </c>
      <c r="BZ228" s="139" t="str">
        <f>BT225</f>
        <v>CENTRIST CONSERVATIVE</v>
      </c>
      <c r="CA228" s="139" t="s">
        <v>698</v>
      </c>
      <c r="CB228" s="139"/>
      <c r="CC228" s="139"/>
    </row>
    <row r="229" spans="1:81">
      <c r="A229" s="253"/>
      <c r="B229" s="1020"/>
      <c r="C229" s="1020"/>
      <c r="D229" s="1020"/>
      <c r="E229" s="1020"/>
      <c r="F229" s="1020"/>
      <c r="G229" s="1020"/>
      <c r="H229" s="1020"/>
      <c r="I229" s="1020"/>
      <c r="J229" s="1020"/>
      <c r="K229" s="1020"/>
      <c r="L229" s="1020"/>
      <c r="M229" s="1020"/>
      <c r="N229" s="254"/>
      <c r="BT229" s="2" t="str">
        <f>CONCATENATE(BW229,BX229,BY229)</f>
        <v>You likely find the most comfort for your publicly affected needs among other like-minded CENTRIST CONSERVATIVES. Together, you oppose those of a different political outlook. Because they prioritize a clashing set of needs than yours. Your prioritized needs keep you different from their outlook, not reasoned arguments. But stubborn needs.</v>
      </c>
      <c r="BW229" s="2" t="s">
        <v>695</v>
      </c>
      <c r="BX229" s="2" t="str">
        <f>BT225</f>
        <v>CENTRIST CONSERVATIVE</v>
      </c>
      <c r="BY229" s="2" t="s">
        <v>715</v>
      </c>
    </row>
    <row r="230" spans="1:81">
      <c r="A230" s="253"/>
      <c r="B230" s="1020"/>
      <c r="C230" s="1020"/>
      <c r="D230" s="1020"/>
      <c r="E230" s="1020"/>
      <c r="F230" s="1020"/>
      <c r="G230" s="1020"/>
      <c r="H230" s="1020"/>
      <c r="I230" s="1020"/>
      <c r="J230" s="1020"/>
      <c r="K230" s="1020"/>
      <c r="L230" s="1020"/>
      <c r="M230" s="1020"/>
      <c r="N230" s="254"/>
    </row>
    <row r="231" spans="1:81">
      <c r="A231" s="253"/>
      <c r="B231" s="1020"/>
      <c r="C231" s="1020"/>
      <c r="D231" s="1020"/>
      <c r="E231" s="1020"/>
      <c r="F231" s="1020"/>
      <c r="G231" s="1020"/>
      <c r="H231" s="1020"/>
      <c r="I231" s="1020"/>
      <c r="J231" s="1020"/>
      <c r="K231" s="1020"/>
      <c r="L231" s="1020"/>
      <c r="M231" s="1020"/>
      <c r="N231" s="254"/>
      <c r="BT231" s="2" t="s">
        <v>696</v>
      </c>
    </row>
    <row r="232" spans="1:81">
      <c r="A232" s="253"/>
      <c r="B232" s="1020"/>
      <c r="C232" s="1020"/>
      <c r="D232" s="1020"/>
      <c r="E232" s="1020"/>
      <c r="F232" s="1020"/>
      <c r="G232" s="1020"/>
      <c r="H232" s="1020"/>
      <c r="I232" s="1020"/>
      <c r="J232" s="1020"/>
      <c r="K232" s="1020"/>
      <c r="L232" s="1020"/>
      <c r="M232" s="1020"/>
      <c r="N232" s="254"/>
      <c r="BT232" s="142" t="s">
        <v>697</v>
      </c>
    </row>
    <row r="233" spans="1:81">
      <c r="A233" s="253"/>
      <c r="B233" s="1020"/>
      <c r="C233" s="1020"/>
      <c r="D233" s="1020"/>
      <c r="E233" s="1020"/>
      <c r="F233" s="1020"/>
      <c r="G233" s="1020"/>
      <c r="H233" s="1020"/>
      <c r="I233" s="1020"/>
      <c r="J233" s="1020"/>
      <c r="K233" s="1020"/>
      <c r="L233" s="1020"/>
      <c r="M233" s="1020"/>
      <c r="N233" s="254"/>
    </row>
    <row r="234" spans="1:81">
      <c r="A234" s="253"/>
      <c r="B234" s="1020"/>
      <c r="C234" s="1020"/>
      <c r="D234" s="1020"/>
      <c r="E234" s="1020"/>
      <c r="F234" s="1020"/>
      <c r="G234" s="1020"/>
      <c r="H234" s="1020"/>
      <c r="I234" s="1020"/>
      <c r="J234" s="1020"/>
      <c r="K234" s="1020"/>
      <c r="L234" s="1020"/>
      <c r="M234" s="1020"/>
      <c r="N234" s="254"/>
      <c r="BP234" s="2" t="s">
        <v>43</v>
      </c>
      <c r="BR234" s="2" t="s">
        <v>49</v>
      </c>
    </row>
    <row r="235" spans="1:81">
      <c r="A235" s="255"/>
      <c r="B235" s="256"/>
      <c r="C235" s="256"/>
      <c r="D235" s="256"/>
      <c r="E235" s="256"/>
      <c r="F235" s="256"/>
      <c r="G235" s="256"/>
      <c r="H235" s="323"/>
      <c r="I235" s="256"/>
      <c r="J235" s="256"/>
      <c r="K235" s="256"/>
      <c r="L235" s="256"/>
      <c r="M235" s="256"/>
      <c r="N235" s="257"/>
      <c r="BP235" s="2" t="s">
        <v>44</v>
      </c>
      <c r="BR235" s="2" t="s">
        <v>50</v>
      </c>
    </row>
    <row r="236" spans="1:81" ht="30" customHeight="1">
      <c r="A236" s="271" t="s">
        <v>1148</v>
      </c>
      <c r="B236" s="1218" t="s">
        <v>1153</v>
      </c>
      <c r="C236" s="1218"/>
      <c r="D236" s="1218"/>
      <c r="E236" s="1218"/>
      <c r="F236" s="1218"/>
      <c r="G236" s="1218"/>
      <c r="H236" s="1218"/>
      <c r="I236" s="1218"/>
      <c r="J236" s="1218"/>
      <c r="K236" s="1218"/>
      <c r="L236" s="1218"/>
      <c r="M236" s="272"/>
      <c r="N236" s="273" t="s">
        <v>1149</v>
      </c>
      <c r="BT236" s="2" t="s">
        <v>699</v>
      </c>
      <c r="BW236" s="2" t="s">
        <v>713</v>
      </c>
    </row>
    <row r="237" spans="1:81">
      <c r="A237" s="274"/>
      <c r="B237" s="29"/>
      <c r="C237" s="29"/>
      <c r="D237" s="29"/>
      <c r="E237" s="29"/>
      <c r="F237" s="29"/>
      <c r="G237" s="29"/>
      <c r="H237" s="318"/>
      <c r="I237" s="29"/>
      <c r="J237" s="29"/>
      <c r="K237" s="29"/>
      <c r="L237" s="29"/>
      <c r="M237" s="29"/>
      <c r="N237" s="275"/>
      <c r="BT237" s="2" t="s">
        <v>700</v>
      </c>
    </row>
    <row r="238" spans="1:81" ht="14.4" customHeight="1">
      <c r="A238" s="274"/>
      <c r="B238" s="29"/>
      <c r="C238" s="29"/>
      <c r="D238" s="29"/>
      <c r="E238" s="29"/>
      <c r="F238" s="29"/>
      <c r="G238" s="29"/>
      <c r="H238" s="318"/>
      <c r="I238" s="29"/>
      <c r="J238" s="29"/>
      <c r="K238" s="29"/>
      <c r="L238" s="29"/>
      <c r="M238" s="29"/>
      <c r="N238" s="275"/>
      <c r="BT238" s="2" t="s">
        <v>701</v>
      </c>
    </row>
    <row r="239" spans="1:81">
      <c r="A239" s="274"/>
      <c r="B239" s="29"/>
      <c r="C239" s="29"/>
      <c r="D239" s="29"/>
      <c r="E239" s="29"/>
      <c r="F239" s="29"/>
      <c r="G239" s="29"/>
      <c r="H239" s="318"/>
      <c r="I239" s="29"/>
      <c r="J239" s="29"/>
      <c r="K239" s="29"/>
      <c r="L239" s="29"/>
      <c r="M239" s="29"/>
      <c r="N239" s="275"/>
      <c r="BT239" s="2" t="s">
        <v>702</v>
      </c>
    </row>
    <row r="240" spans="1:81">
      <c r="A240" s="274"/>
      <c r="B240" s="29"/>
      <c r="C240" s="29"/>
      <c r="D240" s="29"/>
      <c r="E240" s="29"/>
      <c r="F240" s="29"/>
      <c r="G240" s="29"/>
      <c r="H240" s="318"/>
      <c r="I240" s="29"/>
      <c r="J240" s="29"/>
      <c r="K240" s="29"/>
      <c r="L240" s="29"/>
      <c r="M240" s="29"/>
      <c r="N240" s="275"/>
      <c r="BT240" s="2" t="s">
        <v>703</v>
      </c>
    </row>
    <row r="241" spans="1:78" ht="15.6" customHeight="1">
      <c r="A241" s="274"/>
      <c r="B241" s="1229" t="s">
        <v>744</v>
      </c>
      <c r="C241" s="1229"/>
      <c r="D241" s="1229"/>
      <c r="E241" s="1229"/>
      <c r="F241" s="1229"/>
      <c r="G241" s="1229"/>
      <c r="H241" s="1229"/>
      <c r="I241" s="1229"/>
      <c r="J241" s="1229"/>
      <c r="K241" s="1229"/>
      <c r="L241" s="1229"/>
      <c r="M241" s="1229"/>
      <c r="N241" s="275"/>
    </row>
    <row r="242" spans="1:78" ht="19.95" customHeight="1">
      <c r="A242" s="274"/>
      <c r="B242" s="1229"/>
      <c r="C242" s="1229"/>
      <c r="D242" s="1229"/>
      <c r="E242" s="1229"/>
      <c r="F242" s="1229"/>
      <c r="G242" s="1229"/>
      <c r="H242" s="1229"/>
      <c r="I242" s="1229"/>
      <c r="J242" s="1229"/>
      <c r="K242" s="1229"/>
      <c r="L242" s="1229"/>
      <c r="M242" s="1229"/>
      <c r="N242" s="275"/>
      <c r="BT242" s="2" t="str">
        <f>CONCATENATE(BW242,BX242,BY242,BZ242)</f>
        <v>MERIT ENTRY - "We can offer amnesty to children born to illegal migrant parents after they show merit."</v>
      </c>
      <c r="BV242" s="47" t="s">
        <v>3</v>
      </c>
      <c r="BW242" s="2" t="str">
        <f>IF($BT$224=BV$224,BE$167,IF($BT$224=BW$224,BE$168,IF($BT$224=BX$224,BE$169,IF($BT$224=BY$224,BE$170,IF($BT$224=BZ$224,BE$172,IF($BT$224=CA$224,BE$173,""))))))</f>
        <v>MERIT ENTRY</v>
      </c>
      <c r="BX242" s="47" t="s">
        <v>724</v>
      </c>
      <c r="BY242" s="2" t="str">
        <f>IF($BT$224=BW$224,BE$175,IF($BT$224=BX$224,BE$176,IF($BT$224=BY$224,BE$177,IF($BT$224=BZ$224,BE$178,IF($BT$224=CA$224,BE$179,IF($BT$224=CB$224,BE$180,""))))))</f>
        <v>We can offer amnesty to children born to illegal migrant parents after they show merit</v>
      </c>
      <c r="BZ242" s="2" t="s">
        <v>723</v>
      </c>
    </row>
    <row r="243" spans="1:78" ht="19.95" customHeight="1" thickBot="1">
      <c r="A243" s="274"/>
      <c r="B243" s="1229"/>
      <c r="C243" s="1229"/>
      <c r="D243" s="1229"/>
      <c r="E243" s="1229"/>
      <c r="F243" s="1229"/>
      <c r="G243" s="1229"/>
      <c r="H243" s="1229"/>
      <c r="I243" s="1229"/>
      <c r="J243" s="1229"/>
      <c r="K243" s="1229"/>
      <c r="L243" s="1229"/>
      <c r="M243" s="1229"/>
      <c r="N243" s="275"/>
      <c r="BU243" s="2">
        <f>IF($H244=$BT$236,BW$269,IF($H244=$BT$237,BX$269,IF($H244=$BT$238,BY$269,IF($H244=$BT$239,BZ$269,IF($H$1=$BT$240,CA$269,0)))))</f>
        <v>0</v>
      </c>
    </row>
    <row r="244" spans="1:78" ht="19.95" customHeight="1" thickBot="1">
      <c r="A244" s="274"/>
      <c r="B244" s="143" t="s">
        <v>704</v>
      </c>
      <c r="C244" s="29"/>
      <c r="D244" s="29"/>
      <c r="E244" s="29"/>
      <c r="F244" s="29"/>
      <c r="G244" s="29"/>
      <c r="H244" s="1022"/>
      <c r="I244" s="1023"/>
      <c r="J244" s="1023"/>
      <c r="K244" s="1023"/>
      <c r="L244" s="1023"/>
      <c r="M244" s="1024"/>
      <c r="N244" s="275"/>
    </row>
    <row r="245" spans="1:78" ht="19.95" customHeight="1">
      <c r="A245" s="274"/>
      <c r="B245" s="1021" t="str">
        <f>IF($BQ$224&lt;10,$BW$236,BT242)</f>
        <v>COMPLETE THE ITEMS ABOVE TO SEE RESULTS HERE.</v>
      </c>
      <c r="C245" s="1021"/>
      <c r="D245" s="1021"/>
      <c r="E245" s="1021"/>
      <c r="F245" s="1021"/>
      <c r="G245" s="1021"/>
      <c r="H245" s="1021"/>
      <c r="I245" s="1021"/>
      <c r="J245" s="1021"/>
      <c r="K245" s="1021"/>
      <c r="L245" s="1021"/>
      <c r="M245" s="1021"/>
      <c r="N245" s="275"/>
      <c r="BT245" s="2" t="str">
        <f>CONCATENATE(BW245,BX245,BY245,BZ245)</f>
        <v>LEFTIST  ALARMIST HOAX - "We admit it is possible human activity contributes to some climate change, but trust nature to correct it."</v>
      </c>
      <c r="BV245" s="47" t="s">
        <v>3</v>
      </c>
      <c r="BW245" s="2" t="str">
        <f>IF($BT$224=BV$224,BF$167,IF($BT$224=BW$224,BF$168,IF($BT$224=BX$224,BF$169,IF($BT$224=BY$224,BF$170,IF($BT$224=BZ$224,BF$172,IF($BT$224=CA$224,BF$173,""))))))</f>
        <v>LEFTIST  ALARMIST HOAX</v>
      </c>
      <c r="BX245" s="47" t="s">
        <v>724</v>
      </c>
      <c r="BY245" s="2" t="str">
        <f>IF($BT$224=BW$224,BF$175,IF($BT$224=BX$224,BF$176,IF($BT$224=BY$224,BF$177,IF($BT$224=BZ$224,BF$178,IF($BT$224=CA$224,BF$179,IF($BT$224=CB$224,BF$180,""))))))</f>
        <v>We admit it is possible human activity contributes to some climate change, but trust nature to correct it</v>
      </c>
      <c r="BZ245" s="2" t="s">
        <v>723</v>
      </c>
    </row>
    <row r="246" spans="1:78" ht="19.95" customHeight="1" thickBot="1">
      <c r="A246" s="274"/>
      <c r="B246" s="1021"/>
      <c r="C246" s="1021"/>
      <c r="D246" s="1021"/>
      <c r="E246" s="1021"/>
      <c r="F246" s="1021"/>
      <c r="G246" s="1021"/>
      <c r="H246" s="1021"/>
      <c r="I246" s="1021"/>
      <c r="J246" s="1021"/>
      <c r="K246" s="1021"/>
      <c r="L246" s="1021"/>
      <c r="M246" s="1021"/>
      <c r="N246" s="275"/>
      <c r="BU246" s="2">
        <f>IF($H247=$BT$236,BW$269,IF($H247=$BT$237,BX$269,IF($H247=$BT$238,BY$269,IF($H247=$BT$239,BZ$269,IF($H$1=$BT$240,CA$269,0)))))</f>
        <v>0</v>
      </c>
    </row>
    <row r="247" spans="1:78" ht="19.95" customHeight="1" thickBot="1">
      <c r="A247" s="274"/>
      <c r="B247" s="143" t="s">
        <v>707</v>
      </c>
      <c r="C247" s="145"/>
      <c r="D247" s="145"/>
      <c r="E247" s="145"/>
      <c r="F247" s="145"/>
      <c r="G247" s="145"/>
      <c r="H247" s="1022"/>
      <c r="I247" s="1023"/>
      <c r="J247" s="1023"/>
      <c r="K247" s="1023"/>
      <c r="L247" s="1023"/>
      <c r="M247" s="1024"/>
      <c r="N247" s="275"/>
    </row>
    <row r="248" spans="1:78" ht="19.95" customHeight="1">
      <c r="A248" s="274"/>
      <c r="B248" s="1021" t="str">
        <f>IF($BQ$224&lt;10,$BW$236,BT245)</f>
        <v>COMPLETE THE ITEMS ABOVE TO SEE RESULTS HERE.</v>
      </c>
      <c r="C248" s="1021"/>
      <c r="D248" s="1021"/>
      <c r="E248" s="1021"/>
      <c r="F248" s="1021"/>
      <c r="G248" s="1021"/>
      <c r="H248" s="1021"/>
      <c r="I248" s="1021"/>
      <c r="J248" s="1021"/>
      <c r="K248" s="1021"/>
      <c r="L248" s="1021"/>
      <c r="M248" s="1021"/>
      <c r="N248" s="275"/>
      <c r="BT248" s="2" t="str">
        <f>CONCATENATE(BW248,BX248,BY248,BZ248)</f>
        <v>UNRESTRICTED  GUN RIGHTS - "We need to protect gun rights by dealing with the few individuals most irresponsible with guns."</v>
      </c>
      <c r="BV248" s="47" t="s">
        <v>3</v>
      </c>
      <c r="BW248" s="2" t="str">
        <f>IF($BT$224=BV$224,BG$167,IF($BT$224=BW$224,BG$168,IF($BT$224=BX$224,BG$169,IF($BT$224=BY$224,BG$170,IF($BT$224=BZ$224,BG$172,IF($BT$224=CA$224,BG$173,""))))))</f>
        <v>UNRESTRICTED  GUN RIGHTS</v>
      </c>
      <c r="BX248" s="47" t="s">
        <v>724</v>
      </c>
      <c r="BY248" s="2" t="str">
        <f>IF($BT$224=BW$224,BG$175,IF($BT$224=BX$224,BG$176,IF($BT$224=BY$224,BG$177,IF($BT$224=BZ$224,BG$178,IF($BT$224=CA$224,BG$179,IF($BT$224=CB$224,BG$180,""))))))</f>
        <v>We need to protect gun rights by dealing with the few individuals most irresponsible with guns</v>
      </c>
      <c r="BZ248" s="2" t="s">
        <v>723</v>
      </c>
    </row>
    <row r="249" spans="1:78" ht="19.95" customHeight="1" thickBot="1">
      <c r="A249" s="274"/>
      <c r="B249" s="1021"/>
      <c r="C249" s="1021"/>
      <c r="D249" s="1021"/>
      <c r="E249" s="1021"/>
      <c r="F249" s="1021"/>
      <c r="G249" s="1021"/>
      <c r="H249" s="1021"/>
      <c r="I249" s="1021"/>
      <c r="J249" s="1021"/>
      <c r="K249" s="1021"/>
      <c r="L249" s="1021"/>
      <c r="M249" s="1021"/>
      <c r="N249" s="275"/>
      <c r="BU249" s="2">
        <f>IF($H250=$BT$236,BW$269,IF($H250=$BT$237,BX$269,IF($H250=$BT$238,BY$269,IF($H250=$BT$239,BZ$269,IF($H$1=$BT$240,CA$269,0)))))</f>
        <v>0</v>
      </c>
    </row>
    <row r="250" spans="1:78" ht="19.95" customHeight="1" thickBot="1">
      <c r="A250" s="274"/>
      <c r="B250" s="143" t="s">
        <v>712</v>
      </c>
      <c r="C250" s="145"/>
      <c r="D250" s="145"/>
      <c r="E250" s="145"/>
      <c r="F250" s="145"/>
      <c r="G250" s="145"/>
      <c r="H250" s="1022"/>
      <c r="I250" s="1023"/>
      <c r="J250" s="1023"/>
      <c r="K250" s="1023"/>
      <c r="L250" s="1023"/>
      <c r="M250" s="1024"/>
      <c r="N250" s="275"/>
    </row>
    <row r="251" spans="1:78" ht="19.95" customHeight="1">
      <c r="A251" s="274"/>
      <c r="B251" s="1021" t="str">
        <f>IF($BQ$224&lt;10,$BW$236,BT248)</f>
        <v>COMPLETE THE ITEMS ABOVE TO SEE RESULTS HERE.</v>
      </c>
      <c r="C251" s="1021"/>
      <c r="D251" s="1021"/>
      <c r="E251" s="1021"/>
      <c r="F251" s="1021"/>
      <c r="G251" s="1021"/>
      <c r="H251" s="1021"/>
      <c r="I251" s="1021"/>
      <c r="J251" s="1021"/>
      <c r="K251" s="1021"/>
      <c r="L251" s="1021"/>
      <c r="M251" s="1021"/>
      <c r="N251" s="275"/>
      <c r="BT251" s="2" t="str">
        <f>CONCATENATE(BW251,BX251,BY251,BZ251)</f>
        <v>ONLY IF LIFE OF MOTHER AT RISK - "We need to protect the unborn by allowing only rare exceptions like in cases of rape and incest."</v>
      </c>
      <c r="BV251" s="47" t="s">
        <v>3</v>
      </c>
      <c r="BW251" s="2" t="str">
        <f>IF($BT$224=BV$224,APE$167,IF($BT$224=BW$224,BH$168,IF($BT$224=BX$224,BH$169,IF($BT$224=BY$224,BH$170,IF($BT$224=BZ$224,BH$172,IF($BT$224=CA$224,BH$173,""))))))</f>
        <v>ONLY IF LIFE OF MOTHER AT RISK</v>
      </c>
      <c r="BX251" s="47" t="s">
        <v>724</v>
      </c>
      <c r="BY251" s="2" t="str">
        <f>IF($BT$224=BW$224,BH$175,IF($BT$224=BX$224,BH$176,IF($BT$224=BY$224,BH$177,IF($BT$224=BZ$224,BH$178,IF($BT$224=CA$224,BH$179,IF($BT$224=CB$224,BH$180,""))))))</f>
        <v>We need to protect the unborn by allowing only rare exceptions like in cases of rape and incest</v>
      </c>
      <c r="BZ251" s="2" t="s">
        <v>723</v>
      </c>
    </row>
    <row r="252" spans="1:78" ht="19.95" customHeight="1" thickBot="1">
      <c r="A252" s="274"/>
      <c r="B252" s="1021"/>
      <c r="C252" s="1021"/>
      <c r="D252" s="1021"/>
      <c r="E252" s="1021"/>
      <c r="F252" s="1021"/>
      <c r="G252" s="1021"/>
      <c r="H252" s="1021"/>
      <c r="I252" s="1021"/>
      <c r="J252" s="1021"/>
      <c r="K252" s="1021"/>
      <c r="L252" s="1021"/>
      <c r="M252" s="1021"/>
      <c r="N252" s="275"/>
      <c r="BU252" s="2">
        <f>IF($H253=$BT$236,BW$269,IF($H253=$BT$237,BX$269,IF($H253=$BT$238,BY$269,IF($H253=$BT$239,BZ$269,IF($H$1=$BT$240,CA$269,0)))))</f>
        <v>0</v>
      </c>
    </row>
    <row r="253" spans="1:78" ht="19.95" customHeight="1" thickBot="1">
      <c r="A253" s="274"/>
      <c r="B253" s="143" t="s">
        <v>711</v>
      </c>
      <c r="C253" s="145"/>
      <c r="D253" s="145"/>
      <c r="E253" s="145"/>
      <c r="F253" s="145"/>
      <c r="G253" s="145"/>
      <c r="H253" s="1022"/>
      <c r="I253" s="1023"/>
      <c r="J253" s="1023"/>
      <c r="K253" s="1023"/>
      <c r="L253" s="1023"/>
      <c r="M253" s="1024"/>
      <c r="N253" s="275"/>
    </row>
    <row r="254" spans="1:78" ht="19.95" customHeight="1">
      <c r="A254" s="274"/>
      <c r="B254" s="1021" t="str">
        <f>IF($BQ$224&lt;10,$BW$236,BT251)</f>
        <v>COMPLETE THE ITEMS ABOVE TO SEE RESULTS HERE.</v>
      </c>
      <c r="C254" s="1021"/>
      <c r="D254" s="1021"/>
      <c r="E254" s="1021"/>
      <c r="F254" s="1021"/>
      <c r="G254" s="1021"/>
      <c r="H254" s="1021"/>
      <c r="I254" s="1021"/>
      <c r="J254" s="1021"/>
      <c r="K254" s="1021"/>
      <c r="L254" s="1021"/>
      <c r="M254" s="1021"/>
      <c r="N254" s="275"/>
      <c r="BT254" s="2" t="str">
        <f>CONCATENATE(BW254,BX254,BY254,BZ254)</f>
        <v>PRIVATE INSURANCE - "We need to replace Obama-Care with a national or state level health exchange providing better choices."</v>
      </c>
      <c r="BV254" s="47" t="s">
        <v>3</v>
      </c>
      <c r="BW254" s="2" t="str">
        <f>IF($BT$224=BV$224,BI$167,IF($BT$224=BW$224,BI$168,IF($BT$224=BX$224,BI$169,IF($BT$224=BY$224,BI$170,IF($BT$224=BZ$224,BI$172,IF($BT$224=CA$224,BI$173,""))))))</f>
        <v>PRIVATE INSURANCE</v>
      </c>
      <c r="BX254" s="47" t="s">
        <v>724</v>
      </c>
      <c r="BY254" s="2" t="str">
        <f>IF($BT$224=BW$224,BI$175,IF($BT$224=BX$224,BI$176,IF($BT$224=BY$224,BI$177,IF($BT$224=BZ$224,BI$178,IF($BT$224=CA$224,BI$179,IF($BT$224=CB$224,BI$180,""))))))</f>
        <v>We need to replace Obama-Care with a national or state level health exchange providing better choices</v>
      </c>
      <c r="BZ254" s="2" t="s">
        <v>723</v>
      </c>
    </row>
    <row r="255" spans="1:78" ht="19.95" customHeight="1" thickBot="1">
      <c r="A255" s="274"/>
      <c r="B255" s="1021"/>
      <c r="C255" s="1021"/>
      <c r="D255" s="1021"/>
      <c r="E255" s="1021"/>
      <c r="F255" s="1021"/>
      <c r="G255" s="1021"/>
      <c r="H255" s="1021"/>
      <c r="I255" s="1021"/>
      <c r="J255" s="1021"/>
      <c r="K255" s="1021"/>
      <c r="L255" s="1021"/>
      <c r="M255" s="1021"/>
      <c r="N255" s="275"/>
      <c r="BU255" s="2">
        <f>IF($H256=$BT$236,BW$269,IF($H256=$BT$237,BX$269,IF($H256=$BT$238,BY$269,IF($H256=$BT$239,BZ$269,IF($H$1=$BT$240,CA$269,0)))))</f>
        <v>0</v>
      </c>
    </row>
    <row r="256" spans="1:78" ht="19.95" customHeight="1" thickBot="1">
      <c r="A256" s="274"/>
      <c r="B256" s="143" t="s">
        <v>710</v>
      </c>
      <c r="C256" s="145"/>
      <c r="D256" s="145"/>
      <c r="E256" s="145"/>
      <c r="F256" s="145"/>
      <c r="G256" s="145"/>
      <c r="H256" s="1022"/>
      <c r="I256" s="1023"/>
      <c r="J256" s="1023"/>
      <c r="K256" s="1023"/>
      <c r="L256" s="1023"/>
      <c r="M256" s="1024"/>
      <c r="N256" s="275"/>
    </row>
    <row r="257" spans="1:79" ht="19.95" customHeight="1">
      <c r="A257" s="274"/>
      <c r="B257" s="1021" t="str">
        <f>IF($BQ$224&lt;10,$BW$236,BT254)</f>
        <v>COMPLETE THE ITEMS ABOVE TO SEE RESULTS HERE.</v>
      </c>
      <c r="C257" s="1021"/>
      <c r="D257" s="1021"/>
      <c r="E257" s="1021"/>
      <c r="F257" s="1021"/>
      <c r="G257" s="1021"/>
      <c r="H257" s="1021"/>
      <c r="I257" s="1021"/>
      <c r="J257" s="1021"/>
      <c r="K257" s="1021"/>
      <c r="L257" s="1021"/>
      <c r="M257" s="1021"/>
      <c r="N257" s="275"/>
      <c r="BT257" s="2" t="str">
        <f>CONCATENATE(BW257,BX257,BY257,BZ257)</f>
        <v>MAKE AMERICA SAFE AGAIN - "We need to keep our communities safe by enabling individuals released from custody to better succeed."</v>
      </c>
      <c r="BV257" s="47" t="s">
        <v>3</v>
      </c>
      <c r="BW257" s="2" t="str">
        <f>IF($BT$224=BV$224,BJ$167,IF($BT$224=BW$224,BJ$168,IF($BT$224=BX$224,BJ$169,IF($BT$224=BY$224,BJ$170,IF($BT$224=BZ$224,BJ$172,IF($BT$224=CA$224,BJ$173,""))))))</f>
        <v>MAKE AMERICA SAFE AGAIN</v>
      </c>
      <c r="BX257" s="47" t="s">
        <v>724</v>
      </c>
      <c r="BY257" s="2" t="str">
        <f>IF($BT$224=BW$224,BJ$175,IF($BT$224=BX$224,BJ$176,IF($BT$224=BY$224,BJ$177,IF($BT$224=BZ$224,BJ$178,IF($BT$224=CA$224,BJ$179,IF($BT$224=CB$224,BJ$180,""))))))</f>
        <v>We need to keep our communities safe by enabling individuals released from custody to better succeed</v>
      </c>
      <c r="BZ257" s="2" t="s">
        <v>723</v>
      </c>
    </row>
    <row r="258" spans="1:79" ht="19.95" customHeight="1" thickBot="1">
      <c r="A258" s="274"/>
      <c r="B258" s="1021"/>
      <c r="C258" s="1021"/>
      <c r="D258" s="1021"/>
      <c r="E258" s="1021"/>
      <c r="F258" s="1021"/>
      <c r="G258" s="1021"/>
      <c r="H258" s="1021"/>
      <c r="I258" s="1021"/>
      <c r="J258" s="1021"/>
      <c r="K258" s="1021"/>
      <c r="L258" s="1021"/>
      <c r="M258" s="1021"/>
      <c r="N258" s="275"/>
      <c r="BU258" s="2">
        <f>IF($H259=$BT$236,BW$269,IF($H259=$BT$237,BX$269,IF($H259=$BT$238,BY$269,IF($H259=$BT$239,BZ$269,IF($H$1=$BT$240,CA$269,0)))))</f>
        <v>0</v>
      </c>
    </row>
    <row r="259" spans="1:79" ht="19.95" customHeight="1" thickBot="1">
      <c r="A259" s="274"/>
      <c r="B259" s="143" t="s">
        <v>705</v>
      </c>
      <c r="C259" s="145"/>
      <c r="D259" s="145"/>
      <c r="E259" s="145"/>
      <c r="F259" s="145"/>
      <c r="G259" s="145"/>
      <c r="H259" s="1022"/>
      <c r="I259" s="1023"/>
      <c r="J259" s="1023"/>
      <c r="K259" s="1023"/>
      <c r="L259" s="1023"/>
      <c r="M259" s="1024"/>
      <c r="N259" s="275"/>
    </row>
    <row r="260" spans="1:79" ht="19.95" customHeight="1">
      <c r="A260" s="274"/>
      <c r="B260" s="1021" t="str">
        <f>IF($BQ$224&lt;10,$BW$236,BT257)</f>
        <v>COMPLETE THE ITEMS ABOVE TO SEE RESULTS HERE.</v>
      </c>
      <c r="C260" s="1021"/>
      <c r="D260" s="1021"/>
      <c r="E260" s="1021"/>
      <c r="F260" s="1021"/>
      <c r="G260" s="1021"/>
      <c r="H260" s="1021"/>
      <c r="I260" s="1021"/>
      <c r="J260" s="1021"/>
      <c r="K260" s="1021"/>
      <c r="L260" s="1021"/>
      <c r="M260" s="1021"/>
      <c r="N260" s="275"/>
      <c r="BT260" s="2" t="str">
        <f>CONCATENATE(BW260,BX260,BY260,BZ260)</f>
        <v>LAISSEZ FAIRE MARKET - "We need a free market to produce the goods and services we all need, with minimal state regulation to keep markets fair for all."</v>
      </c>
      <c r="BV260" s="47" t="s">
        <v>3</v>
      </c>
      <c r="BW260" s="2" t="str">
        <f>IF($BT$224=BV$224,ASE$167,IF($BT$224=BW$224,BK$168,IF($BT$224=BX$224,BK$169,IF($BT$224=BY$224,BK$170,IF($BT$224=BZ$224,BK$172,IF($BT$224=CA$224,BK$173,""))))))</f>
        <v>LAISSEZ FAIRE MARKET</v>
      </c>
      <c r="BX260" s="47" t="s">
        <v>724</v>
      </c>
      <c r="BY260" s="2" t="str">
        <f>IF($BT$224=BW$224,BK$175,IF($BT$224=BX$224,BK$176,IF($BT$224=BY$224,BK$177,IF($BT$224=BZ$224,BK$178,IF($BT$224=CA$224,BK$179,IF($BT$224=CB$224,BK$180,""))))))</f>
        <v>We need a free market to produce the goods and services we all need, with minimal state regulation to keep markets fair for all</v>
      </c>
      <c r="BZ260" s="2" t="s">
        <v>723</v>
      </c>
    </row>
    <row r="261" spans="1:79" ht="19.95" customHeight="1" thickBot="1">
      <c r="A261" s="274"/>
      <c r="B261" s="1021"/>
      <c r="C261" s="1021"/>
      <c r="D261" s="1021"/>
      <c r="E261" s="1021"/>
      <c r="F261" s="1021"/>
      <c r="G261" s="1021"/>
      <c r="H261" s="1021"/>
      <c r="I261" s="1021"/>
      <c r="J261" s="1021"/>
      <c r="K261" s="1021"/>
      <c r="L261" s="1021"/>
      <c r="M261" s="1021"/>
      <c r="N261" s="275"/>
      <c r="BU261" s="2">
        <f>IF($H262=$BT$236,BW$269,IF($H262=$BT$237,BX$269,IF($H262=$BT$238,BY$269,IF($H262=$BT$239,BZ$269,IF($H$1=$BT$240,CA$269,0)))))</f>
        <v>0</v>
      </c>
    </row>
    <row r="262" spans="1:79" ht="19.95" customHeight="1" thickBot="1">
      <c r="A262" s="274"/>
      <c r="B262" s="143" t="s">
        <v>709</v>
      </c>
      <c r="C262" s="145"/>
      <c r="D262" s="145"/>
      <c r="E262" s="145"/>
      <c r="F262" s="145"/>
      <c r="G262" s="145"/>
      <c r="H262" s="1022"/>
      <c r="I262" s="1023"/>
      <c r="J262" s="1023"/>
      <c r="K262" s="1023"/>
      <c r="L262" s="1023"/>
      <c r="M262" s="1024"/>
      <c r="N262" s="275"/>
    </row>
    <row r="263" spans="1:79" ht="19.95" customHeight="1">
      <c r="A263" s="274"/>
      <c r="B263" s="1021" t="str">
        <f>IF($BQ$224&lt;10,$BW$236,BT260)</f>
        <v>COMPLETE THE ITEMS ABOVE TO SEE RESULTS HERE.</v>
      </c>
      <c r="C263" s="1021"/>
      <c r="D263" s="1021"/>
      <c r="E263" s="1021"/>
      <c r="F263" s="1021"/>
      <c r="G263" s="1021"/>
      <c r="H263" s="1021"/>
      <c r="I263" s="1021"/>
      <c r="J263" s="1021"/>
      <c r="K263" s="1021"/>
      <c r="L263" s="1021"/>
      <c r="M263" s="1021"/>
      <c r="N263" s="275"/>
      <c r="BT263" s="2" t="str">
        <f>CONCATENATE(BW263,BX263,BY263,BZ263)</f>
        <v>PERSONAL YET RARE - "We need to celebrate the vast improvements in racial relationships and focus less on a past we cannot change."</v>
      </c>
      <c r="BV263" s="47" t="s">
        <v>3</v>
      </c>
      <c r="BW263" s="2" t="str">
        <f>IF($BT$224=BV$224,BL$167,IF($BT$224=BW$224,BL$168,IF($BT$224=BX$224,BL$169,IF($BT$224=BY$224,BL$170,IF($BT$224=BZ$224,BL$172,IF($BT$224=CA$224,BL$173,""))))))</f>
        <v>PERSONAL YET RARE</v>
      </c>
      <c r="BX263" s="47" t="s">
        <v>724</v>
      </c>
      <c r="BY263" s="2" t="str">
        <f>IF($BT$224=BW$224,BL$175,IF($BT$224=BX$224,BL$176,IF($BT$224=BY$224,BL$177,IF($BT$224=BZ$224,BL$178,IF($BT$224=CA$224,BL$179,IF($BT$224=CB$224,BL$180,""))))))</f>
        <v>We need to celebrate the vast improvements in racial relationships and focus less on a past we cannot change</v>
      </c>
      <c r="BZ263" s="2" t="s">
        <v>723</v>
      </c>
    </row>
    <row r="264" spans="1:79" ht="19.95" customHeight="1" thickBot="1">
      <c r="A264" s="274"/>
      <c r="B264" s="1021"/>
      <c r="C264" s="1021"/>
      <c r="D264" s="1021"/>
      <c r="E264" s="1021"/>
      <c r="F264" s="1021"/>
      <c r="G264" s="1021"/>
      <c r="H264" s="1021"/>
      <c r="I264" s="1021"/>
      <c r="J264" s="1021"/>
      <c r="K264" s="1021"/>
      <c r="L264" s="1021"/>
      <c r="M264" s="1021"/>
      <c r="N264" s="275"/>
      <c r="BU264" s="2">
        <f>IF($H265=$BT$236,BW$269,IF($H265=$BT$237,BX$269,IF($H265=$BT$238,BY$269,IF($H265=$BT$239,BZ$269,IF($H$1=$BT$240,CA$269,0)))))</f>
        <v>0</v>
      </c>
    </row>
    <row r="265" spans="1:79" ht="19.95" customHeight="1" thickBot="1">
      <c r="A265" s="274"/>
      <c r="B265" s="143" t="s">
        <v>708</v>
      </c>
      <c r="C265" s="145"/>
      <c r="D265" s="145"/>
      <c r="E265" s="145"/>
      <c r="F265" s="145"/>
      <c r="G265" s="145"/>
      <c r="H265" s="1022"/>
      <c r="I265" s="1023"/>
      <c r="J265" s="1023"/>
      <c r="K265" s="1023"/>
      <c r="L265" s="1023"/>
      <c r="M265" s="1024"/>
      <c r="N265" s="275"/>
    </row>
    <row r="266" spans="1:79" ht="19.95" customHeight="1">
      <c r="A266" s="274"/>
      <c r="B266" s="1021" t="str">
        <f>IF($BQ$224&lt;10,$BW$236,BT263)</f>
        <v>COMPLETE THE ITEMS ABOVE TO SEE RESULTS HERE.</v>
      </c>
      <c r="C266" s="1021"/>
      <c r="D266" s="1021"/>
      <c r="E266" s="1021"/>
      <c r="F266" s="1021"/>
      <c r="G266" s="1021"/>
      <c r="H266" s="1021"/>
      <c r="I266" s="1021"/>
      <c r="J266" s="1021"/>
      <c r="K266" s="1021"/>
      <c r="L266" s="1021"/>
      <c r="M266" s="1021"/>
      <c r="N266" s="275"/>
      <c r="BT266" s="2" t="str">
        <f>CONCATENATE(BW266,BX266,BY266)</f>
        <v xml:space="preserve">You show insignificant correlation between your estimated psychosocial orientation and political views. </v>
      </c>
      <c r="BV266" s="47"/>
      <c r="BW266" s="2" t="s">
        <v>722</v>
      </c>
      <c r="BX266" s="2" t="str">
        <f>IF(AND(BU268&gt;=CA270,BU268&lt;CA269),CA268,IF(AND(BU268&gt;=BZ270,BU268&lt;BZ269),BZ268,IF(AND(BU268&gt;=BY270,BU268&lt;BY269),BY268,IF(AND(BU268&gt;=BX270,BU268&lt;BX269),BX268,IF(AND(BU268&gt;=BW270,BU268&lt;=BW269),BW268,"")))))</f>
        <v>insignificant</v>
      </c>
      <c r="BY266" s="2" t="s">
        <v>752</v>
      </c>
    </row>
    <row r="267" spans="1:79" ht="19.95" customHeight="1">
      <c r="A267" s="274"/>
      <c r="B267" s="1021"/>
      <c r="C267" s="1021"/>
      <c r="D267" s="1021"/>
      <c r="E267" s="1021"/>
      <c r="F267" s="1021"/>
      <c r="G267" s="1021"/>
      <c r="H267" s="1021"/>
      <c r="I267" s="1021"/>
      <c r="J267" s="1021"/>
      <c r="K267" s="1021"/>
      <c r="L267" s="1021"/>
      <c r="M267" s="1021"/>
      <c r="N267" s="275"/>
    </row>
    <row r="268" spans="1:79" ht="19.95" customHeight="1">
      <c r="A268" s="274"/>
      <c r="B268" s="1228" t="str">
        <f>IF($H$265="","","+")</f>
        <v/>
      </c>
      <c r="C268" s="1227" t="str">
        <f>IF(H265="","ANSWER ALL ITEMS ABOVE TO SEE RESULTS HERE.",BT266)</f>
        <v>ANSWER ALL ITEMS ABOVE TO SEE RESULTS HERE.</v>
      </c>
      <c r="D268" s="1227"/>
      <c r="E268" s="1227"/>
      <c r="F268" s="1227"/>
      <c r="G268" s="1227"/>
      <c r="H268" s="1227"/>
      <c r="I268" s="1227"/>
      <c r="J268" s="1227"/>
      <c r="K268" s="1227"/>
      <c r="L268" s="1227"/>
      <c r="M268" s="1228" t="str">
        <f>IF($H$265="","","+")</f>
        <v/>
      </c>
      <c r="N268" s="275"/>
      <c r="BU268" s="2">
        <f>(BU243+BU246+BU249+BU252+BU255+BU258+BU261+BU264)/8</f>
        <v>0</v>
      </c>
      <c r="BW268" s="2" t="s">
        <v>717</v>
      </c>
      <c r="BX268" s="2" t="s">
        <v>718</v>
      </c>
      <c r="BY268" s="2" t="s">
        <v>719</v>
      </c>
      <c r="BZ268" s="2" t="s">
        <v>720</v>
      </c>
      <c r="CA268" s="2" t="s">
        <v>721</v>
      </c>
    </row>
    <row r="269" spans="1:79" ht="15" customHeight="1">
      <c r="A269" s="274"/>
      <c r="B269" s="1228"/>
      <c r="C269" s="1227"/>
      <c r="D269" s="1227"/>
      <c r="E269" s="1227"/>
      <c r="F269" s="1227"/>
      <c r="G269" s="1227"/>
      <c r="H269" s="1227"/>
      <c r="I269" s="1227"/>
      <c r="J269" s="1227"/>
      <c r="K269" s="1227"/>
      <c r="L269" s="1227"/>
      <c r="M269" s="1228"/>
      <c r="N269" s="275"/>
      <c r="BV269" s="47" t="s">
        <v>3</v>
      </c>
      <c r="BW269" s="139">
        <v>1</v>
      </c>
      <c r="BX269" s="139">
        <v>0.8</v>
      </c>
      <c r="BY269" s="139">
        <v>0.6</v>
      </c>
      <c r="BZ269" s="139">
        <v>0.4</v>
      </c>
      <c r="CA269" s="139">
        <v>0.2</v>
      </c>
    </row>
    <row r="270" spans="1:79" ht="15" customHeight="1">
      <c r="A270" s="274"/>
      <c r="B270" s="1228"/>
      <c r="C270" s="1227"/>
      <c r="D270" s="1227"/>
      <c r="E270" s="1227"/>
      <c r="F270" s="1227"/>
      <c r="G270" s="1227"/>
      <c r="H270" s="1227"/>
      <c r="I270" s="1227"/>
      <c r="J270" s="1227"/>
      <c r="K270" s="1227"/>
      <c r="L270" s="1227"/>
      <c r="M270" s="1228"/>
      <c r="N270" s="275"/>
      <c r="BW270" s="139">
        <f>BX269</f>
        <v>0.8</v>
      </c>
      <c r="BX270" s="139">
        <f>BY269</f>
        <v>0.6</v>
      </c>
      <c r="BY270" s="139">
        <f>BZ269</f>
        <v>0.4</v>
      </c>
      <c r="BZ270" s="139">
        <f>CA269</f>
        <v>0.2</v>
      </c>
      <c r="CA270" s="139">
        <v>0</v>
      </c>
    </row>
    <row r="271" spans="1:79" ht="4.95" customHeight="1">
      <c r="A271" s="276"/>
      <c r="B271" s="279"/>
      <c r="C271" s="279"/>
      <c r="D271" s="279"/>
      <c r="E271" s="279"/>
      <c r="F271" s="279"/>
      <c r="G271" s="279"/>
      <c r="H271" s="328"/>
      <c r="I271" s="279"/>
      <c r="J271" s="279"/>
      <c r="K271" s="279"/>
      <c r="L271" s="279"/>
      <c r="M271" s="279"/>
      <c r="N271" s="278"/>
      <c r="BW271" s="139"/>
      <c r="BX271" s="139"/>
      <c r="BY271" s="139"/>
      <c r="BZ271" s="139"/>
      <c r="CA271" s="139"/>
    </row>
    <row r="272" spans="1:79" ht="30" customHeight="1">
      <c r="A272" s="271" t="s">
        <v>1148</v>
      </c>
      <c r="B272" s="1218" t="s">
        <v>640</v>
      </c>
      <c r="C272" s="1218"/>
      <c r="D272" s="1218"/>
      <c r="E272" s="1218"/>
      <c r="F272" s="1218"/>
      <c r="G272" s="1218"/>
      <c r="H272" s="1218"/>
      <c r="I272" s="1218"/>
      <c r="J272" s="1218"/>
      <c r="K272" s="1218"/>
      <c r="L272" s="1218"/>
      <c r="M272" s="272"/>
      <c r="N272" s="273" t="s">
        <v>1149</v>
      </c>
    </row>
    <row r="273" spans="1:74">
      <c r="A273" s="274"/>
      <c r="B273" s="29"/>
      <c r="C273" s="29"/>
      <c r="D273" s="29"/>
      <c r="E273" s="29"/>
      <c r="F273" s="29"/>
      <c r="G273" s="29"/>
      <c r="H273" s="318"/>
      <c r="I273" s="29"/>
      <c r="J273" s="29"/>
      <c r="K273" s="29"/>
      <c r="L273" s="29"/>
      <c r="M273" s="29"/>
      <c r="N273" s="275"/>
      <c r="BT273" s="2" t="str">
        <f>CONCATENATE(BW273,BX273)</f>
        <v/>
      </c>
      <c r="BV273" s="47" t="s">
        <v>3</v>
      </c>
    </row>
    <row r="274" spans="1:74">
      <c r="A274" s="274"/>
      <c r="B274" s="29"/>
      <c r="C274" s="29"/>
      <c r="D274" s="29"/>
      <c r="E274" s="29"/>
      <c r="F274" s="29"/>
      <c r="G274" s="29"/>
      <c r="H274" s="318"/>
      <c r="I274" s="29"/>
      <c r="J274" s="29"/>
      <c r="K274" s="29"/>
      <c r="L274" s="29"/>
      <c r="M274" s="29"/>
      <c r="N274" s="275"/>
    </row>
    <row r="275" spans="1:74">
      <c r="A275" s="274"/>
      <c r="B275" s="29"/>
      <c r="C275" s="29"/>
      <c r="D275" s="29"/>
      <c r="E275" s="29"/>
      <c r="F275" s="29"/>
      <c r="G275" s="29"/>
      <c r="H275" s="318"/>
      <c r="I275" s="29"/>
      <c r="J275" s="29"/>
      <c r="K275" s="29"/>
      <c r="L275" s="29"/>
      <c r="M275" s="29"/>
      <c r="N275" s="275"/>
    </row>
    <row r="276" spans="1:74">
      <c r="A276" s="274"/>
      <c r="B276" s="29"/>
      <c r="C276" s="29"/>
      <c r="D276" s="29"/>
      <c r="E276" s="29"/>
      <c r="F276" s="29"/>
      <c r="G276" s="29"/>
      <c r="H276" s="318"/>
      <c r="I276" s="29"/>
      <c r="J276" s="29"/>
      <c r="K276" s="29"/>
      <c r="L276" s="29"/>
      <c r="M276" s="29"/>
      <c r="N276" s="275"/>
      <c r="BT276" s="2" t="str">
        <f>CONCATENATE(BW276,BX276)</f>
        <v/>
      </c>
      <c r="BV276" s="47" t="s">
        <v>3</v>
      </c>
    </row>
    <row r="277" spans="1:74">
      <c r="A277" s="274"/>
      <c r="B277" s="29"/>
      <c r="C277" s="29"/>
      <c r="D277" s="29"/>
      <c r="E277" s="29"/>
      <c r="F277" s="29"/>
      <c r="G277" s="29"/>
      <c r="H277" s="318"/>
      <c r="I277" s="29"/>
      <c r="J277" s="29"/>
      <c r="K277" s="29"/>
      <c r="L277" s="29"/>
      <c r="M277" s="29"/>
      <c r="N277" s="275"/>
    </row>
    <row r="278" spans="1:74">
      <c r="A278" s="274"/>
      <c r="B278" s="29"/>
      <c r="C278" s="29"/>
      <c r="D278" s="29"/>
      <c r="E278" s="29"/>
      <c r="F278" s="29"/>
      <c r="G278" s="29"/>
      <c r="H278" s="318"/>
      <c r="I278" s="29"/>
      <c r="J278" s="29"/>
      <c r="K278" s="29"/>
      <c r="L278" s="29"/>
      <c r="M278" s="29"/>
      <c r="N278" s="275"/>
    </row>
    <row r="279" spans="1:74">
      <c r="A279" s="274"/>
      <c r="B279" s="29"/>
      <c r="C279" s="29"/>
      <c r="D279" s="29"/>
      <c r="E279" s="29"/>
      <c r="F279" s="29"/>
      <c r="G279" s="29"/>
      <c r="H279" s="318"/>
      <c r="I279" s="29"/>
      <c r="J279" s="29"/>
      <c r="K279" s="29"/>
      <c r="L279" s="29"/>
      <c r="M279" s="29"/>
      <c r="N279" s="275"/>
      <c r="BV279" s="47" t="s">
        <v>3</v>
      </c>
    </row>
    <row r="280" spans="1:74">
      <c r="A280" s="274"/>
      <c r="B280" s="29"/>
      <c r="C280" s="29"/>
      <c r="D280" s="29"/>
      <c r="E280" s="29"/>
      <c r="F280" s="29"/>
      <c r="G280" s="29"/>
      <c r="H280" s="318"/>
      <c r="I280" s="29"/>
      <c r="J280" s="29"/>
      <c r="K280" s="29"/>
      <c r="L280" s="29"/>
      <c r="M280" s="29"/>
      <c r="N280" s="275"/>
    </row>
    <row r="281" spans="1:74">
      <c r="A281" s="274"/>
      <c r="B281" s="29"/>
      <c r="C281" s="29"/>
      <c r="D281" s="29"/>
      <c r="E281" s="29"/>
      <c r="F281" s="29"/>
      <c r="G281" s="29"/>
      <c r="H281" s="318"/>
      <c r="I281" s="29"/>
      <c r="J281" s="29"/>
      <c r="K281" s="29"/>
      <c r="L281" s="29"/>
      <c r="M281" s="29"/>
      <c r="N281" s="275"/>
    </row>
    <row r="282" spans="1:74">
      <c r="A282" s="274"/>
      <c r="B282" s="29"/>
      <c r="C282" s="29"/>
      <c r="D282" s="29"/>
      <c r="E282" s="29"/>
      <c r="F282" s="29"/>
      <c r="G282" s="29"/>
      <c r="H282" s="318"/>
      <c r="I282" s="29"/>
      <c r="J282" s="29"/>
      <c r="K282" s="29"/>
      <c r="L282" s="29"/>
      <c r="M282" s="29"/>
      <c r="N282" s="275"/>
      <c r="BV282" s="47" t="s">
        <v>3</v>
      </c>
    </row>
    <row r="283" spans="1:74">
      <c r="A283" s="274"/>
      <c r="B283" s="29"/>
      <c r="C283" s="29"/>
      <c r="D283" s="29"/>
      <c r="E283" s="29"/>
      <c r="F283" s="29"/>
      <c r="G283" s="29"/>
      <c r="H283" s="318"/>
      <c r="I283" s="29"/>
      <c r="J283" s="29"/>
      <c r="K283" s="29"/>
      <c r="L283" s="29"/>
      <c r="M283" s="29"/>
      <c r="N283" s="275"/>
    </row>
    <row r="284" spans="1:74">
      <c r="A284" s="274"/>
      <c r="B284" s="29"/>
      <c r="C284" s="29"/>
      <c r="D284" s="29"/>
      <c r="E284" s="29"/>
      <c r="F284" s="29"/>
      <c r="G284" s="29"/>
      <c r="H284" s="318"/>
      <c r="I284" s="29"/>
      <c r="J284" s="29"/>
      <c r="K284" s="29"/>
      <c r="L284" s="29"/>
      <c r="M284" s="29"/>
      <c r="N284" s="275"/>
    </row>
    <row r="285" spans="1:74">
      <c r="A285" s="274"/>
      <c r="B285" s="29"/>
      <c r="C285" s="29"/>
      <c r="D285" s="29"/>
      <c r="E285" s="29"/>
      <c r="F285" s="29"/>
      <c r="G285" s="29"/>
      <c r="H285" s="318"/>
      <c r="I285" s="29"/>
      <c r="J285" s="29"/>
      <c r="K285" s="29"/>
      <c r="L285" s="29"/>
      <c r="M285" s="29"/>
      <c r="N285" s="275"/>
      <c r="BV285" s="47" t="s">
        <v>3</v>
      </c>
    </row>
    <row r="286" spans="1:74">
      <c r="A286" s="274"/>
      <c r="B286" s="29"/>
      <c r="C286" s="29"/>
      <c r="D286" s="29"/>
      <c r="E286" s="29"/>
      <c r="F286" s="29"/>
      <c r="G286" s="29"/>
      <c r="H286" s="318"/>
      <c r="I286" s="29"/>
      <c r="J286" s="29"/>
      <c r="K286" s="29"/>
      <c r="L286" s="29"/>
      <c r="M286" s="29"/>
      <c r="N286" s="275"/>
    </row>
    <row r="287" spans="1:74">
      <c r="A287" s="274"/>
      <c r="B287" s="29"/>
      <c r="C287" s="29"/>
      <c r="D287" s="29"/>
      <c r="E287" s="29"/>
      <c r="F287" s="29"/>
      <c r="G287" s="29"/>
      <c r="H287" s="318"/>
      <c r="I287" s="29"/>
      <c r="J287" s="29"/>
      <c r="K287" s="29"/>
      <c r="L287" s="29"/>
      <c r="M287" s="29"/>
      <c r="N287" s="275"/>
    </row>
    <row r="288" spans="1:74">
      <c r="A288" s="274"/>
      <c r="B288" s="29"/>
      <c r="C288" s="29"/>
      <c r="D288" s="29"/>
      <c r="E288" s="29"/>
      <c r="F288" s="29"/>
      <c r="G288" s="29"/>
      <c r="H288" s="318"/>
      <c r="I288" s="29"/>
      <c r="J288" s="29"/>
      <c r="K288" s="29"/>
      <c r="L288" s="29"/>
      <c r="M288" s="29"/>
      <c r="N288" s="275"/>
      <c r="BV288" s="47" t="s">
        <v>3</v>
      </c>
    </row>
    <row r="289" spans="1:74">
      <c r="A289" s="274"/>
      <c r="B289" s="29"/>
      <c r="C289" s="29"/>
      <c r="D289" s="29"/>
      <c r="E289" s="29"/>
      <c r="F289" s="29"/>
      <c r="G289" s="29"/>
      <c r="H289" s="318"/>
      <c r="I289" s="29"/>
      <c r="J289" s="29"/>
      <c r="K289" s="29"/>
      <c r="L289" s="29"/>
      <c r="M289" s="29"/>
      <c r="N289" s="275"/>
    </row>
    <row r="290" spans="1:74">
      <c r="A290" s="274"/>
      <c r="B290" s="29"/>
      <c r="C290" s="29"/>
      <c r="D290" s="29"/>
      <c r="E290" s="29"/>
      <c r="F290" s="29"/>
      <c r="G290" s="29"/>
      <c r="H290" s="318"/>
      <c r="I290" s="29"/>
      <c r="J290" s="29"/>
      <c r="K290" s="29"/>
      <c r="L290" s="29"/>
      <c r="M290" s="29"/>
      <c r="N290" s="275"/>
    </row>
    <row r="291" spans="1:74">
      <c r="A291" s="274"/>
      <c r="B291" s="29"/>
      <c r="C291" s="29"/>
      <c r="D291" s="29"/>
      <c r="E291" s="29"/>
      <c r="F291" s="29"/>
      <c r="G291" s="29"/>
      <c r="H291" s="318"/>
      <c r="I291" s="29"/>
      <c r="J291" s="29"/>
      <c r="K291" s="29"/>
      <c r="L291" s="29"/>
      <c r="M291" s="29"/>
      <c r="N291" s="275"/>
      <c r="BV291" s="47" t="s">
        <v>3</v>
      </c>
    </row>
    <row r="292" spans="1:74">
      <c r="A292" s="274"/>
      <c r="B292" s="29"/>
      <c r="C292" s="29"/>
      <c r="D292" s="29"/>
      <c r="E292" s="29"/>
      <c r="F292" s="29"/>
      <c r="G292" s="29"/>
      <c r="H292" s="318"/>
      <c r="I292" s="29"/>
      <c r="J292" s="29"/>
      <c r="K292" s="29"/>
      <c r="L292" s="29"/>
      <c r="M292" s="29"/>
      <c r="N292" s="275"/>
    </row>
    <row r="293" spans="1:74">
      <c r="A293" s="274"/>
      <c r="B293" s="29"/>
      <c r="C293" s="29"/>
      <c r="D293" s="29"/>
      <c r="E293" s="29"/>
      <c r="F293" s="29"/>
      <c r="G293" s="29"/>
      <c r="H293" s="318"/>
      <c r="I293" s="29"/>
      <c r="J293" s="29"/>
      <c r="K293" s="29"/>
      <c r="L293" s="29"/>
      <c r="M293" s="29"/>
      <c r="N293" s="275"/>
    </row>
    <row r="294" spans="1:74">
      <c r="A294" s="274"/>
      <c r="B294" s="29"/>
      <c r="C294" s="29"/>
      <c r="D294" s="29"/>
      <c r="E294" s="29"/>
      <c r="F294" s="29"/>
      <c r="G294" s="29"/>
      <c r="H294" s="318"/>
      <c r="I294" s="29"/>
      <c r="J294" s="29"/>
      <c r="K294" s="29"/>
      <c r="L294" s="29"/>
      <c r="M294" s="29"/>
      <c r="N294" s="275"/>
    </row>
    <row r="295" spans="1:74">
      <c r="A295" s="274"/>
      <c r="B295" s="29"/>
      <c r="C295" s="29"/>
      <c r="D295" s="29"/>
      <c r="E295" s="29"/>
      <c r="F295" s="29"/>
      <c r="G295" s="29"/>
      <c r="H295" s="318"/>
      <c r="I295" s="29"/>
      <c r="J295" s="29"/>
      <c r="K295" s="29"/>
      <c r="L295" s="29"/>
      <c r="M295" s="29"/>
      <c r="N295" s="275"/>
    </row>
    <row r="296" spans="1:74">
      <c r="A296" s="274"/>
      <c r="B296" s="29"/>
      <c r="C296" s="29"/>
      <c r="D296" s="29"/>
      <c r="E296" s="29"/>
      <c r="F296" s="29"/>
      <c r="G296" s="29"/>
      <c r="H296" s="318"/>
      <c r="I296" s="29"/>
      <c r="J296" s="29"/>
      <c r="K296" s="29"/>
      <c r="L296" s="29"/>
      <c r="M296" s="29"/>
      <c r="N296" s="275"/>
    </row>
    <row r="297" spans="1:74">
      <c r="A297" s="274"/>
      <c r="B297" s="29"/>
      <c r="C297" s="29"/>
      <c r="D297" s="29"/>
      <c r="E297" s="29"/>
      <c r="F297" s="29"/>
      <c r="G297" s="29"/>
      <c r="H297" s="318"/>
      <c r="I297" s="29"/>
      <c r="J297" s="29"/>
      <c r="K297" s="29"/>
      <c r="L297" s="29"/>
      <c r="M297" s="29"/>
      <c r="N297" s="275"/>
    </row>
    <row r="298" spans="1:74">
      <c r="A298" s="274"/>
      <c r="B298" s="29"/>
      <c r="C298" s="29"/>
      <c r="D298" s="29"/>
      <c r="E298" s="29"/>
      <c r="F298" s="29"/>
      <c r="G298" s="29"/>
      <c r="H298" s="318"/>
      <c r="I298" s="29"/>
      <c r="J298" s="29"/>
      <c r="K298" s="29"/>
      <c r="L298" s="29"/>
      <c r="M298" s="29"/>
      <c r="N298" s="275"/>
    </row>
    <row r="299" spans="1:74">
      <c r="A299" s="274"/>
      <c r="B299" s="29"/>
      <c r="C299" s="29"/>
      <c r="D299" s="29"/>
      <c r="E299" s="29"/>
      <c r="F299" s="29"/>
      <c r="G299" s="29"/>
      <c r="H299" s="318"/>
      <c r="I299" s="29"/>
      <c r="J299" s="29"/>
      <c r="K299" s="29"/>
      <c r="L299" s="29"/>
      <c r="M299" s="29"/>
      <c r="N299" s="275"/>
    </row>
    <row r="300" spans="1:74">
      <c r="A300" s="274"/>
      <c r="B300" s="29"/>
      <c r="C300" s="29"/>
      <c r="D300" s="29"/>
      <c r="E300" s="29"/>
      <c r="F300" s="29"/>
      <c r="G300" s="29"/>
      <c r="H300" s="318"/>
      <c r="I300" s="29"/>
      <c r="J300" s="29"/>
      <c r="K300" s="29"/>
      <c r="L300" s="29"/>
      <c r="M300" s="29"/>
      <c r="N300" s="275"/>
    </row>
    <row r="301" spans="1:74">
      <c r="A301" s="274"/>
      <c r="B301" s="29"/>
      <c r="C301" s="29"/>
      <c r="D301" s="29"/>
      <c r="E301" s="29"/>
      <c r="F301" s="29"/>
      <c r="G301" s="29"/>
      <c r="H301" s="318"/>
      <c r="I301" s="29"/>
      <c r="J301" s="29"/>
      <c r="K301" s="29"/>
      <c r="L301" s="29"/>
      <c r="M301" s="29"/>
      <c r="N301" s="275"/>
    </row>
    <row r="302" spans="1:74">
      <c r="A302" s="274"/>
      <c r="B302" s="29"/>
      <c r="C302" s="29"/>
      <c r="D302" s="29"/>
      <c r="E302" s="29"/>
      <c r="F302" s="29"/>
      <c r="G302" s="29"/>
      <c r="H302" s="318"/>
      <c r="I302" s="29"/>
      <c r="J302" s="29"/>
      <c r="K302" s="29"/>
      <c r="L302" s="29"/>
      <c r="M302" s="29"/>
      <c r="N302" s="275"/>
    </row>
    <row r="303" spans="1:74">
      <c r="A303" s="274"/>
      <c r="B303" s="29"/>
      <c r="C303" s="29"/>
      <c r="D303" s="29"/>
      <c r="E303" s="29"/>
      <c r="F303" s="29"/>
      <c r="G303" s="29"/>
      <c r="H303" s="318"/>
      <c r="I303" s="29"/>
      <c r="J303" s="29"/>
      <c r="K303" s="29"/>
      <c r="L303" s="29"/>
      <c r="M303" s="29"/>
      <c r="N303" s="275"/>
    </row>
    <row r="304" spans="1:74">
      <c r="A304" s="274"/>
      <c r="B304" s="29"/>
      <c r="C304" s="29"/>
      <c r="D304" s="29"/>
      <c r="E304" s="29"/>
      <c r="F304" s="29"/>
      <c r="G304" s="29"/>
      <c r="H304" s="318"/>
      <c r="I304" s="29"/>
      <c r="J304" s="29"/>
      <c r="K304" s="29"/>
      <c r="L304" s="29"/>
      <c r="M304" s="29"/>
      <c r="N304" s="275"/>
    </row>
    <row r="305" spans="1:14">
      <c r="A305" s="274"/>
      <c r="B305" s="29"/>
      <c r="C305" s="29"/>
      <c r="D305" s="29"/>
      <c r="E305" s="29"/>
      <c r="F305" s="29"/>
      <c r="G305" s="29"/>
      <c r="H305" s="318"/>
      <c r="I305" s="29"/>
      <c r="J305" s="29"/>
      <c r="K305" s="29"/>
      <c r="L305" s="29"/>
      <c r="M305" s="29"/>
      <c r="N305" s="275"/>
    </row>
    <row r="306" spans="1:14">
      <c r="A306" s="274"/>
      <c r="B306" s="29"/>
      <c r="C306" s="29"/>
      <c r="D306" s="29"/>
      <c r="E306" s="29"/>
      <c r="F306" s="29"/>
      <c r="G306" s="29"/>
      <c r="H306" s="318"/>
      <c r="I306" s="29"/>
      <c r="J306" s="29"/>
      <c r="K306" s="29"/>
      <c r="L306" s="29"/>
      <c r="M306" s="29"/>
      <c r="N306" s="275"/>
    </row>
    <row r="307" spans="1:14">
      <c r="A307" s="274"/>
      <c r="B307" s="29"/>
      <c r="C307" s="29"/>
      <c r="D307" s="29"/>
      <c r="E307" s="29"/>
      <c r="F307" s="29"/>
      <c r="G307" s="29"/>
      <c r="H307" s="318"/>
      <c r="I307" s="29"/>
      <c r="J307" s="29"/>
      <c r="K307" s="29"/>
      <c r="L307" s="29"/>
      <c r="M307" s="29"/>
      <c r="N307" s="275"/>
    </row>
    <row r="308" spans="1:14">
      <c r="A308" s="274"/>
      <c r="B308" s="29"/>
      <c r="C308" s="29"/>
      <c r="D308" s="29"/>
      <c r="E308" s="29"/>
      <c r="F308" s="29"/>
      <c r="G308" s="29"/>
      <c r="H308" s="318"/>
      <c r="I308" s="29"/>
      <c r="J308" s="29"/>
      <c r="K308" s="29"/>
      <c r="L308" s="29"/>
      <c r="M308" s="29"/>
      <c r="N308" s="275"/>
    </row>
    <row r="309" spans="1:14">
      <c r="A309" s="274"/>
      <c r="B309" s="29"/>
      <c r="C309" s="29"/>
      <c r="D309" s="29"/>
      <c r="E309" s="29"/>
      <c r="F309" s="29"/>
      <c r="G309" s="29"/>
      <c r="H309" s="318"/>
      <c r="I309" s="29"/>
      <c r="J309" s="29"/>
      <c r="K309" s="29"/>
      <c r="L309" s="29"/>
      <c r="M309" s="29"/>
      <c r="N309" s="275"/>
    </row>
    <row r="310" spans="1:14">
      <c r="A310" s="274"/>
      <c r="B310" s="29"/>
      <c r="C310" s="29"/>
      <c r="D310" s="29"/>
      <c r="E310" s="29"/>
      <c r="F310" s="29"/>
      <c r="G310" s="29"/>
      <c r="H310" s="318"/>
      <c r="I310" s="29"/>
      <c r="J310" s="29"/>
      <c r="K310" s="29"/>
      <c r="L310" s="29"/>
      <c r="M310" s="29"/>
      <c r="N310" s="275"/>
    </row>
    <row r="311" spans="1:14">
      <c r="A311" s="274"/>
      <c r="B311" s="29"/>
      <c r="C311" s="29"/>
      <c r="D311" s="29"/>
      <c r="E311" s="29"/>
      <c r="F311" s="29"/>
      <c r="G311" s="29"/>
      <c r="H311" s="318"/>
      <c r="I311" s="29"/>
      <c r="J311" s="29"/>
      <c r="K311" s="29"/>
      <c r="L311" s="29"/>
      <c r="M311" s="29"/>
      <c r="N311" s="275"/>
    </row>
    <row r="312" spans="1:14">
      <c r="A312" s="274"/>
      <c r="B312" s="29"/>
      <c r="C312" s="29"/>
      <c r="D312" s="29"/>
      <c r="E312" s="29"/>
      <c r="F312" s="29"/>
      <c r="G312" s="29"/>
      <c r="H312" s="318"/>
      <c r="I312" s="29"/>
      <c r="J312" s="29"/>
      <c r="K312" s="29"/>
      <c r="L312" s="29"/>
      <c r="M312" s="29"/>
      <c r="N312" s="275"/>
    </row>
    <row r="313" spans="1:14">
      <c r="A313" s="274"/>
      <c r="B313" s="29"/>
      <c r="C313" s="29"/>
      <c r="D313" s="29"/>
      <c r="E313" s="29"/>
      <c r="F313" s="29"/>
      <c r="G313" s="29"/>
      <c r="H313" s="318"/>
      <c r="I313" s="29"/>
      <c r="J313" s="29"/>
      <c r="K313" s="29"/>
      <c r="L313" s="29"/>
      <c r="M313" s="29"/>
      <c r="N313" s="275"/>
    </row>
    <row r="314" spans="1:14">
      <c r="A314" s="274"/>
      <c r="B314" s="29"/>
      <c r="C314" s="29"/>
      <c r="D314" s="29"/>
      <c r="E314" s="29"/>
      <c r="F314" s="29"/>
      <c r="G314" s="29"/>
      <c r="H314" s="318"/>
      <c r="I314" s="29"/>
      <c r="J314" s="29"/>
      <c r="K314" s="29"/>
      <c r="L314" s="29"/>
      <c r="M314" s="29"/>
      <c r="N314" s="275"/>
    </row>
    <row r="315" spans="1:14">
      <c r="A315" s="274"/>
      <c r="B315" s="29"/>
      <c r="C315" s="29"/>
      <c r="D315" s="29"/>
      <c r="E315" s="29"/>
      <c r="F315" s="29"/>
      <c r="G315" s="29"/>
      <c r="H315" s="318"/>
      <c r="I315" s="29"/>
      <c r="J315" s="29"/>
      <c r="K315" s="29"/>
      <c r="L315" s="29"/>
      <c r="M315" s="29"/>
      <c r="N315" s="275"/>
    </row>
    <row r="316" spans="1:14">
      <c r="A316" s="274"/>
      <c r="B316" s="29"/>
      <c r="C316" s="29"/>
      <c r="D316" s="29"/>
      <c r="E316" s="29"/>
      <c r="F316" s="29"/>
      <c r="G316" s="29"/>
      <c r="H316" s="318"/>
      <c r="I316" s="29"/>
      <c r="J316" s="29"/>
      <c r="K316" s="29"/>
      <c r="L316" s="29"/>
      <c r="M316" s="29"/>
      <c r="N316" s="275"/>
    </row>
    <row r="317" spans="1:14">
      <c r="A317" s="274"/>
      <c r="B317" s="29"/>
      <c r="C317" s="29"/>
      <c r="D317" s="29"/>
      <c r="E317" s="29"/>
      <c r="F317" s="29"/>
      <c r="G317" s="29"/>
      <c r="H317" s="318"/>
      <c r="I317" s="29"/>
      <c r="J317" s="29"/>
      <c r="K317" s="29"/>
      <c r="L317" s="29"/>
      <c r="M317" s="29"/>
      <c r="N317" s="275"/>
    </row>
    <row r="318" spans="1:14">
      <c r="A318" s="274"/>
      <c r="B318" s="29"/>
      <c r="C318" s="29"/>
      <c r="D318" s="29"/>
      <c r="E318" s="29"/>
      <c r="F318" s="29"/>
      <c r="G318" s="29"/>
      <c r="H318" s="318"/>
      <c r="I318" s="29"/>
      <c r="J318" s="29"/>
      <c r="K318" s="29"/>
      <c r="L318" s="29"/>
      <c r="M318" s="29"/>
      <c r="N318" s="275"/>
    </row>
    <row r="319" spans="1:14" ht="30" customHeight="1">
      <c r="A319" s="271" t="s">
        <v>1148</v>
      </c>
      <c r="B319" s="1218" t="s">
        <v>1155</v>
      </c>
      <c r="C319" s="1218"/>
      <c r="D319" s="1218"/>
      <c r="E319" s="1218"/>
      <c r="F319" s="1218"/>
      <c r="G319" s="1218"/>
      <c r="H319" s="1218"/>
      <c r="I319" s="1218"/>
      <c r="J319" s="1218"/>
      <c r="K319" s="1218"/>
      <c r="L319" s="1218"/>
      <c r="M319" s="272"/>
      <c r="N319" s="273" t="s">
        <v>1149</v>
      </c>
    </row>
    <row r="320" spans="1:14">
      <c r="A320" s="294"/>
      <c r="B320" s="158"/>
      <c r="C320" s="158"/>
      <c r="D320" s="158"/>
      <c r="E320" s="158"/>
      <c r="F320" s="158"/>
      <c r="G320" s="158"/>
      <c r="H320" s="329"/>
      <c r="I320" s="158"/>
      <c r="J320" s="158"/>
      <c r="K320" s="158"/>
      <c r="L320" s="158"/>
      <c r="M320" s="158"/>
      <c r="N320" s="295"/>
    </row>
    <row r="321" spans="1:14">
      <c r="A321" s="294"/>
      <c r="B321" s="158"/>
      <c r="C321" s="158"/>
      <c r="D321" s="158"/>
      <c r="E321" s="158"/>
      <c r="F321" s="158"/>
      <c r="G321" s="158"/>
      <c r="H321" s="329"/>
      <c r="I321" s="158"/>
      <c r="J321" s="158"/>
      <c r="K321" s="158"/>
      <c r="L321" s="158"/>
      <c r="M321" s="158"/>
      <c r="N321" s="295"/>
    </row>
    <row r="322" spans="1:14">
      <c r="A322" s="294"/>
      <c r="B322" s="158"/>
      <c r="C322" s="158"/>
      <c r="D322" s="158"/>
      <c r="E322" s="158"/>
      <c r="F322" s="158"/>
      <c r="G322" s="158"/>
      <c r="H322" s="329"/>
      <c r="I322" s="158"/>
      <c r="J322" s="158"/>
      <c r="K322" s="158"/>
      <c r="L322" s="158"/>
      <c r="M322" s="158"/>
      <c r="N322" s="295"/>
    </row>
    <row r="323" spans="1:14">
      <c r="A323" s="294"/>
      <c r="B323" s="158"/>
      <c r="C323" s="158"/>
      <c r="D323" s="158"/>
      <c r="E323" s="158"/>
      <c r="F323" s="158"/>
      <c r="G323" s="158"/>
      <c r="H323" s="329"/>
      <c r="I323" s="158"/>
      <c r="J323" s="158"/>
      <c r="K323" s="158"/>
      <c r="L323" s="158"/>
      <c r="M323" s="158"/>
      <c r="N323" s="295"/>
    </row>
    <row r="324" spans="1:14">
      <c r="A324" s="294"/>
      <c r="B324" s="158"/>
      <c r="C324" s="158"/>
      <c r="D324" s="158"/>
      <c r="E324" s="158"/>
      <c r="F324" s="158"/>
      <c r="G324" s="158"/>
      <c r="H324" s="329"/>
      <c r="I324" s="158"/>
      <c r="J324" s="158"/>
      <c r="K324" s="158"/>
      <c r="L324" s="158"/>
      <c r="M324" s="158"/>
      <c r="N324" s="295"/>
    </row>
    <row r="325" spans="1:14">
      <c r="A325" s="294"/>
      <c r="B325" s="158"/>
      <c r="C325" s="158"/>
      <c r="D325" s="158"/>
      <c r="E325" s="158"/>
      <c r="F325" s="158"/>
      <c r="G325" s="158"/>
      <c r="H325" s="329"/>
      <c r="I325" s="158"/>
      <c r="J325" s="158"/>
      <c r="K325" s="158"/>
      <c r="L325" s="158"/>
      <c r="M325" s="158"/>
      <c r="N325" s="295"/>
    </row>
    <row r="326" spans="1:14">
      <c r="A326" s="294"/>
      <c r="B326" s="158"/>
      <c r="C326" s="158"/>
      <c r="D326" s="158"/>
      <c r="E326" s="158"/>
      <c r="F326" s="158"/>
      <c r="G326" s="158"/>
      <c r="H326" s="329"/>
      <c r="I326" s="158"/>
      <c r="J326" s="158"/>
      <c r="K326" s="158"/>
      <c r="L326" s="158"/>
      <c r="M326" s="158"/>
      <c r="N326" s="295"/>
    </row>
    <row r="327" spans="1:14">
      <c r="A327" s="294"/>
      <c r="B327" s="158"/>
      <c r="C327" s="158"/>
      <c r="D327" s="158"/>
      <c r="E327" s="158"/>
      <c r="F327" s="158"/>
      <c r="G327" s="158"/>
      <c r="H327" s="329"/>
      <c r="I327" s="158"/>
      <c r="J327" s="158"/>
      <c r="K327" s="158"/>
      <c r="L327" s="158"/>
      <c r="M327" s="158"/>
      <c r="N327" s="295"/>
    </row>
    <row r="328" spans="1:14">
      <c r="A328" s="294"/>
      <c r="B328" s="158"/>
      <c r="C328" s="158"/>
      <c r="D328" s="158"/>
      <c r="E328" s="158"/>
      <c r="F328" s="158"/>
      <c r="G328" s="158"/>
      <c r="H328" s="329"/>
      <c r="I328" s="158"/>
      <c r="J328" s="158"/>
      <c r="K328" s="158"/>
      <c r="L328" s="158"/>
      <c r="M328" s="158"/>
      <c r="N328" s="295"/>
    </row>
    <row r="329" spans="1:14">
      <c r="A329" s="294"/>
      <c r="B329" s="158"/>
      <c r="C329" s="158"/>
      <c r="D329" s="158"/>
      <c r="E329" s="158"/>
      <c r="F329" s="158"/>
      <c r="G329" s="158"/>
      <c r="H329" s="329"/>
      <c r="I329" s="158"/>
      <c r="J329" s="158"/>
      <c r="K329" s="158"/>
      <c r="L329" s="158"/>
      <c r="M329" s="158"/>
      <c r="N329" s="295"/>
    </row>
    <row r="330" spans="1:14">
      <c r="A330" s="294"/>
      <c r="B330" s="158"/>
      <c r="C330" s="158"/>
      <c r="D330" s="158"/>
      <c r="E330" s="158"/>
      <c r="F330" s="158"/>
      <c r="G330" s="158"/>
      <c r="H330" s="329"/>
      <c r="I330" s="158"/>
      <c r="J330" s="158"/>
      <c r="K330" s="158"/>
      <c r="L330" s="158"/>
      <c r="M330" s="158"/>
      <c r="N330" s="295"/>
    </row>
    <row r="331" spans="1:14">
      <c r="A331" s="294"/>
      <c r="B331" s="158"/>
      <c r="C331" s="158"/>
      <c r="D331" s="158"/>
      <c r="E331" s="158"/>
      <c r="F331" s="158"/>
      <c r="G331" s="158"/>
      <c r="H331" s="329"/>
      <c r="I331" s="158"/>
      <c r="J331" s="158"/>
      <c r="K331" s="158"/>
      <c r="L331" s="158"/>
      <c r="M331" s="158"/>
      <c r="N331" s="295"/>
    </row>
    <row r="332" spans="1:14">
      <c r="A332" s="294"/>
      <c r="B332" s="158"/>
      <c r="C332" s="158"/>
      <c r="D332" s="158"/>
      <c r="E332" s="158"/>
      <c r="F332" s="158"/>
      <c r="G332" s="158"/>
      <c r="H332" s="329"/>
      <c r="I332" s="158"/>
      <c r="J332" s="158"/>
      <c r="K332" s="158"/>
      <c r="L332" s="158"/>
      <c r="M332" s="158"/>
      <c r="N332" s="295"/>
    </row>
    <row r="333" spans="1:14">
      <c r="A333" s="294"/>
      <c r="B333" s="158"/>
      <c r="C333" s="158"/>
      <c r="D333" s="158"/>
      <c r="E333" s="158"/>
      <c r="F333" s="158"/>
      <c r="G333" s="158"/>
      <c r="H333" s="329"/>
      <c r="I333" s="158"/>
      <c r="J333" s="158"/>
      <c r="K333" s="158"/>
      <c r="L333" s="158"/>
      <c r="M333" s="158"/>
      <c r="N333" s="295"/>
    </row>
    <row r="334" spans="1:14">
      <c r="A334" s="294"/>
      <c r="B334" s="158"/>
      <c r="C334" s="158"/>
      <c r="D334" s="158"/>
      <c r="E334" s="158"/>
      <c r="F334" s="158"/>
      <c r="G334" s="158"/>
      <c r="H334" s="329"/>
      <c r="I334" s="158"/>
      <c r="J334" s="158"/>
      <c r="K334" s="158"/>
      <c r="L334" s="158"/>
      <c r="M334" s="158"/>
      <c r="N334" s="295"/>
    </row>
    <row r="335" spans="1:14">
      <c r="A335" s="294"/>
      <c r="B335" s="158"/>
      <c r="C335" s="158"/>
      <c r="D335" s="158"/>
      <c r="E335" s="158"/>
      <c r="F335" s="158"/>
      <c r="G335" s="158"/>
      <c r="H335" s="329"/>
      <c r="I335" s="158"/>
      <c r="J335" s="158"/>
      <c r="K335" s="158"/>
      <c r="L335" s="158"/>
      <c r="M335" s="158"/>
      <c r="N335" s="295"/>
    </row>
    <row r="336" spans="1:14">
      <c r="A336" s="294"/>
      <c r="B336" s="158"/>
      <c r="C336" s="158"/>
      <c r="D336" s="158"/>
      <c r="E336" s="158"/>
      <c r="F336" s="158"/>
      <c r="G336" s="158"/>
      <c r="H336" s="329"/>
      <c r="I336" s="158"/>
      <c r="J336" s="158"/>
      <c r="K336" s="158"/>
      <c r="L336" s="158"/>
      <c r="M336" s="158"/>
      <c r="N336" s="295"/>
    </row>
    <row r="337" spans="1:14">
      <c r="A337" s="294"/>
      <c r="B337" s="158"/>
      <c r="C337" s="158"/>
      <c r="D337" s="158"/>
      <c r="E337" s="158"/>
      <c r="F337" s="158"/>
      <c r="G337" s="158"/>
      <c r="H337" s="329"/>
      <c r="I337" s="158"/>
      <c r="J337" s="158"/>
      <c r="K337" s="158"/>
      <c r="L337" s="158"/>
      <c r="M337" s="158"/>
      <c r="N337" s="295"/>
    </row>
    <row r="338" spans="1:14">
      <c r="A338" s="294"/>
      <c r="B338" s="158"/>
      <c r="C338" s="158"/>
      <c r="D338" s="158"/>
      <c r="E338" s="158"/>
      <c r="F338" s="158"/>
      <c r="G338" s="158"/>
      <c r="H338" s="329"/>
      <c r="I338" s="158"/>
      <c r="J338" s="158"/>
      <c r="K338" s="158"/>
      <c r="L338" s="158"/>
      <c r="M338" s="158"/>
      <c r="N338" s="295"/>
    </row>
    <row r="339" spans="1:14">
      <c r="A339" s="294"/>
      <c r="B339" s="158"/>
      <c r="C339" s="158"/>
      <c r="D339" s="158"/>
      <c r="E339" s="158"/>
      <c r="F339" s="158"/>
      <c r="G339" s="158"/>
      <c r="H339" s="329"/>
      <c r="I339" s="158"/>
      <c r="J339" s="158"/>
      <c r="K339" s="158"/>
      <c r="L339" s="158"/>
      <c r="M339" s="158"/>
      <c r="N339" s="295"/>
    </row>
    <row r="340" spans="1:14">
      <c r="A340" s="294"/>
      <c r="B340" s="158"/>
      <c r="C340" s="158"/>
      <c r="D340" s="158"/>
      <c r="E340" s="158"/>
      <c r="F340" s="158"/>
      <c r="G340" s="158"/>
      <c r="H340" s="329"/>
      <c r="I340" s="158"/>
      <c r="J340" s="158"/>
      <c r="K340" s="158"/>
      <c r="L340" s="158"/>
      <c r="M340" s="158"/>
      <c r="N340" s="295"/>
    </row>
    <row r="341" spans="1:14">
      <c r="A341" s="294"/>
      <c r="B341" s="158"/>
      <c r="C341" s="158"/>
      <c r="D341" s="158"/>
      <c r="E341" s="158"/>
      <c r="F341" s="158"/>
      <c r="G341" s="158"/>
      <c r="H341" s="329"/>
      <c r="I341" s="158"/>
      <c r="J341" s="158"/>
      <c r="K341" s="158"/>
      <c r="L341" s="158"/>
      <c r="M341" s="158"/>
      <c r="N341" s="295"/>
    </row>
    <row r="342" spans="1:14">
      <c r="A342" s="294"/>
      <c r="B342" s="158"/>
      <c r="C342" s="158"/>
      <c r="D342" s="158"/>
      <c r="E342" s="158"/>
      <c r="F342" s="158"/>
      <c r="G342" s="158"/>
      <c r="H342" s="329"/>
      <c r="I342" s="158"/>
      <c r="J342" s="158"/>
      <c r="K342" s="158"/>
      <c r="L342" s="158"/>
      <c r="M342" s="158"/>
      <c r="N342" s="295"/>
    </row>
    <row r="343" spans="1:14">
      <c r="A343" s="294"/>
      <c r="B343" s="158"/>
      <c r="C343" s="158"/>
      <c r="D343" s="158"/>
      <c r="E343" s="158"/>
      <c r="F343" s="158"/>
      <c r="G343" s="158"/>
      <c r="H343" s="329"/>
      <c r="I343" s="158"/>
      <c r="J343" s="158"/>
      <c r="K343" s="158"/>
      <c r="L343" s="158"/>
      <c r="M343" s="158"/>
      <c r="N343" s="295"/>
    </row>
    <row r="344" spans="1:14">
      <c r="A344" s="294"/>
      <c r="B344" s="158"/>
      <c r="C344" s="158"/>
      <c r="D344" s="158"/>
      <c r="E344" s="158"/>
      <c r="F344" s="158"/>
      <c r="G344" s="158"/>
      <c r="H344" s="329"/>
      <c r="I344" s="158"/>
      <c r="J344" s="158"/>
      <c r="K344" s="158"/>
      <c r="L344" s="158"/>
      <c r="M344" s="158"/>
      <c r="N344" s="295"/>
    </row>
    <row r="345" spans="1:14">
      <c r="A345" s="294"/>
      <c r="B345" s="158"/>
      <c r="C345" s="158"/>
      <c r="D345" s="158"/>
      <c r="E345" s="158"/>
      <c r="F345" s="158"/>
      <c r="G345" s="158"/>
      <c r="H345" s="329"/>
      <c r="I345" s="158"/>
      <c r="J345" s="158"/>
      <c r="K345" s="158"/>
      <c r="L345" s="158"/>
      <c r="M345" s="158"/>
      <c r="N345" s="295"/>
    </row>
    <row r="346" spans="1:14">
      <c r="A346" s="294"/>
      <c r="B346" s="158"/>
      <c r="C346" s="158"/>
      <c r="D346" s="158"/>
      <c r="E346" s="158"/>
      <c r="F346" s="158"/>
      <c r="G346" s="158"/>
      <c r="H346" s="329"/>
      <c r="I346" s="158"/>
      <c r="J346" s="158"/>
      <c r="K346" s="158"/>
      <c r="L346" s="158"/>
      <c r="M346" s="158"/>
      <c r="N346" s="295"/>
    </row>
    <row r="347" spans="1:14">
      <c r="A347" s="294"/>
      <c r="B347" s="158"/>
      <c r="C347" s="158"/>
      <c r="D347" s="158"/>
      <c r="E347" s="158"/>
      <c r="F347" s="158"/>
      <c r="G347" s="158"/>
      <c r="H347" s="329"/>
      <c r="I347" s="158"/>
      <c r="J347" s="158"/>
      <c r="K347" s="158"/>
      <c r="L347" s="158"/>
      <c r="M347" s="158"/>
      <c r="N347" s="295"/>
    </row>
    <row r="348" spans="1:14">
      <c r="A348" s="294"/>
      <c r="B348" s="158"/>
      <c r="C348" s="158"/>
      <c r="D348" s="158"/>
      <c r="E348" s="158"/>
      <c r="F348" s="158"/>
      <c r="G348" s="158"/>
      <c r="H348" s="329"/>
      <c r="I348" s="158"/>
      <c r="J348" s="158"/>
      <c r="K348" s="158"/>
      <c r="L348" s="158"/>
      <c r="M348" s="158"/>
      <c r="N348" s="295"/>
    </row>
    <row r="349" spans="1:14">
      <c r="A349" s="294"/>
      <c r="B349" s="158"/>
      <c r="C349" s="158"/>
      <c r="D349" s="158"/>
      <c r="E349" s="158"/>
      <c r="F349" s="158"/>
      <c r="G349" s="158"/>
      <c r="H349" s="329"/>
      <c r="I349" s="158"/>
      <c r="J349" s="158"/>
      <c r="K349" s="158"/>
      <c r="L349" s="158"/>
      <c r="M349" s="158"/>
      <c r="N349" s="295"/>
    </row>
    <row r="350" spans="1:14">
      <c r="A350" s="294"/>
      <c r="B350" s="158"/>
      <c r="C350" s="158"/>
      <c r="D350" s="158"/>
      <c r="E350" s="158"/>
      <c r="F350" s="158"/>
      <c r="G350" s="158"/>
      <c r="H350" s="329"/>
      <c r="I350" s="158"/>
      <c r="J350" s="158"/>
      <c r="K350" s="158"/>
      <c r="L350" s="158"/>
      <c r="M350" s="158"/>
      <c r="N350" s="295"/>
    </row>
    <row r="351" spans="1:14">
      <c r="A351" s="294"/>
      <c r="B351" s="158"/>
      <c r="C351" s="158"/>
      <c r="D351" s="158"/>
      <c r="E351" s="158"/>
      <c r="F351" s="158"/>
      <c r="G351" s="158"/>
      <c r="H351" s="329"/>
      <c r="I351" s="158"/>
      <c r="J351" s="158"/>
      <c r="K351" s="158"/>
      <c r="L351" s="158"/>
      <c r="M351" s="158"/>
      <c r="N351" s="295"/>
    </row>
    <row r="352" spans="1:14">
      <c r="A352" s="294"/>
      <c r="B352" s="158"/>
      <c r="C352" s="158"/>
      <c r="D352" s="158"/>
      <c r="E352" s="158"/>
      <c r="F352" s="158"/>
      <c r="G352" s="158"/>
      <c r="H352" s="329"/>
      <c r="I352" s="158"/>
      <c r="J352" s="158"/>
      <c r="K352" s="158"/>
      <c r="L352" s="158"/>
      <c r="M352" s="158"/>
      <c r="N352" s="295"/>
    </row>
    <row r="353" spans="1:14">
      <c r="A353" s="294"/>
      <c r="B353" s="158"/>
      <c r="C353" s="158"/>
      <c r="D353" s="158"/>
      <c r="E353" s="158"/>
      <c r="F353" s="158"/>
      <c r="G353" s="158"/>
      <c r="H353" s="329"/>
      <c r="I353" s="158"/>
      <c r="J353" s="158"/>
      <c r="K353" s="158"/>
      <c r="L353" s="158"/>
      <c r="M353" s="158"/>
      <c r="N353" s="295"/>
    </row>
    <row r="354" spans="1:14">
      <c r="A354" s="294"/>
      <c r="B354" s="158"/>
      <c r="C354" s="158"/>
      <c r="D354" s="158"/>
      <c r="E354" s="158"/>
      <c r="F354" s="158"/>
      <c r="G354" s="158"/>
      <c r="H354" s="329"/>
      <c r="I354" s="158"/>
      <c r="J354" s="158"/>
      <c r="K354" s="158"/>
      <c r="L354" s="158"/>
      <c r="M354" s="158"/>
      <c r="N354" s="295"/>
    </row>
    <row r="355" spans="1:14">
      <c r="A355" s="294"/>
      <c r="B355" s="158"/>
      <c r="C355" s="158"/>
      <c r="D355" s="158"/>
      <c r="E355" s="158"/>
      <c r="F355" s="158"/>
      <c r="G355" s="158"/>
      <c r="H355" s="329"/>
      <c r="I355" s="158"/>
      <c r="J355" s="158"/>
      <c r="K355" s="158"/>
      <c r="L355" s="158"/>
      <c r="M355" s="158"/>
      <c r="N355" s="295"/>
    </row>
    <row r="356" spans="1:14">
      <c r="A356" s="294"/>
      <c r="B356" s="158"/>
      <c r="C356" s="158"/>
      <c r="D356" s="158"/>
      <c r="E356" s="158"/>
      <c r="F356" s="158"/>
      <c r="G356" s="158"/>
      <c r="H356" s="329"/>
      <c r="I356" s="158"/>
      <c r="J356" s="158"/>
      <c r="K356" s="158"/>
      <c r="L356" s="158"/>
      <c r="M356" s="158"/>
      <c r="N356" s="295"/>
    </row>
    <row r="357" spans="1:14">
      <c r="A357" s="294"/>
      <c r="B357" s="158"/>
      <c r="C357" s="158"/>
      <c r="D357" s="158"/>
      <c r="E357" s="158"/>
      <c r="F357" s="158"/>
      <c r="G357" s="158"/>
      <c r="H357" s="329"/>
      <c r="I357" s="158"/>
      <c r="J357" s="158"/>
      <c r="K357" s="158"/>
      <c r="L357" s="158"/>
      <c r="M357" s="158"/>
      <c r="N357" s="295"/>
    </row>
    <row r="358" spans="1:14">
      <c r="A358" s="294"/>
      <c r="B358" s="158"/>
      <c r="C358" s="158"/>
      <c r="D358" s="158"/>
      <c r="E358" s="158"/>
      <c r="F358" s="158"/>
      <c r="G358" s="158"/>
      <c r="H358" s="329"/>
      <c r="I358" s="158"/>
      <c r="J358" s="158"/>
      <c r="K358" s="158"/>
      <c r="L358" s="158"/>
      <c r="M358" s="158"/>
      <c r="N358" s="295"/>
    </row>
    <row r="359" spans="1:14">
      <c r="A359" s="294"/>
      <c r="B359" s="158"/>
      <c r="C359" s="158"/>
      <c r="D359" s="158"/>
      <c r="E359" s="158"/>
      <c r="F359" s="158"/>
      <c r="G359" s="158"/>
      <c r="H359" s="329"/>
      <c r="I359" s="158"/>
      <c r="J359" s="158"/>
      <c r="K359" s="158"/>
      <c r="L359" s="158"/>
      <c r="M359" s="158"/>
      <c r="N359" s="295"/>
    </row>
    <row r="360" spans="1:14">
      <c r="A360" s="294"/>
      <c r="B360" s="158"/>
      <c r="C360" s="158"/>
      <c r="D360" s="158"/>
      <c r="E360" s="158"/>
      <c r="F360" s="158"/>
      <c r="G360" s="158"/>
      <c r="H360" s="329"/>
      <c r="I360" s="158"/>
      <c r="J360" s="158"/>
      <c r="K360" s="158"/>
      <c r="L360" s="158"/>
      <c r="M360" s="158"/>
      <c r="N360" s="295"/>
    </row>
    <row r="361" spans="1:14">
      <c r="A361" s="294"/>
      <c r="B361" s="158"/>
      <c r="C361" s="158"/>
      <c r="D361" s="158"/>
      <c r="E361" s="158"/>
      <c r="F361" s="158"/>
      <c r="G361" s="158"/>
      <c r="H361" s="329"/>
      <c r="I361" s="158"/>
      <c r="J361" s="158"/>
      <c r="K361" s="158"/>
      <c r="L361" s="158"/>
      <c r="M361" s="158"/>
      <c r="N361" s="295"/>
    </row>
    <row r="362" spans="1:14">
      <c r="A362" s="294"/>
      <c r="B362" s="158"/>
      <c r="C362" s="158"/>
      <c r="D362" s="158"/>
      <c r="E362" s="158"/>
      <c r="F362" s="158"/>
      <c r="G362" s="158"/>
      <c r="H362" s="329"/>
      <c r="I362" s="158"/>
      <c r="J362" s="158"/>
      <c r="K362" s="158"/>
      <c r="L362" s="158"/>
      <c r="M362" s="158"/>
      <c r="N362" s="295"/>
    </row>
    <row r="363" spans="1:14">
      <c r="A363" s="294"/>
      <c r="B363" s="158"/>
      <c r="C363" s="158"/>
      <c r="D363" s="158"/>
      <c r="E363" s="158"/>
      <c r="F363" s="158"/>
      <c r="G363" s="158"/>
      <c r="H363" s="329"/>
      <c r="I363" s="158"/>
      <c r="J363" s="158"/>
      <c r="K363" s="158"/>
      <c r="L363" s="158"/>
      <c r="M363" s="158"/>
      <c r="N363" s="295"/>
    </row>
    <row r="364" spans="1:14">
      <c r="A364" s="294"/>
      <c r="B364" s="158"/>
      <c r="C364" s="158"/>
      <c r="D364" s="158"/>
      <c r="E364" s="158"/>
      <c r="F364" s="158"/>
      <c r="G364" s="158"/>
      <c r="H364" s="329"/>
      <c r="I364" s="158"/>
      <c r="J364" s="158"/>
      <c r="K364" s="158"/>
      <c r="L364" s="158"/>
      <c r="M364" s="158"/>
      <c r="N364" s="295"/>
    </row>
    <row r="365" spans="1:14">
      <c r="A365" s="296"/>
      <c r="B365" s="297"/>
      <c r="C365" s="297"/>
      <c r="D365" s="297"/>
      <c r="E365" s="297"/>
      <c r="F365" s="297"/>
      <c r="G365" s="297"/>
      <c r="H365" s="330"/>
      <c r="I365" s="297"/>
      <c r="J365" s="297"/>
      <c r="K365" s="297"/>
      <c r="L365" s="297"/>
      <c r="M365" s="297"/>
      <c r="N365" s="298"/>
    </row>
    <row r="366" spans="1:14" ht="30" customHeight="1">
      <c r="A366" s="250" t="s">
        <v>1148</v>
      </c>
      <c r="B366" s="944" t="s">
        <v>1209</v>
      </c>
      <c r="C366" s="944"/>
      <c r="D366" s="944"/>
      <c r="E366" s="944"/>
      <c r="F366" s="944"/>
      <c r="G366" s="944"/>
      <c r="H366" s="944"/>
      <c r="I366" s="944"/>
      <c r="J366" s="944"/>
      <c r="K366" s="944"/>
      <c r="L366" s="944"/>
      <c r="M366" s="251"/>
      <c r="N366" s="252" t="s">
        <v>1149</v>
      </c>
    </row>
    <row r="367" spans="1:14">
      <c r="A367" s="299"/>
      <c r="B367" s="158"/>
      <c r="C367" s="158"/>
      <c r="D367" s="158"/>
      <c r="E367" s="158"/>
      <c r="F367" s="158"/>
      <c r="G367" s="158"/>
      <c r="H367" s="329"/>
      <c r="I367" s="158"/>
      <c r="J367" s="158"/>
      <c r="K367" s="158"/>
      <c r="L367" s="158"/>
      <c r="M367" s="158"/>
      <c r="N367" s="295"/>
    </row>
    <row r="368" spans="1:14">
      <c r="A368" s="299"/>
      <c r="B368" s="158"/>
      <c r="C368" s="158"/>
      <c r="D368" s="158"/>
      <c r="E368" s="158"/>
      <c r="F368" s="158"/>
      <c r="G368" s="158"/>
      <c r="H368" s="329"/>
      <c r="I368" s="158"/>
      <c r="J368" s="158"/>
      <c r="K368" s="158"/>
      <c r="L368" s="158"/>
      <c r="M368" s="158"/>
      <c r="N368" s="295"/>
    </row>
    <row r="369" spans="1:14">
      <c r="A369" s="299"/>
      <c r="B369" s="158"/>
      <c r="C369" s="158"/>
      <c r="D369" s="158"/>
      <c r="E369" s="158"/>
      <c r="F369" s="158"/>
      <c r="G369" s="158"/>
      <c r="H369" s="329"/>
      <c r="I369" s="158"/>
      <c r="J369" s="158"/>
      <c r="K369" s="158"/>
      <c r="L369" s="158"/>
      <c r="M369" s="158"/>
      <c r="N369" s="295"/>
    </row>
    <row r="370" spans="1:14" ht="14.4" customHeight="1">
      <c r="A370" s="299"/>
      <c r="B370" s="158"/>
      <c r="C370" s="158"/>
      <c r="D370" s="158"/>
      <c r="E370" s="158"/>
      <c r="F370" s="158"/>
      <c r="G370" s="158"/>
      <c r="H370" s="329"/>
      <c r="I370" s="158"/>
      <c r="J370" s="158"/>
      <c r="K370" s="158"/>
      <c r="L370" s="158"/>
      <c r="M370" s="158"/>
      <c r="N370" s="295"/>
    </row>
    <row r="371" spans="1:14" ht="13.95" customHeight="1">
      <c r="A371" s="299"/>
      <c r="B371" s="158"/>
      <c r="C371" s="158"/>
      <c r="D371" s="158"/>
      <c r="E371" s="158"/>
      <c r="F371" s="158"/>
      <c r="G371" s="158"/>
      <c r="H371" s="329"/>
      <c r="I371" s="158"/>
      <c r="J371" s="158"/>
      <c r="K371" s="158"/>
      <c r="L371" s="158"/>
      <c r="M371" s="158"/>
      <c r="N371" s="295"/>
    </row>
    <row r="372" spans="1:14" ht="14.4" customHeight="1">
      <c r="A372" s="299"/>
      <c r="B372" s="158"/>
      <c r="C372" s="158"/>
      <c r="D372" s="158"/>
      <c r="E372" s="158"/>
      <c r="F372" s="158"/>
      <c r="G372" s="158"/>
      <c r="H372" s="329"/>
      <c r="I372" s="158"/>
      <c r="J372" s="158"/>
      <c r="K372" s="158"/>
      <c r="L372" s="158"/>
      <c r="M372" s="158"/>
      <c r="N372" s="295"/>
    </row>
    <row r="373" spans="1:14">
      <c r="A373" s="299"/>
      <c r="B373" s="158"/>
      <c r="C373" s="158"/>
      <c r="D373" s="158"/>
      <c r="E373" s="158"/>
      <c r="F373" s="158"/>
      <c r="G373" s="158"/>
      <c r="H373" s="329"/>
      <c r="I373" s="158"/>
      <c r="J373" s="158"/>
      <c r="K373" s="158"/>
      <c r="L373" s="158"/>
      <c r="M373" s="158"/>
      <c r="N373" s="295"/>
    </row>
    <row r="374" spans="1:14">
      <c r="A374" s="299"/>
      <c r="B374" s="158"/>
      <c r="C374" s="158"/>
      <c r="D374" s="158"/>
      <c r="E374" s="158"/>
      <c r="F374" s="158"/>
      <c r="G374" s="158"/>
      <c r="H374" s="329"/>
      <c r="I374" s="158"/>
      <c r="J374" s="158"/>
      <c r="K374" s="158"/>
      <c r="L374" s="158"/>
      <c r="M374" s="158"/>
      <c r="N374" s="295"/>
    </row>
    <row r="375" spans="1:14" ht="13.2" customHeight="1">
      <c r="A375" s="299"/>
      <c r="B375" s="158"/>
      <c r="C375" s="158"/>
      <c r="D375" s="158"/>
      <c r="E375" s="158"/>
      <c r="F375" s="158"/>
      <c r="G375" s="158"/>
      <c r="H375" s="329"/>
      <c r="I375" s="158"/>
      <c r="J375" s="158"/>
      <c r="K375" s="158"/>
      <c r="L375" s="158"/>
      <c r="M375" s="158"/>
      <c r="N375" s="295"/>
    </row>
    <row r="376" spans="1:14">
      <c r="A376" s="299"/>
      <c r="B376" s="158"/>
      <c r="C376" s="158"/>
      <c r="D376" s="158"/>
      <c r="E376" s="158"/>
      <c r="F376" s="158"/>
      <c r="G376" s="158"/>
      <c r="H376" s="329"/>
      <c r="I376" s="158"/>
      <c r="J376" s="158"/>
      <c r="K376" s="158"/>
      <c r="L376" s="158"/>
      <c r="M376" s="158"/>
      <c r="N376" s="295"/>
    </row>
    <row r="377" spans="1:14">
      <c r="A377" s="299"/>
      <c r="B377" s="158"/>
      <c r="C377" s="158"/>
      <c r="D377" s="158"/>
      <c r="E377" s="158"/>
      <c r="F377" s="158"/>
      <c r="G377" s="158"/>
      <c r="H377" s="329"/>
      <c r="I377" s="158"/>
      <c r="J377" s="158"/>
      <c r="K377" s="158"/>
      <c r="L377" s="158"/>
      <c r="M377" s="158"/>
      <c r="N377" s="295"/>
    </row>
    <row r="378" spans="1:14">
      <c r="A378" s="299"/>
      <c r="B378" s="158"/>
      <c r="C378" s="158"/>
      <c r="D378" s="158"/>
      <c r="E378" s="158"/>
      <c r="F378" s="158"/>
      <c r="G378" s="158"/>
      <c r="H378" s="329"/>
      <c r="I378" s="158"/>
      <c r="J378" s="158"/>
      <c r="K378" s="158"/>
      <c r="L378" s="158"/>
      <c r="M378" s="158"/>
      <c r="N378" s="295"/>
    </row>
    <row r="379" spans="1:14">
      <c r="A379" s="299"/>
      <c r="B379" s="158"/>
      <c r="C379" s="158"/>
      <c r="D379" s="158"/>
      <c r="E379" s="158"/>
      <c r="F379" s="158"/>
      <c r="G379" s="158"/>
      <c r="H379" s="329"/>
      <c r="I379" s="158"/>
      <c r="J379" s="158"/>
      <c r="K379" s="158"/>
      <c r="L379" s="158"/>
      <c r="M379" s="158"/>
      <c r="N379" s="295"/>
    </row>
    <row r="380" spans="1:14">
      <c r="A380" s="299"/>
      <c r="B380" s="158"/>
      <c r="C380" s="158"/>
      <c r="D380" s="158"/>
      <c r="E380" s="158"/>
      <c r="F380" s="158"/>
      <c r="G380" s="158"/>
      <c r="H380" s="329"/>
      <c r="I380" s="158"/>
      <c r="J380" s="158"/>
      <c r="K380" s="158"/>
      <c r="L380" s="158"/>
      <c r="M380" s="158"/>
      <c r="N380" s="295"/>
    </row>
    <row r="381" spans="1:14">
      <c r="A381" s="299"/>
      <c r="B381" s="158"/>
      <c r="C381" s="158"/>
      <c r="D381" s="158"/>
      <c r="E381" s="158"/>
      <c r="F381" s="158"/>
      <c r="G381" s="158"/>
      <c r="H381" s="329"/>
      <c r="I381" s="158"/>
      <c r="J381" s="158"/>
      <c r="K381" s="158"/>
      <c r="L381" s="158"/>
      <c r="M381" s="158"/>
      <c r="N381" s="295"/>
    </row>
    <row r="382" spans="1:14" ht="13.95" customHeight="1">
      <c r="A382" s="299"/>
      <c r="B382" s="158"/>
      <c r="C382" s="158"/>
      <c r="D382" s="158"/>
      <c r="E382" s="158"/>
      <c r="F382" s="158"/>
      <c r="G382" s="158"/>
      <c r="H382" s="329"/>
      <c r="I382" s="158"/>
      <c r="J382" s="158"/>
      <c r="K382" s="158"/>
      <c r="L382" s="158"/>
      <c r="M382" s="158"/>
      <c r="N382" s="295"/>
    </row>
    <row r="383" spans="1:14" ht="13.95" customHeight="1">
      <c r="A383" s="299"/>
      <c r="B383" s="158"/>
      <c r="C383" s="158"/>
      <c r="D383" s="158"/>
      <c r="E383" s="158"/>
      <c r="F383" s="158"/>
      <c r="G383" s="158"/>
      <c r="H383" s="329"/>
      <c r="I383" s="158"/>
      <c r="J383" s="158"/>
      <c r="K383" s="158"/>
      <c r="L383" s="158"/>
      <c r="M383" s="158"/>
      <c r="N383" s="295"/>
    </row>
    <row r="384" spans="1:14" ht="13.95" customHeight="1">
      <c r="A384" s="299"/>
      <c r="B384" s="158"/>
      <c r="C384" s="158"/>
      <c r="D384" s="158"/>
      <c r="E384" s="158"/>
      <c r="F384" s="158"/>
      <c r="G384" s="158"/>
      <c r="H384" s="329"/>
      <c r="I384" s="158"/>
      <c r="J384" s="158"/>
      <c r="K384" s="158"/>
      <c r="L384" s="158"/>
      <c r="M384" s="158"/>
      <c r="N384" s="295"/>
    </row>
    <row r="385" spans="1:14" ht="13.95" customHeight="1">
      <c r="A385" s="299"/>
      <c r="B385" s="158"/>
      <c r="C385" s="158"/>
      <c r="D385" s="158"/>
      <c r="E385" s="158"/>
      <c r="F385" s="158"/>
      <c r="G385" s="158"/>
      <c r="H385" s="329"/>
      <c r="I385" s="158"/>
      <c r="J385" s="158"/>
      <c r="K385" s="158"/>
      <c r="L385" s="158"/>
      <c r="M385" s="158"/>
      <c r="N385" s="295"/>
    </row>
    <row r="386" spans="1:14" ht="13.95" customHeight="1">
      <c r="A386" s="299"/>
      <c r="B386" s="158"/>
      <c r="C386" s="158"/>
      <c r="D386" s="158"/>
      <c r="E386" s="158"/>
      <c r="F386" s="158"/>
      <c r="G386" s="158"/>
      <c r="H386" s="329"/>
      <c r="I386" s="158"/>
      <c r="J386" s="158"/>
      <c r="K386" s="158"/>
      <c r="L386" s="158"/>
      <c r="M386" s="158"/>
      <c r="N386" s="295"/>
    </row>
    <row r="387" spans="1:14" ht="13.95" customHeight="1">
      <c r="A387" s="299"/>
      <c r="B387" s="158"/>
      <c r="C387" s="158"/>
      <c r="D387" s="158"/>
      <c r="E387" s="158"/>
      <c r="F387" s="158"/>
      <c r="G387" s="158"/>
      <c r="H387" s="329"/>
      <c r="I387" s="158"/>
      <c r="J387" s="158"/>
      <c r="K387" s="158"/>
      <c r="L387" s="158"/>
      <c r="M387" s="158"/>
      <c r="N387" s="295"/>
    </row>
    <row r="388" spans="1:14" ht="13.95" customHeight="1">
      <c r="A388" s="299"/>
      <c r="B388" s="158"/>
      <c r="C388" s="158"/>
      <c r="D388" s="158"/>
      <c r="E388" s="158"/>
      <c r="F388" s="158"/>
      <c r="G388" s="158"/>
      <c r="H388" s="329"/>
      <c r="I388" s="158"/>
      <c r="J388" s="158"/>
      <c r="K388" s="158"/>
      <c r="L388" s="158"/>
      <c r="M388" s="158"/>
      <c r="N388" s="295"/>
    </row>
    <row r="389" spans="1:14" ht="13.95" customHeight="1">
      <c r="A389" s="299"/>
      <c r="B389" s="158"/>
      <c r="C389" s="158"/>
      <c r="D389" s="158"/>
      <c r="E389" s="158"/>
      <c r="F389" s="158"/>
      <c r="G389" s="158"/>
      <c r="H389" s="329"/>
      <c r="I389" s="158"/>
      <c r="J389" s="158"/>
      <c r="K389" s="158"/>
      <c r="L389" s="158"/>
      <c r="M389" s="158"/>
      <c r="N389" s="295"/>
    </row>
    <row r="390" spans="1:14" ht="13.95" customHeight="1">
      <c r="A390" s="299"/>
      <c r="B390" s="158"/>
      <c r="C390" s="158"/>
      <c r="D390" s="158"/>
      <c r="E390" s="158"/>
      <c r="F390" s="158"/>
      <c r="G390" s="158"/>
      <c r="H390" s="329"/>
      <c r="I390" s="158"/>
      <c r="J390" s="158"/>
      <c r="K390" s="158"/>
      <c r="L390" s="158"/>
      <c r="M390" s="158"/>
      <c r="N390" s="295"/>
    </row>
    <row r="391" spans="1:14" ht="13.95" customHeight="1">
      <c r="A391" s="299"/>
      <c r="B391" s="158"/>
      <c r="C391" s="158"/>
      <c r="D391" s="158"/>
      <c r="E391" s="158"/>
      <c r="F391" s="158"/>
      <c r="G391" s="158"/>
      <c r="H391" s="329"/>
      <c r="I391" s="158"/>
      <c r="J391" s="158"/>
      <c r="K391" s="158"/>
      <c r="L391" s="158"/>
      <c r="M391" s="158"/>
      <c r="N391" s="295"/>
    </row>
    <row r="392" spans="1:14" ht="13.95" customHeight="1">
      <c r="A392" s="299"/>
      <c r="B392" s="158"/>
      <c r="C392" s="158"/>
      <c r="D392" s="158"/>
      <c r="E392" s="158"/>
      <c r="F392" s="158"/>
      <c r="G392" s="158"/>
      <c r="H392" s="329"/>
      <c r="I392" s="158"/>
      <c r="J392" s="158"/>
      <c r="K392" s="158"/>
      <c r="L392" s="158"/>
      <c r="M392" s="158"/>
      <c r="N392" s="295"/>
    </row>
    <row r="393" spans="1:14" ht="13.95" customHeight="1">
      <c r="A393" s="299"/>
      <c r="B393" s="158"/>
      <c r="C393" s="158"/>
      <c r="D393" s="158"/>
      <c r="E393" s="158"/>
      <c r="F393" s="158"/>
      <c r="G393" s="158"/>
      <c r="H393" s="329"/>
      <c r="I393" s="158"/>
      <c r="J393" s="158"/>
      <c r="K393" s="158"/>
      <c r="L393" s="158"/>
      <c r="M393" s="158"/>
      <c r="N393" s="295"/>
    </row>
    <row r="394" spans="1:14" ht="13.95" customHeight="1">
      <c r="A394" s="299"/>
      <c r="B394" s="158"/>
      <c r="C394" s="158"/>
      <c r="D394" s="158"/>
      <c r="E394" s="158"/>
      <c r="F394" s="158"/>
      <c r="G394" s="158"/>
      <c r="H394" s="329"/>
      <c r="I394" s="158"/>
      <c r="J394" s="158"/>
      <c r="K394" s="158"/>
      <c r="L394" s="158"/>
      <c r="M394" s="158"/>
      <c r="N394" s="295"/>
    </row>
    <row r="395" spans="1:14" ht="13.95" customHeight="1">
      <c r="A395" s="299"/>
      <c r="B395" s="158"/>
      <c r="C395" s="158"/>
      <c r="D395" s="158"/>
      <c r="E395" s="158"/>
      <c r="F395" s="158"/>
      <c r="G395" s="158"/>
      <c r="H395" s="329"/>
      <c r="I395" s="158"/>
      <c r="J395" s="158"/>
      <c r="K395" s="158"/>
      <c r="L395" s="158"/>
      <c r="M395" s="158"/>
      <c r="N395" s="295"/>
    </row>
    <row r="396" spans="1:14" ht="13.95" customHeight="1">
      <c r="A396" s="299"/>
      <c r="B396" s="158"/>
      <c r="C396" s="158"/>
      <c r="D396" s="158"/>
      <c r="E396" s="158"/>
      <c r="F396" s="158"/>
      <c r="G396" s="158"/>
      <c r="H396" s="329"/>
      <c r="I396" s="158"/>
      <c r="J396" s="158"/>
      <c r="K396" s="158"/>
      <c r="L396" s="158"/>
      <c r="M396" s="158"/>
      <c r="N396" s="295"/>
    </row>
    <row r="397" spans="1:14" ht="13.95" customHeight="1">
      <c r="A397" s="299"/>
      <c r="B397" s="158"/>
      <c r="C397" s="158"/>
      <c r="D397" s="158"/>
      <c r="E397" s="158"/>
      <c r="F397" s="158"/>
      <c r="G397" s="158"/>
      <c r="H397" s="329"/>
      <c r="I397" s="158"/>
      <c r="J397" s="158"/>
      <c r="K397" s="158"/>
      <c r="L397" s="158"/>
      <c r="M397" s="158"/>
      <c r="N397" s="295"/>
    </row>
    <row r="398" spans="1:14" ht="13.95" customHeight="1">
      <c r="A398" s="299"/>
      <c r="B398" s="158"/>
      <c r="C398" s="158"/>
      <c r="D398" s="158"/>
      <c r="E398" s="158"/>
      <c r="F398" s="158"/>
      <c r="G398" s="158"/>
      <c r="H398" s="329"/>
      <c r="I398" s="158"/>
      <c r="J398" s="158"/>
      <c r="K398" s="158"/>
      <c r="L398" s="158"/>
      <c r="M398" s="158"/>
      <c r="N398" s="295"/>
    </row>
    <row r="399" spans="1:14" ht="13.95" customHeight="1">
      <c r="A399" s="299"/>
      <c r="B399" s="158"/>
      <c r="C399" s="158"/>
      <c r="D399" s="158"/>
      <c r="E399" s="158"/>
      <c r="F399" s="158"/>
      <c r="G399" s="158"/>
      <c r="H399" s="329"/>
      <c r="I399" s="158"/>
      <c r="J399" s="158"/>
      <c r="K399" s="158"/>
      <c r="L399" s="158"/>
      <c r="M399" s="158"/>
      <c r="N399" s="295"/>
    </row>
    <row r="400" spans="1:14" ht="13.95" customHeight="1">
      <c r="A400" s="299"/>
      <c r="B400" s="158"/>
      <c r="C400" s="158"/>
      <c r="D400" s="158"/>
      <c r="E400" s="158"/>
      <c r="F400" s="158"/>
      <c r="G400" s="158"/>
      <c r="H400" s="329"/>
      <c r="I400" s="158"/>
      <c r="J400" s="158"/>
      <c r="K400" s="158"/>
      <c r="L400" s="158"/>
      <c r="M400" s="158"/>
      <c r="N400" s="295"/>
    </row>
    <row r="401" spans="1:14" ht="13.95" customHeight="1">
      <c r="A401" s="299"/>
      <c r="B401" s="158"/>
      <c r="C401" s="158"/>
      <c r="D401" s="158"/>
      <c r="E401" s="158"/>
      <c r="F401" s="158"/>
      <c r="G401" s="158"/>
      <c r="H401" s="329"/>
      <c r="I401" s="158"/>
      <c r="J401" s="158"/>
      <c r="K401" s="158"/>
      <c r="L401" s="158"/>
      <c r="M401" s="158"/>
      <c r="N401" s="295"/>
    </row>
    <row r="402" spans="1:14" ht="13.95" customHeight="1">
      <c r="A402" s="299"/>
      <c r="B402" s="158"/>
      <c r="C402" s="158"/>
      <c r="D402" s="158"/>
      <c r="E402" s="158"/>
      <c r="F402" s="158"/>
      <c r="G402" s="158"/>
      <c r="H402" s="329"/>
      <c r="I402" s="158"/>
      <c r="J402" s="158"/>
      <c r="K402" s="158"/>
      <c r="L402" s="158"/>
      <c r="M402" s="158"/>
      <c r="N402" s="295"/>
    </row>
    <row r="403" spans="1:14">
      <c r="A403" s="299"/>
      <c r="B403" s="158"/>
      <c r="C403" s="158"/>
      <c r="D403" s="158"/>
      <c r="E403" s="158"/>
      <c r="F403" s="158"/>
      <c r="G403" s="158"/>
      <c r="H403" s="329"/>
      <c r="I403" s="158"/>
      <c r="J403" s="158"/>
      <c r="K403" s="158"/>
      <c r="L403" s="158"/>
      <c r="M403" s="158"/>
      <c r="N403" s="295"/>
    </row>
    <row r="404" spans="1:14" ht="14.4" customHeight="1">
      <c r="A404" s="299"/>
      <c r="B404" s="158"/>
      <c r="C404" s="158"/>
      <c r="D404" s="158"/>
      <c r="E404" s="158"/>
      <c r="F404" s="158"/>
      <c r="G404" s="158"/>
      <c r="H404" s="329"/>
      <c r="I404" s="158"/>
      <c r="J404" s="158"/>
      <c r="K404" s="158"/>
      <c r="L404" s="158"/>
      <c r="M404" s="158"/>
      <c r="N404" s="295"/>
    </row>
    <row r="405" spans="1:14" ht="13.95" customHeight="1">
      <c r="A405" s="299"/>
      <c r="B405" s="158"/>
      <c r="C405" s="158"/>
      <c r="D405" s="158"/>
      <c r="E405" s="158"/>
      <c r="F405" s="158"/>
      <c r="G405" s="158"/>
      <c r="H405" s="329"/>
      <c r="I405" s="158"/>
      <c r="J405" s="158"/>
      <c r="K405" s="158"/>
      <c r="L405" s="158"/>
      <c r="M405" s="158"/>
      <c r="N405" s="295"/>
    </row>
    <row r="406" spans="1:14" ht="14.4" customHeight="1">
      <c r="A406" s="299"/>
      <c r="B406" s="158"/>
      <c r="C406" s="158"/>
      <c r="D406" s="158"/>
      <c r="E406" s="158"/>
      <c r="F406" s="158"/>
      <c r="G406" s="158"/>
      <c r="H406" s="329"/>
      <c r="I406" s="158"/>
      <c r="J406" s="158"/>
      <c r="K406" s="158"/>
      <c r="L406" s="158"/>
      <c r="M406" s="158"/>
      <c r="N406" s="295"/>
    </row>
    <row r="407" spans="1:14" ht="14.4" customHeight="1">
      <c r="A407" s="299"/>
      <c r="B407" s="158"/>
      <c r="C407" s="158"/>
      <c r="D407" s="158"/>
      <c r="E407" s="158"/>
      <c r="F407" s="158"/>
      <c r="G407" s="158"/>
      <c r="H407" s="329"/>
      <c r="I407" s="158"/>
      <c r="J407" s="158"/>
      <c r="K407" s="158"/>
      <c r="L407" s="158"/>
      <c r="M407" s="158"/>
      <c r="N407" s="295"/>
    </row>
    <row r="408" spans="1:14" ht="13.95" customHeight="1">
      <c r="A408" s="299"/>
      <c r="B408" s="158"/>
      <c r="C408" s="158"/>
      <c r="D408" s="158"/>
      <c r="E408" s="158"/>
      <c r="F408" s="158"/>
      <c r="G408" s="158"/>
      <c r="H408" s="329"/>
      <c r="I408" s="158"/>
      <c r="J408" s="158"/>
      <c r="K408" s="158"/>
      <c r="L408" s="158"/>
      <c r="M408" s="158"/>
      <c r="N408" s="295"/>
    </row>
    <row r="409" spans="1:14" ht="14.4" customHeight="1">
      <c r="A409" s="299"/>
      <c r="B409" s="158"/>
      <c r="C409" s="158"/>
      <c r="D409" s="158"/>
      <c r="E409" s="158"/>
      <c r="F409" s="158"/>
      <c r="G409" s="158"/>
      <c r="H409" s="329"/>
      <c r="I409" s="158"/>
      <c r="J409" s="158"/>
      <c r="K409" s="158"/>
      <c r="L409" s="158"/>
      <c r="M409" s="158"/>
      <c r="N409" s="295"/>
    </row>
    <row r="410" spans="1:14">
      <c r="A410" s="299"/>
      <c r="B410" s="158"/>
      <c r="C410" s="158"/>
      <c r="D410" s="158"/>
      <c r="E410" s="158"/>
      <c r="F410" s="158"/>
      <c r="G410" s="158"/>
      <c r="H410" s="329"/>
      <c r="I410" s="158"/>
      <c r="J410" s="158"/>
      <c r="K410" s="158"/>
      <c r="L410" s="158"/>
      <c r="M410" s="158"/>
      <c r="N410" s="295"/>
    </row>
    <row r="411" spans="1:14">
      <c r="A411" s="299"/>
      <c r="B411" s="158"/>
      <c r="C411" s="158"/>
      <c r="D411" s="158"/>
      <c r="E411" s="158"/>
      <c r="F411" s="158"/>
      <c r="G411" s="158"/>
      <c r="H411" s="329"/>
      <c r="I411" s="158"/>
      <c r="J411" s="158"/>
      <c r="K411" s="158"/>
      <c r="L411" s="158"/>
      <c r="M411" s="158"/>
      <c r="N411" s="295"/>
    </row>
    <row r="412" spans="1:14">
      <c r="A412" s="300"/>
      <c r="B412" s="297"/>
      <c r="C412" s="297"/>
      <c r="D412" s="297"/>
      <c r="E412" s="297"/>
      <c r="F412" s="297"/>
      <c r="G412" s="297"/>
      <c r="H412" s="330"/>
      <c r="I412" s="297"/>
      <c r="J412" s="297"/>
      <c r="K412" s="297"/>
      <c r="L412" s="297"/>
      <c r="M412" s="297"/>
      <c r="N412" s="298"/>
    </row>
    <row r="413" spans="1:14" ht="30" customHeight="1">
      <c r="A413" s="301" t="s">
        <v>1148</v>
      </c>
      <c r="B413" s="945" t="s">
        <v>1170</v>
      </c>
      <c r="C413" s="945"/>
      <c r="D413" s="945"/>
      <c r="E413" s="945"/>
      <c r="F413" s="945"/>
      <c r="G413" s="945"/>
      <c r="H413" s="945"/>
      <c r="I413" s="945"/>
      <c r="J413" s="945"/>
      <c r="K413" s="945"/>
      <c r="L413" s="945"/>
      <c r="M413" s="302"/>
      <c r="N413" s="303" t="s">
        <v>1149</v>
      </c>
    </row>
    <row r="414" spans="1:14">
      <c r="A414" s="304"/>
      <c r="B414" s="305"/>
      <c r="C414" s="305"/>
      <c r="D414" s="305"/>
      <c r="E414" s="305"/>
      <c r="F414" s="305"/>
      <c r="G414" s="305"/>
      <c r="H414" s="331"/>
      <c r="I414" s="305"/>
      <c r="J414" s="305"/>
      <c r="K414" s="305"/>
      <c r="L414" s="305"/>
      <c r="M414" s="305"/>
      <c r="N414" s="306"/>
    </row>
    <row r="415" spans="1:14">
      <c r="A415" s="304"/>
      <c r="B415" s="305"/>
      <c r="C415" s="305"/>
      <c r="D415" s="305"/>
      <c r="E415" s="305"/>
      <c r="F415" s="305"/>
      <c r="G415" s="305"/>
      <c r="H415" s="331"/>
      <c r="I415" s="305"/>
      <c r="J415" s="305"/>
      <c r="K415" s="305"/>
      <c r="L415" s="305"/>
      <c r="M415" s="305"/>
      <c r="N415" s="306"/>
    </row>
    <row r="416" spans="1:14">
      <c r="A416" s="304"/>
      <c r="B416" s="305"/>
      <c r="C416" s="305"/>
      <c r="D416" s="305"/>
      <c r="E416" s="305"/>
      <c r="F416" s="305"/>
      <c r="G416" s="305"/>
      <c r="H416" s="331"/>
      <c r="I416" s="305"/>
      <c r="J416" s="305"/>
      <c r="K416" s="305"/>
      <c r="L416" s="305"/>
      <c r="M416" s="305"/>
      <c r="N416" s="306"/>
    </row>
    <row r="417" spans="1:14">
      <c r="A417" s="304"/>
      <c r="B417" s="305"/>
      <c r="C417" s="305"/>
      <c r="D417" s="305"/>
      <c r="E417" s="305"/>
      <c r="F417" s="305"/>
      <c r="G417" s="305"/>
      <c r="H417" s="331"/>
      <c r="I417" s="305"/>
      <c r="J417" s="305"/>
      <c r="K417" s="305"/>
      <c r="L417" s="305"/>
      <c r="M417" s="305"/>
      <c r="N417" s="306"/>
    </row>
    <row r="418" spans="1:14">
      <c r="A418" s="304"/>
      <c r="B418" s="305"/>
      <c r="C418" s="305"/>
      <c r="D418" s="305"/>
      <c r="E418" s="305"/>
      <c r="F418" s="305"/>
      <c r="G418" s="305"/>
      <c r="H418" s="331"/>
      <c r="I418" s="305"/>
      <c r="J418" s="305"/>
      <c r="K418" s="305"/>
      <c r="L418" s="305"/>
      <c r="M418" s="305"/>
      <c r="N418" s="306"/>
    </row>
    <row r="419" spans="1:14" ht="13.95" customHeight="1">
      <c r="A419" s="304"/>
      <c r="B419" s="305"/>
      <c r="C419" s="305"/>
      <c r="D419" s="305"/>
      <c r="E419" s="305"/>
      <c r="F419" s="305"/>
      <c r="G419" s="305"/>
      <c r="H419" s="331"/>
      <c r="I419" s="305"/>
      <c r="J419" s="305"/>
      <c r="K419" s="305"/>
      <c r="L419" s="305"/>
      <c r="M419" s="305"/>
      <c r="N419" s="306"/>
    </row>
    <row r="420" spans="1:14">
      <c r="A420" s="304"/>
      <c r="B420" s="305"/>
      <c r="C420" s="305"/>
      <c r="D420" s="305"/>
      <c r="E420" s="305"/>
      <c r="F420" s="305"/>
      <c r="G420" s="305"/>
      <c r="H420" s="331"/>
      <c r="I420" s="305"/>
      <c r="J420" s="305"/>
      <c r="K420" s="305"/>
      <c r="L420" s="305"/>
      <c r="M420" s="305"/>
      <c r="N420" s="306"/>
    </row>
    <row r="421" spans="1:14">
      <c r="A421" s="304"/>
      <c r="B421" s="305"/>
      <c r="C421" s="305"/>
      <c r="D421" s="305"/>
      <c r="E421" s="305"/>
      <c r="F421" s="305"/>
      <c r="G421" s="305"/>
      <c r="H421" s="331"/>
      <c r="I421" s="305"/>
      <c r="J421" s="305"/>
      <c r="K421" s="305"/>
      <c r="L421" s="305"/>
      <c r="M421" s="305"/>
      <c r="N421" s="306"/>
    </row>
    <row r="422" spans="1:14" ht="13.95" customHeight="1">
      <c r="A422" s="304"/>
      <c r="B422" s="305"/>
      <c r="C422" s="305"/>
      <c r="D422" s="305"/>
      <c r="E422" s="305"/>
      <c r="F422" s="305"/>
      <c r="G422" s="305"/>
      <c r="H422" s="331"/>
      <c r="I422" s="305"/>
      <c r="J422" s="305"/>
      <c r="K422" s="305"/>
      <c r="L422" s="305"/>
      <c r="M422" s="305"/>
      <c r="N422" s="306"/>
    </row>
    <row r="423" spans="1:14" ht="13.95" customHeight="1">
      <c r="A423" s="304"/>
      <c r="B423" s="305"/>
      <c r="C423" s="305"/>
      <c r="D423" s="305"/>
      <c r="E423" s="305"/>
      <c r="F423" s="305"/>
      <c r="G423" s="305"/>
      <c r="H423" s="331"/>
      <c r="I423" s="305"/>
      <c r="J423" s="305"/>
      <c r="K423" s="305"/>
      <c r="L423" s="305"/>
      <c r="M423" s="305"/>
      <c r="N423" s="306"/>
    </row>
    <row r="424" spans="1:14">
      <c r="A424" s="304"/>
      <c r="B424" s="305"/>
      <c r="C424" s="305"/>
      <c r="D424" s="305"/>
      <c r="E424" s="305"/>
      <c r="F424" s="305"/>
      <c r="G424" s="305"/>
      <c r="H424" s="331"/>
      <c r="I424" s="305"/>
      <c r="J424" s="305"/>
      <c r="K424" s="305"/>
      <c r="L424" s="305"/>
      <c r="M424" s="305"/>
      <c r="N424" s="306"/>
    </row>
    <row r="425" spans="1:14">
      <c r="A425" s="304"/>
      <c r="B425" s="305"/>
      <c r="C425" s="305"/>
      <c r="D425" s="305"/>
      <c r="E425" s="305"/>
      <c r="F425" s="305"/>
      <c r="G425" s="305"/>
      <c r="H425" s="331"/>
      <c r="I425" s="305"/>
      <c r="J425" s="305"/>
      <c r="K425" s="305"/>
      <c r="L425" s="305"/>
      <c r="M425" s="305"/>
      <c r="N425" s="306"/>
    </row>
    <row r="426" spans="1:14" ht="13.95" customHeight="1">
      <c r="A426" s="304"/>
      <c r="B426" s="305"/>
      <c r="C426" s="305"/>
      <c r="D426" s="305"/>
      <c r="E426" s="305"/>
      <c r="F426" s="305"/>
      <c r="G426" s="305"/>
      <c r="H426" s="331"/>
      <c r="I426" s="305"/>
      <c r="J426" s="305"/>
      <c r="K426" s="305"/>
      <c r="L426" s="305"/>
      <c r="M426" s="305"/>
      <c r="N426" s="306"/>
    </row>
    <row r="427" spans="1:14" ht="13.95" customHeight="1">
      <c r="A427" s="304"/>
      <c r="B427" s="305"/>
      <c r="C427" s="305"/>
      <c r="D427" s="305"/>
      <c r="E427" s="305"/>
      <c r="F427" s="305"/>
      <c r="G427" s="305"/>
      <c r="H427" s="331"/>
      <c r="I427" s="305"/>
      <c r="J427" s="305"/>
      <c r="K427" s="305"/>
      <c r="L427" s="305"/>
      <c r="M427" s="305"/>
      <c r="N427" s="306"/>
    </row>
    <row r="428" spans="1:14">
      <c r="A428" s="304"/>
      <c r="B428" s="305"/>
      <c r="C428" s="305"/>
      <c r="D428" s="305"/>
      <c r="E428" s="305"/>
      <c r="F428" s="305"/>
      <c r="G428" s="305"/>
      <c r="H428" s="331"/>
      <c r="I428" s="305"/>
      <c r="J428" s="305"/>
      <c r="K428" s="305"/>
      <c r="L428" s="305"/>
      <c r="M428" s="305"/>
      <c r="N428" s="306"/>
    </row>
    <row r="429" spans="1:14">
      <c r="A429" s="304"/>
      <c r="B429" s="305"/>
      <c r="C429" s="305"/>
      <c r="D429" s="305"/>
      <c r="E429" s="305"/>
      <c r="F429" s="305"/>
      <c r="G429" s="305"/>
      <c r="H429" s="331"/>
      <c r="I429" s="305"/>
      <c r="J429" s="305"/>
      <c r="K429" s="305"/>
      <c r="L429" s="305"/>
      <c r="M429" s="305"/>
      <c r="N429" s="306"/>
    </row>
    <row r="430" spans="1:14" ht="13.95" customHeight="1">
      <c r="A430" s="304"/>
      <c r="B430" s="305"/>
      <c r="C430" s="305"/>
      <c r="D430" s="305"/>
      <c r="E430" s="305"/>
      <c r="F430" s="305"/>
      <c r="G430" s="305"/>
      <c r="H430" s="331"/>
      <c r="I430" s="305"/>
      <c r="J430" s="305"/>
      <c r="K430" s="305"/>
      <c r="L430" s="305"/>
      <c r="M430" s="305"/>
      <c r="N430" s="306"/>
    </row>
    <row r="431" spans="1:14" ht="13.95" customHeight="1">
      <c r="A431" s="304"/>
      <c r="B431" s="305"/>
      <c r="C431" s="305"/>
      <c r="D431" s="305"/>
      <c r="E431" s="305"/>
      <c r="F431" s="305"/>
      <c r="G431" s="305"/>
      <c r="H431" s="331"/>
      <c r="I431" s="305"/>
      <c r="J431" s="305"/>
      <c r="K431" s="305"/>
      <c r="L431" s="305"/>
      <c r="M431" s="305"/>
      <c r="N431" s="306"/>
    </row>
    <row r="432" spans="1:14">
      <c r="A432" s="304"/>
      <c r="B432" s="305"/>
      <c r="C432" s="305"/>
      <c r="D432" s="305"/>
      <c r="E432" s="305"/>
      <c r="F432" s="305"/>
      <c r="G432" s="305"/>
      <c r="H432" s="331"/>
      <c r="I432" s="305"/>
      <c r="J432" s="305"/>
      <c r="K432" s="305"/>
      <c r="L432" s="305"/>
      <c r="M432" s="305"/>
      <c r="N432" s="306"/>
    </row>
    <row r="433" spans="1:14">
      <c r="A433" s="304"/>
      <c r="B433" s="305"/>
      <c r="C433" s="305"/>
      <c r="D433" s="305"/>
      <c r="E433" s="305"/>
      <c r="F433" s="305"/>
      <c r="G433" s="305"/>
      <c r="H433" s="331"/>
      <c r="I433" s="305"/>
      <c r="J433" s="305"/>
      <c r="K433" s="305"/>
      <c r="L433" s="305"/>
      <c r="M433" s="305"/>
      <c r="N433" s="306"/>
    </row>
    <row r="434" spans="1:14" ht="13.95" customHeight="1">
      <c r="A434" s="304"/>
      <c r="B434" s="305"/>
      <c r="C434" s="305"/>
      <c r="D434" s="305"/>
      <c r="E434" s="305"/>
      <c r="F434" s="305"/>
      <c r="G434" s="305"/>
      <c r="H434" s="331"/>
      <c r="I434" s="305"/>
      <c r="J434" s="305"/>
      <c r="K434" s="305"/>
      <c r="L434" s="305"/>
      <c r="M434" s="305"/>
      <c r="N434" s="306"/>
    </row>
    <row r="435" spans="1:14" ht="13.95" customHeight="1">
      <c r="A435" s="304"/>
      <c r="B435" s="305"/>
      <c r="C435" s="305"/>
      <c r="D435" s="305"/>
      <c r="E435" s="305"/>
      <c r="F435" s="305"/>
      <c r="G435" s="305"/>
      <c r="H435" s="331"/>
      <c r="I435" s="305"/>
      <c r="J435" s="305"/>
      <c r="K435" s="305"/>
      <c r="L435" s="305"/>
      <c r="M435" s="305"/>
      <c r="N435" s="306"/>
    </row>
    <row r="436" spans="1:14">
      <c r="A436" s="304"/>
      <c r="B436" s="305"/>
      <c r="C436" s="305"/>
      <c r="D436" s="305"/>
      <c r="E436" s="305"/>
      <c r="F436" s="305"/>
      <c r="G436" s="305"/>
      <c r="H436" s="331"/>
      <c r="I436" s="305"/>
      <c r="J436" s="305"/>
      <c r="K436" s="305"/>
      <c r="L436" s="305"/>
      <c r="M436" s="305"/>
      <c r="N436" s="306"/>
    </row>
    <row r="437" spans="1:14">
      <c r="A437" s="304"/>
      <c r="B437" s="305"/>
      <c r="C437" s="305"/>
      <c r="D437" s="305"/>
      <c r="E437" s="305"/>
      <c r="F437" s="305"/>
      <c r="G437" s="305"/>
      <c r="H437" s="331"/>
      <c r="I437" s="305"/>
      <c r="J437" s="305"/>
      <c r="K437" s="305"/>
      <c r="L437" s="305"/>
      <c r="M437" s="305"/>
      <c r="N437" s="306"/>
    </row>
    <row r="438" spans="1:14" ht="13.95" customHeight="1">
      <c r="A438" s="304"/>
      <c r="B438" s="305"/>
      <c r="C438" s="305"/>
      <c r="D438" s="305"/>
      <c r="E438" s="305"/>
      <c r="F438" s="305"/>
      <c r="G438" s="305"/>
      <c r="H438" s="331"/>
      <c r="I438" s="305"/>
      <c r="J438" s="305"/>
      <c r="K438" s="305"/>
      <c r="L438" s="305"/>
      <c r="M438" s="305"/>
      <c r="N438" s="306"/>
    </row>
    <row r="439" spans="1:14">
      <c r="A439" s="304"/>
      <c r="B439" s="305"/>
      <c r="C439" s="305"/>
      <c r="D439" s="305"/>
      <c r="E439" s="305"/>
      <c r="F439" s="305"/>
      <c r="G439" s="305"/>
      <c r="H439" s="331"/>
      <c r="I439" s="305"/>
      <c r="J439" s="305"/>
      <c r="K439" s="305"/>
      <c r="L439" s="305"/>
      <c r="M439" s="305"/>
      <c r="N439" s="306"/>
    </row>
    <row r="440" spans="1:14" ht="13.95" customHeight="1">
      <c r="A440" s="304"/>
      <c r="B440" s="305"/>
      <c r="C440" s="305"/>
      <c r="D440" s="305"/>
      <c r="E440" s="305"/>
      <c r="F440" s="305"/>
      <c r="G440" s="305"/>
      <c r="H440" s="331"/>
      <c r="I440" s="305"/>
      <c r="J440" s="305"/>
      <c r="K440" s="305"/>
      <c r="L440" s="305"/>
      <c r="M440" s="305"/>
      <c r="N440" s="306"/>
    </row>
    <row r="441" spans="1:14">
      <c r="A441" s="304"/>
      <c r="B441" s="305"/>
      <c r="C441" s="305"/>
      <c r="D441" s="305"/>
      <c r="E441" s="305"/>
      <c r="F441" s="305"/>
      <c r="G441" s="305"/>
      <c r="H441" s="331"/>
      <c r="I441" s="305"/>
      <c r="J441" s="305"/>
      <c r="K441" s="305"/>
      <c r="L441" s="305"/>
      <c r="M441" s="305"/>
      <c r="N441" s="306"/>
    </row>
    <row r="442" spans="1:14">
      <c r="A442" s="304"/>
      <c r="B442" s="305"/>
      <c r="C442" s="305"/>
      <c r="D442" s="305"/>
      <c r="E442" s="305"/>
      <c r="F442" s="305"/>
      <c r="G442" s="305"/>
      <c r="H442" s="331"/>
      <c r="I442" s="305"/>
      <c r="J442" s="305"/>
      <c r="K442" s="305"/>
      <c r="L442" s="305"/>
      <c r="M442" s="305"/>
      <c r="N442" s="306"/>
    </row>
    <row r="443" spans="1:14">
      <c r="A443" s="304"/>
      <c r="B443" s="305"/>
      <c r="C443" s="305"/>
      <c r="D443" s="305"/>
      <c r="E443" s="305"/>
      <c r="F443" s="305"/>
      <c r="G443" s="305"/>
      <c r="H443" s="331"/>
      <c r="I443" s="305"/>
      <c r="J443" s="305"/>
      <c r="K443" s="305"/>
      <c r="L443" s="305"/>
      <c r="M443" s="305"/>
      <c r="N443" s="306"/>
    </row>
    <row r="444" spans="1:14" ht="13.95" customHeight="1">
      <c r="A444" s="304"/>
      <c r="B444" s="305"/>
      <c r="C444" s="305"/>
      <c r="D444" s="305"/>
      <c r="E444" s="305"/>
      <c r="F444" s="305"/>
      <c r="G444" s="305"/>
      <c r="H444" s="331"/>
      <c r="I444" s="305"/>
      <c r="J444" s="305"/>
      <c r="K444" s="305"/>
      <c r="L444" s="305"/>
      <c r="M444" s="305"/>
      <c r="N444" s="306"/>
    </row>
    <row r="445" spans="1:14">
      <c r="A445" s="304"/>
      <c r="B445" s="305"/>
      <c r="C445" s="305"/>
      <c r="D445" s="305"/>
      <c r="E445" s="305"/>
      <c r="F445" s="305"/>
      <c r="G445" s="305"/>
      <c r="H445" s="331"/>
      <c r="I445" s="305"/>
      <c r="J445" s="305"/>
      <c r="K445" s="305"/>
      <c r="L445" s="305"/>
      <c r="M445" s="305"/>
      <c r="N445" s="306"/>
    </row>
    <row r="446" spans="1:14">
      <c r="A446" s="304"/>
      <c r="B446" s="305"/>
      <c r="C446" s="305"/>
      <c r="D446" s="305"/>
      <c r="E446" s="305"/>
      <c r="F446" s="305"/>
      <c r="G446" s="305"/>
      <c r="H446" s="331"/>
      <c r="I446" s="305"/>
      <c r="J446" s="305"/>
      <c r="K446" s="305"/>
      <c r="L446" s="305"/>
      <c r="M446" s="305"/>
      <c r="N446" s="306"/>
    </row>
    <row r="447" spans="1:14">
      <c r="A447" s="304"/>
      <c r="B447" s="305"/>
      <c r="C447" s="305"/>
      <c r="D447" s="305"/>
      <c r="E447" s="305"/>
      <c r="F447" s="305"/>
      <c r="G447" s="305"/>
      <c r="H447" s="331"/>
      <c r="I447" s="305"/>
      <c r="J447" s="305"/>
      <c r="K447" s="305"/>
      <c r="L447" s="305"/>
      <c r="M447" s="305"/>
      <c r="N447" s="306"/>
    </row>
    <row r="448" spans="1:14" ht="13.95" customHeight="1">
      <c r="A448" s="304"/>
      <c r="B448" s="305"/>
      <c r="C448" s="305"/>
      <c r="D448" s="305"/>
      <c r="E448" s="305"/>
      <c r="F448" s="305"/>
      <c r="G448" s="305"/>
      <c r="H448" s="331"/>
      <c r="I448" s="305"/>
      <c r="J448" s="305"/>
      <c r="K448" s="305"/>
      <c r="L448" s="305"/>
      <c r="M448" s="305"/>
      <c r="N448" s="306"/>
    </row>
    <row r="449" spans="1:14">
      <c r="A449" s="304"/>
      <c r="B449" s="305"/>
      <c r="C449" s="305"/>
      <c r="D449" s="305"/>
      <c r="E449" s="305"/>
      <c r="F449" s="305"/>
      <c r="G449" s="305"/>
      <c r="H449" s="331"/>
      <c r="I449" s="305"/>
      <c r="J449" s="305"/>
      <c r="K449" s="305"/>
      <c r="L449" s="305"/>
      <c r="M449" s="305"/>
      <c r="N449" s="306"/>
    </row>
    <row r="450" spans="1:14">
      <c r="A450" s="304"/>
      <c r="B450" s="305"/>
      <c r="C450" s="305"/>
      <c r="D450" s="305"/>
      <c r="E450" s="305"/>
      <c r="F450" s="305"/>
      <c r="G450" s="305"/>
      <c r="H450" s="331"/>
      <c r="I450" s="305"/>
      <c r="J450" s="305"/>
      <c r="K450" s="305"/>
      <c r="L450" s="305"/>
      <c r="M450" s="305"/>
      <c r="N450" s="306"/>
    </row>
    <row r="451" spans="1:14">
      <c r="A451" s="304"/>
      <c r="B451" s="305"/>
      <c r="C451" s="305"/>
      <c r="D451" s="305"/>
      <c r="E451" s="305"/>
      <c r="F451" s="305"/>
      <c r="G451" s="305"/>
      <c r="H451" s="331"/>
      <c r="I451" s="305"/>
      <c r="J451" s="305"/>
      <c r="K451" s="305"/>
      <c r="L451" s="305"/>
      <c r="M451" s="305"/>
      <c r="N451" s="306"/>
    </row>
    <row r="452" spans="1:14" ht="13.95" customHeight="1">
      <c r="A452" s="304"/>
      <c r="B452" s="305"/>
      <c r="C452" s="305"/>
      <c r="D452" s="305"/>
      <c r="E452" s="305"/>
      <c r="F452" s="305"/>
      <c r="G452" s="305"/>
      <c r="H452" s="331"/>
      <c r="I452" s="305"/>
      <c r="J452" s="305"/>
      <c r="K452" s="305"/>
      <c r="L452" s="305"/>
      <c r="M452" s="305"/>
      <c r="N452" s="306"/>
    </row>
    <row r="453" spans="1:14">
      <c r="A453" s="304"/>
      <c r="B453" s="305"/>
      <c r="C453" s="305"/>
      <c r="D453" s="305"/>
      <c r="E453" s="305"/>
      <c r="F453" s="305"/>
      <c r="G453" s="305"/>
      <c r="H453" s="331"/>
      <c r="I453" s="305"/>
      <c r="J453" s="305"/>
      <c r="K453" s="305"/>
      <c r="L453" s="305"/>
      <c r="M453" s="305"/>
      <c r="N453" s="306"/>
    </row>
    <row r="454" spans="1:14">
      <c r="A454" s="304"/>
      <c r="B454" s="305"/>
      <c r="C454" s="305"/>
      <c r="D454" s="305"/>
      <c r="E454" s="305"/>
      <c r="F454" s="305"/>
      <c r="G454" s="305"/>
      <c r="H454" s="331"/>
      <c r="I454" s="305"/>
      <c r="J454" s="305"/>
      <c r="K454" s="305"/>
      <c r="L454" s="305"/>
      <c r="M454" s="305"/>
      <c r="N454" s="306"/>
    </row>
    <row r="455" spans="1:14">
      <c r="A455" s="304"/>
      <c r="B455" s="305"/>
      <c r="C455" s="305"/>
      <c r="D455" s="305"/>
      <c r="E455" s="305"/>
      <c r="F455" s="305"/>
      <c r="G455" s="305"/>
      <c r="H455" s="331"/>
      <c r="I455" s="305"/>
      <c r="J455" s="305"/>
      <c r="K455" s="305"/>
      <c r="L455" s="305"/>
      <c r="M455" s="305"/>
      <c r="N455" s="306"/>
    </row>
    <row r="456" spans="1:14" ht="13.95" customHeight="1">
      <c r="A456" s="304"/>
      <c r="B456" s="305"/>
      <c r="C456" s="305"/>
      <c r="D456" s="305"/>
      <c r="E456" s="305"/>
      <c r="F456" s="305"/>
      <c r="G456" s="305"/>
      <c r="H456" s="331"/>
      <c r="I456" s="305"/>
      <c r="J456" s="305"/>
      <c r="K456" s="305"/>
      <c r="L456" s="305"/>
      <c r="M456" s="305"/>
      <c r="N456" s="306"/>
    </row>
    <row r="457" spans="1:14" ht="13.95" customHeight="1">
      <c r="A457" s="304"/>
      <c r="B457" s="305"/>
      <c r="C457" s="305"/>
      <c r="D457" s="305"/>
      <c r="E457" s="305"/>
      <c r="F457" s="305"/>
      <c r="G457" s="305"/>
      <c r="H457" s="331"/>
      <c r="I457" s="305"/>
      <c r="J457" s="305"/>
      <c r="K457" s="305"/>
      <c r="L457" s="305"/>
      <c r="M457" s="305"/>
      <c r="N457" s="306"/>
    </row>
    <row r="458" spans="1:14">
      <c r="A458" s="304"/>
      <c r="B458" s="305"/>
      <c r="C458" s="305"/>
      <c r="D458" s="305"/>
      <c r="E458" s="305"/>
      <c r="F458" s="305"/>
      <c r="G458" s="305"/>
      <c r="H458" s="331"/>
      <c r="I458" s="305"/>
      <c r="J458" s="305"/>
      <c r="K458" s="305"/>
      <c r="L458" s="305"/>
      <c r="M458" s="305"/>
      <c r="N458" s="306"/>
    </row>
    <row r="459" spans="1:14">
      <c r="A459" s="307"/>
      <c r="B459" s="308"/>
      <c r="C459" s="308"/>
      <c r="D459" s="308"/>
      <c r="E459" s="308"/>
      <c r="F459" s="308"/>
      <c r="G459" s="308"/>
      <c r="H459" s="332"/>
      <c r="I459" s="308"/>
      <c r="J459" s="308"/>
      <c r="K459" s="308"/>
      <c r="L459" s="308"/>
      <c r="M459" s="308"/>
      <c r="N459" s="309"/>
    </row>
    <row r="460" spans="1:14" ht="30" customHeight="1">
      <c r="A460" s="250" t="s">
        <v>1148</v>
      </c>
      <c r="B460" s="944" t="s">
        <v>1131</v>
      </c>
      <c r="C460" s="944"/>
      <c r="D460" s="944"/>
      <c r="E460" s="944"/>
      <c r="F460" s="944"/>
      <c r="G460" s="944"/>
      <c r="H460" s="944"/>
      <c r="I460" s="944"/>
      <c r="J460" s="944"/>
      <c r="K460" s="944"/>
      <c r="L460" s="944"/>
      <c r="M460" s="251"/>
      <c r="N460" s="252" t="s">
        <v>1149</v>
      </c>
    </row>
    <row r="461" spans="1:14">
      <c r="A461" s="299"/>
      <c r="B461" s="158"/>
      <c r="C461" s="158"/>
      <c r="D461" s="158"/>
      <c r="E461" s="158"/>
      <c r="F461" s="158"/>
      <c r="G461" s="158"/>
      <c r="H461" s="329"/>
      <c r="I461" s="158"/>
      <c r="J461" s="158"/>
      <c r="K461" s="158"/>
      <c r="L461" s="158"/>
      <c r="M461" s="158"/>
      <c r="N461" s="295"/>
    </row>
    <row r="462" spans="1:14">
      <c r="A462" s="299"/>
      <c r="B462" s="158"/>
      <c r="C462" s="158"/>
      <c r="D462" s="158"/>
      <c r="E462" s="158"/>
      <c r="F462" s="158"/>
      <c r="G462" s="158"/>
      <c r="H462" s="329"/>
      <c r="I462" s="158"/>
      <c r="J462" s="158"/>
      <c r="K462" s="158"/>
      <c r="L462" s="158"/>
      <c r="M462" s="158"/>
      <c r="N462" s="295"/>
    </row>
    <row r="463" spans="1:14">
      <c r="A463" s="299"/>
      <c r="B463" s="158"/>
      <c r="C463" s="158"/>
      <c r="D463" s="158"/>
      <c r="E463" s="158"/>
      <c r="F463" s="158"/>
      <c r="G463" s="158"/>
      <c r="H463" s="329"/>
      <c r="I463" s="158"/>
      <c r="J463" s="158"/>
      <c r="K463" s="158"/>
      <c r="L463" s="158"/>
      <c r="M463" s="158"/>
      <c r="N463" s="295"/>
    </row>
    <row r="464" spans="1:14">
      <c r="A464" s="299"/>
      <c r="B464" s="158"/>
      <c r="C464" s="158"/>
      <c r="D464" s="158"/>
      <c r="E464" s="158"/>
      <c r="F464" s="158"/>
      <c r="G464" s="158"/>
      <c r="H464" s="329"/>
      <c r="I464" s="158"/>
      <c r="J464" s="158"/>
      <c r="K464" s="158"/>
      <c r="L464" s="158"/>
      <c r="M464" s="158"/>
      <c r="N464" s="295"/>
    </row>
    <row r="465" spans="1:14">
      <c r="A465" s="299"/>
      <c r="B465" s="158"/>
      <c r="C465" s="158"/>
      <c r="D465" s="158"/>
      <c r="E465" s="158"/>
      <c r="F465" s="158"/>
      <c r="G465" s="158"/>
      <c r="H465" s="329"/>
      <c r="I465" s="158"/>
      <c r="J465" s="158"/>
      <c r="K465" s="158"/>
      <c r="L465" s="158"/>
      <c r="M465" s="158"/>
      <c r="N465" s="295"/>
    </row>
    <row r="466" spans="1:14" ht="13.95" customHeight="1">
      <c r="A466" s="299"/>
      <c r="B466" s="158"/>
      <c r="C466" s="158"/>
      <c r="D466" s="158"/>
      <c r="E466" s="158"/>
      <c r="F466" s="158"/>
      <c r="G466" s="158"/>
      <c r="H466" s="329"/>
      <c r="I466" s="158"/>
      <c r="J466" s="158"/>
      <c r="K466" s="158"/>
      <c r="L466" s="158"/>
      <c r="M466" s="158"/>
      <c r="N466" s="295"/>
    </row>
    <row r="467" spans="1:14">
      <c r="A467" s="299"/>
      <c r="B467" s="158"/>
      <c r="C467" s="158"/>
      <c r="D467" s="158"/>
      <c r="E467" s="158"/>
      <c r="F467" s="158"/>
      <c r="G467" s="158"/>
      <c r="H467" s="329"/>
      <c r="I467" s="158"/>
      <c r="J467" s="158"/>
      <c r="K467" s="158"/>
      <c r="L467" s="158"/>
      <c r="M467" s="158"/>
      <c r="N467" s="295"/>
    </row>
    <row r="468" spans="1:14">
      <c r="A468" s="299"/>
      <c r="B468" s="158"/>
      <c r="C468" s="158"/>
      <c r="D468" s="158"/>
      <c r="E468" s="158"/>
      <c r="F468" s="158"/>
      <c r="G468" s="158"/>
      <c r="H468" s="329"/>
      <c r="I468" s="158"/>
      <c r="J468" s="158"/>
      <c r="K468" s="158"/>
      <c r="L468" s="158"/>
      <c r="M468" s="158"/>
      <c r="N468" s="295"/>
    </row>
    <row r="469" spans="1:14">
      <c r="A469" s="299"/>
      <c r="B469" s="158"/>
      <c r="C469" s="158"/>
      <c r="D469" s="158"/>
      <c r="E469" s="158"/>
      <c r="F469" s="158"/>
      <c r="G469" s="158"/>
      <c r="H469" s="329"/>
      <c r="I469" s="158"/>
      <c r="J469" s="158"/>
      <c r="K469" s="158"/>
      <c r="L469" s="158"/>
      <c r="M469" s="158"/>
      <c r="N469" s="295"/>
    </row>
    <row r="470" spans="1:14" ht="13.95" customHeight="1">
      <c r="A470" s="299"/>
      <c r="B470" s="158"/>
      <c r="C470" s="158"/>
      <c r="D470" s="158"/>
      <c r="E470" s="158"/>
      <c r="F470" s="158"/>
      <c r="G470" s="158"/>
      <c r="H470" s="329"/>
      <c r="I470" s="158"/>
      <c r="J470" s="158"/>
      <c r="K470" s="158"/>
      <c r="L470" s="158"/>
      <c r="M470" s="158"/>
      <c r="N470" s="295"/>
    </row>
    <row r="471" spans="1:14">
      <c r="A471" s="299"/>
      <c r="B471" s="158"/>
      <c r="C471" s="158"/>
      <c r="D471" s="158"/>
      <c r="E471" s="158"/>
      <c r="F471" s="158"/>
      <c r="G471" s="158"/>
      <c r="H471" s="329"/>
      <c r="I471" s="158"/>
      <c r="J471" s="158"/>
      <c r="K471" s="158"/>
      <c r="L471" s="158"/>
      <c r="M471" s="158"/>
      <c r="N471" s="295"/>
    </row>
    <row r="472" spans="1:14">
      <c r="A472" s="299"/>
      <c r="B472" s="158"/>
      <c r="C472" s="158"/>
      <c r="D472" s="158"/>
      <c r="E472" s="158"/>
      <c r="F472" s="158"/>
      <c r="G472" s="158"/>
      <c r="H472" s="329"/>
      <c r="I472" s="158"/>
      <c r="J472" s="158"/>
      <c r="K472" s="158"/>
      <c r="L472" s="158"/>
      <c r="M472" s="158"/>
      <c r="N472" s="295"/>
    </row>
    <row r="473" spans="1:14">
      <c r="A473" s="299"/>
      <c r="B473" s="158"/>
      <c r="C473" s="158"/>
      <c r="D473" s="158"/>
      <c r="E473" s="158"/>
      <c r="F473" s="158"/>
      <c r="G473" s="158"/>
      <c r="H473" s="329"/>
      <c r="I473" s="158"/>
      <c r="J473" s="158"/>
      <c r="K473" s="158"/>
      <c r="L473" s="158"/>
      <c r="M473" s="158"/>
      <c r="N473" s="295"/>
    </row>
    <row r="474" spans="1:14" ht="13.95" customHeight="1">
      <c r="A474" s="299"/>
      <c r="B474" s="158"/>
      <c r="C474" s="158"/>
      <c r="D474" s="158"/>
      <c r="E474" s="158"/>
      <c r="F474" s="158"/>
      <c r="G474" s="158"/>
      <c r="H474" s="329"/>
      <c r="I474" s="158"/>
      <c r="J474" s="158"/>
      <c r="K474" s="158"/>
      <c r="L474" s="158"/>
      <c r="M474" s="158"/>
      <c r="N474" s="295"/>
    </row>
    <row r="475" spans="1:14">
      <c r="A475" s="299"/>
      <c r="B475" s="158"/>
      <c r="C475" s="158"/>
      <c r="D475" s="158"/>
      <c r="E475" s="158"/>
      <c r="F475" s="158"/>
      <c r="G475" s="158"/>
      <c r="H475" s="329"/>
      <c r="I475" s="158"/>
      <c r="J475" s="158"/>
      <c r="K475" s="158"/>
      <c r="L475" s="158"/>
      <c r="M475" s="158"/>
      <c r="N475" s="295"/>
    </row>
    <row r="476" spans="1:14">
      <c r="A476" s="299"/>
      <c r="B476" s="158"/>
      <c r="C476" s="158"/>
      <c r="D476" s="158"/>
      <c r="E476" s="158"/>
      <c r="F476" s="158"/>
      <c r="G476" s="158"/>
      <c r="H476" s="329"/>
      <c r="I476" s="158"/>
      <c r="J476" s="158"/>
      <c r="K476" s="158"/>
      <c r="L476" s="158"/>
      <c r="M476" s="158"/>
      <c r="N476" s="295"/>
    </row>
    <row r="477" spans="1:14">
      <c r="A477" s="299"/>
      <c r="B477" s="158"/>
      <c r="C477" s="158"/>
      <c r="D477" s="158"/>
      <c r="E477" s="158"/>
      <c r="F477" s="158"/>
      <c r="G477" s="158"/>
      <c r="H477" s="329"/>
      <c r="I477" s="158"/>
      <c r="J477" s="158"/>
      <c r="K477" s="158"/>
      <c r="L477" s="158"/>
      <c r="M477" s="158"/>
      <c r="N477" s="295"/>
    </row>
    <row r="478" spans="1:14" ht="13.95" customHeight="1">
      <c r="A478" s="299"/>
      <c r="B478" s="158"/>
      <c r="C478" s="158"/>
      <c r="D478" s="158"/>
      <c r="E478" s="158"/>
      <c r="F478" s="158"/>
      <c r="G478" s="158"/>
      <c r="H478" s="329"/>
      <c r="I478" s="158"/>
      <c r="J478" s="158"/>
      <c r="K478" s="158"/>
      <c r="L478" s="158"/>
      <c r="M478" s="158"/>
      <c r="N478" s="295"/>
    </row>
    <row r="479" spans="1:14">
      <c r="A479" s="299"/>
      <c r="B479" s="158"/>
      <c r="C479" s="158"/>
      <c r="D479" s="158"/>
      <c r="E479" s="158"/>
      <c r="F479" s="158"/>
      <c r="G479" s="158"/>
      <c r="H479" s="329"/>
      <c r="I479" s="158"/>
      <c r="J479" s="158"/>
      <c r="K479" s="158"/>
      <c r="L479" s="158"/>
      <c r="M479" s="158"/>
      <c r="N479" s="295"/>
    </row>
    <row r="480" spans="1:14">
      <c r="A480" s="299"/>
      <c r="B480" s="158"/>
      <c r="C480" s="158"/>
      <c r="D480" s="158"/>
      <c r="E480" s="158"/>
      <c r="F480" s="158"/>
      <c r="G480" s="158"/>
      <c r="H480" s="329"/>
      <c r="I480" s="158"/>
      <c r="J480" s="158"/>
      <c r="K480" s="158"/>
      <c r="L480" s="158"/>
      <c r="M480" s="158"/>
      <c r="N480" s="295"/>
    </row>
    <row r="481" spans="1:14">
      <c r="A481" s="299"/>
      <c r="B481" s="158"/>
      <c r="C481" s="158"/>
      <c r="D481" s="158"/>
      <c r="E481" s="158"/>
      <c r="F481" s="158"/>
      <c r="G481" s="158"/>
      <c r="H481" s="329"/>
      <c r="I481" s="158"/>
      <c r="J481" s="158"/>
      <c r="K481" s="158"/>
      <c r="L481" s="158"/>
      <c r="M481" s="158"/>
      <c r="N481" s="295"/>
    </row>
    <row r="482" spans="1:14" ht="13.95" customHeight="1">
      <c r="A482" s="299"/>
      <c r="B482" s="158"/>
      <c r="C482" s="158"/>
      <c r="D482" s="158"/>
      <c r="E482" s="158"/>
      <c r="F482" s="158"/>
      <c r="G482" s="158"/>
      <c r="H482" s="329"/>
      <c r="I482" s="158"/>
      <c r="J482" s="158"/>
      <c r="K482" s="158"/>
      <c r="L482" s="158"/>
      <c r="M482" s="158"/>
      <c r="N482" s="295"/>
    </row>
    <row r="483" spans="1:14">
      <c r="A483" s="299"/>
      <c r="B483" s="158"/>
      <c r="C483" s="158"/>
      <c r="D483" s="158"/>
      <c r="E483" s="158"/>
      <c r="F483" s="158"/>
      <c r="G483" s="158"/>
      <c r="H483" s="329"/>
      <c r="I483" s="158"/>
      <c r="J483" s="158"/>
      <c r="K483" s="158"/>
      <c r="L483" s="158"/>
      <c r="M483" s="158"/>
      <c r="N483" s="295"/>
    </row>
    <row r="484" spans="1:14">
      <c r="A484" s="299"/>
      <c r="B484" s="158"/>
      <c r="C484" s="158"/>
      <c r="D484" s="158"/>
      <c r="E484" s="158"/>
      <c r="F484" s="158"/>
      <c r="G484" s="158"/>
      <c r="H484" s="329"/>
      <c r="I484" s="158"/>
      <c r="J484" s="158"/>
      <c r="K484" s="158"/>
      <c r="L484" s="158"/>
      <c r="M484" s="158"/>
      <c r="N484" s="295"/>
    </row>
    <row r="485" spans="1:14">
      <c r="A485" s="299"/>
      <c r="B485" s="158"/>
      <c r="C485" s="158"/>
      <c r="D485" s="158"/>
      <c r="E485" s="158"/>
      <c r="F485" s="158"/>
      <c r="G485" s="158"/>
      <c r="H485" s="329"/>
      <c r="I485" s="158"/>
      <c r="J485" s="158"/>
      <c r="K485" s="158"/>
      <c r="L485" s="158"/>
      <c r="M485" s="158"/>
      <c r="N485" s="295"/>
    </row>
    <row r="486" spans="1:14">
      <c r="A486" s="299"/>
      <c r="B486" s="158"/>
      <c r="C486" s="158"/>
      <c r="D486" s="158"/>
      <c r="E486" s="158"/>
      <c r="F486" s="158"/>
      <c r="G486" s="158"/>
      <c r="H486" s="329"/>
      <c r="I486" s="158"/>
      <c r="J486" s="158"/>
      <c r="K486" s="158"/>
      <c r="L486" s="158"/>
      <c r="M486" s="158"/>
      <c r="N486" s="295"/>
    </row>
    <row r="487" spans="1:14" ht="13.95" customHeight="1">
      <c r="A487" s="299"/>
      <c r="B487" s="158"/>
      <c r="C487" s="158"/>
      <c r="D487" s="158"/>
      <c r="E487" s="158"/>
      <c r="F487" s="158"/>
      <c r="G487" s="158"/>
      <c r="H487" s="329"/>
      <c r="I487" s="158"/>
      <c r="J487" s="158"/>
      <c r="K487" s="158"/>
      <c r="L487" s="158"/>
      <c r="M487" s="158"/>
      <c r="N487" s="295"/>
    </row>
    <row r="488" spans="1:14">
      <c r="A488" s="299"/>
      <c r="B488" s="158"/>
      <c r="C488" s="158"/>
      <c r="D488" s="158"/>
      <c r="E488" s="158"/>
      <c r="F488" s="158"/>
      <c r="G488" s="158"/>
      <c r="H488" s="329"/>
      <c r="I488" s="158"/>
      <c r="J488" s="158"/>
      <c r="K488" s="158"/>
      <c r="L488" s="158"/>
      <c r="M488" s="158"/>
      <c r="N488" s="295"/>
    </row>
    <row r="489" spans="1:14">
      <c r="A489" s="299"/>
      <c r="B489" s="158"/>
      <c r="C489" s="158"/>
      <c r="D489" s="158"/>
      <c r="E489" s="158"/>
      <c r="F489" s="158"/>
      <c r="G489" s="158"/>
      <c r="H489" s="329"/>
      <c r="I489" s="158"/>
      <c r="J489" s="158"/>
      <c r="K489" s="158"/>
      <c r="L489" s="158"/>
      <c r="M489" s="158"/>
      <c r="N489" s="295"/>
    </row>
    <row r="490" spans="1:14">
      <c r="A490" s="299"/>
      <c r="B490" s="158"/>
      <c r="C490" s="158"/>
      <c r="D490" s="158"/>
      <c r="E490" s="158"/>
      <c r="F490" s="158"/>
      <c r="G490" s="158"/>
      <c r="H490" s="329"/>
      <c r="I490" s="158"/>
      <c r="J490" s="158"/>
      <c r="K490" s="158"/>
      <c r="L490" s="158"/>
      <c r="M490" s="158"/>
      <c r="N490" s="295"/>
    </row>
    <row r="491" spans="1:14" ht="13.95" customHeight="1">
      <c r="A491" s="299"/>
      <c r="B491" s="158"/>
      <c r="C491" s="158"/>
      <c r="D491" s="158"/>
      <c r="E491" s="158"/>
      <c r="F491" s="158"/>
      <c r="G491" s="158"/>
      <c r="H491" s="329"/>
      <c r="I491" s="158"/>
      <c r="J491" s="158"/>
      <c r="K491" s="158"/>
      <c r="L491" s="158"/>
      <c r="M491" s="158"/>
      <c r="N491" s="295"/>
    </row>
    <row r="492" spans="1:14">
      <c r="A492" s="299"/>
      <c r="B492" s="158"/>
      <c r="C492" s="158"/>
      <c r="D492" s="158"/>
      <c r="E492" s="158"/>
      <c r="F492" s="158"/>
      <c r="G492" s="158"/>
      <c r="H492" s="329"/>
      <c r="I492" s="158"/>
      <c r="J492" s="158"/>
      <c r="K492" s="158"/>
      <c r="L492" s="158"/>
      <c r="M492" s="158"/>
      <c r="N492" s="295"/>
    </row>
    <row r="493" spans="1:14">
      <c r="A493" s="299"/>
      <c r="B493" s="158"/>
      <c r="C493" s="158"/>
      <c r="D493" s="158"/>
      <c r="E493" s="158"/>
      <c r="F493" s="158"/>
      <c r="G493" s="158"/>
      <c r="H493" s="329"/>
      <c r="I493" s="158"/>
      <c r="J493" s="158"/>
      <c r="K493" s="158"/>
      <c r="L493" s="158"/>
      <c r="M493" s="158"/>
      <c r="N493" s="295"/>
    </row>
    <row r="494" spans="1:14">
      <c r="A494" s="299"/>
      <c r="B494" s="158"/>
      <c r="C494" s="158"/>
      <c r="D494" s="158"/>
      <c r="E494" s="158"/>
      <c r="F494" s="158"/>
      <c r="G494" s="158"/>
      <c r="H494" s="329"/>
      <c r="I494" s="158"/>
      <c r="J494" s="158"/>
      <c r="K494" s="158"/>
      <c r="L494" s="158"/>
      <c r="M494" s="158"/>
      <c r="N494" s="295"/>
    </row>
    <row r="495" spans="1:14" ht="13.95" customHeight="1">
      <c r="A495" s="299"/>
      <c r="B495" s="158"/>
      <c r="C495" s="158"/>
      <c r="D495" s="158"/>
      <c r="E495" s="158"/>
      <c r="F495" s="158"/>
      <c r="G495" s="158"/>
      <c r="H495" s="329"/>
      <c r="I495" s="158"/>
      <c r="J495" s="158"/>
      <c r="K495" s="158"/>
      <c r="L495" s="158"/>
      <c r="M495" s="158"/>
      <c r="N495" s="295"/>
    </row>
    <row r="496" spans="1:14">
      <c r="A496" s="299"/>
      <c r="B496" s="158"/>
      <c r="C496" s="158"/>
      <c r="D496" s="158"/>
      <c r="E496" s="158"/>
      <c r="F496" s="158"/>
      <c r="G496" s="158"/>
      <c r="H496" s="329"/>
      <c r="I496" s="158"/>
      <c r="J496" s="158"/>
      <c r="K496" s="158"/>
      <c r="L496" s="158"/>
      <c r="M496" s="158"/>
      <c r="N496" s="295"/>
    </row>
    <row r="497" spans="1:14">
      <c r="A497" s="299"/>
      <c r="B497" s="158"/>
      <c r="C497" s="158"/>
      <c r="D497" s="158"/>
      <c r="E497" s="158"/>
      <c r="F497" s="158"/>
      <c r="G497" s="158"/>
      <c r="H497" s="329"/>
      <c r="I497" s="158"/>
      <c r="J497" s="158"/>
      <c r="K497" s="158"/>
      <c r="L497" s="158"/>
      <c r="M497" s="158"/>
      <c r="N497" s="295"/>
    </row>
    <row r="498" spans="1:14">
      <c r="A498" s="299"/>
      <c r="B498" s="158"/>
      <c r="C498" s="158"/>
      <c r="D498" s="158"/>
      <c r="E498" s="158"/>
      <c r="F498" s="158"/>
      <c r="G498" s="158"/>
      <c r="H498" s="329"/>
      <c r="I498" s="158"/>
      <c r="J498" s="158"/>
      <c r="K498" s="158"/>
      <c r="L498" s="158"/>
      <c r="M498" s="158"/>
      <c r="N498" s="295"/>
    </row>
    <row r="499" spans="1:14" ht="13.95" customHeight="1">
      <c r="A499" s="299"/>
      <c r="B499" s="158"/>
      <c r="C499" s="158"/>
      <c r="D499" s="158"/>
      <c r="E499" s="158"/>
      <c r="F499" s="158"/>
      <c r="G499" s="158"/>
      <c r="H499" s="329"/>
      <c r="I499" s="158"/>
      <c r="J499" s="158"/>
      <c r="K499" s="158"/>
      <c r="L499" s="158"/>
      <c r="M499" s="158"/>
      <c r="N499" s="295"/>
    </row>
    <row r="500" spans="1:14">
      <c r="A500" s="299"/>
      <c r="B500" s="158"/>
      <c r="C500" s="158"/>
      <c r="D500" s="158"/>
      <c r="E500" s="158"/>
      <c r="F500" s="158"/>
      <c r="G500" s="158"/>
      <c r="H500" s="329"/>
      <c r="I500" s="158"/>
      <c r="J500" s="158"/>
      <c r="K500" s="158"/>
      <c r="L500" s="158"/>
      <c r="M500" s="158"/>
      <c r="N500" s="295"/>
    </row>
    <row r="501" spans="1:14">
      <c r="A501" s="299"/>
      <c r="B501" s="158"/>
      <c r="C501" s="158"/>
      <c r="D501" s="158"/>
      <c r="E501" s="158"/>
      <c r="F501" s="158"/>
      <c r="G501" s="158"/>
      <c r="H501" s="329"/>
      <c r="I501" s="158"/>
      <c r="J501" s="158"/>
      <c r="K501" s="158"/>
      <c r="L501" s="158"/>
      <c r="M501" s="158"/>
      <c r="N501" s="295"/>
    </row>
    <row r="502" spans="1:14">
      <c r="A502" s="299"/>
      <c r="B502" s="158"/>
      <c r="C502" s="158"/>
      <c r="D502" s="158"/>
      <c r="E502" s="158"/>
      <c r="F502" s="158"/>
      <c r="G502" s="158"/>
      <c r="H502" s="329"/>
      <c r="I502" s="158"/>
      <c r="J502" s="158"/>
      <c r="K502" s="158"/>
      <c r="L502" s="158"/>
      <c r="M502" s="158"/>
      <c r="N502" s="295"/>
    </row>
    <row r="503" spans="1:14" ht="13.95" customHeight="1">
      <c r="A503" s="299"/>
      <c r="B503" s="158"/>
      <c r="C503" s="158"/>
      <c r="D503" s="158"/>
      <c r="E503" s="158"/>
      <c r="F503" s="158"/>
      <c r="G503" s="158"/>
      <c r="H503" s="329"/>
      <c r="I503" s="158"/>
      <c r="J503" s="158"/>
      <c r="K503" s="158"/>
      <c r="L503" s="158"/>
      <c r="M503" s="158"/>
      <c r="N503" s="295"/>
    </row>
    <row r="504" spans="1:14" ht="13.95" customHeight="1">
      <c r="A504" s="299"/>
      <c r="B504" s="158"/>
      <c r="C504" s="158"/>
      <c r="D504" s="158"/>
      <c r="E504" s="158"/>
      <c r="F504" s="158"/>
      <c r="G504" s="158"/>
      <c r="H504" s="329"/>
      <c r="I504" s="158"/>
      <c r="J504" s="158"/>
      <c r="K504" s="158"/>
      <c r="L504" s="158"/>
      <c r="M504" s="158"/>
      <c r="N504" s="295"/>
    </row>
    <row r="505" spans="1:14">
      <c r="A505" s="299"/>
      <c r="B505" s="158"/>
      <c r="C505" s="158"/>
      <c r="D505" s="158"/>
      <c r="E505" s="158"/>
      <c r="F505" s="158"/>
      <c r="G505" s="158"/>
      <c r="H505" s="329"/>
      <c r="I505" s="158"/>
      <c r="J505" s="158"/>
      <c r="K505" s="158"/>
      <c r="L505" s="158"/>
      <c r="M505" s="158"/>
      <c r="N505" s="295"/>
    </row>
    <row r="506" spans="1:14" ht="18" customHeight="1">
      <c r="A506" s="300"/>
      <c r="B506" s="297"/>
      <c r="C506" s="297"/>
      <c r="D506" s="297"/>
      <c r="E506" s="297"/>
      <c r="F506" s="297"/>
      <c r="G506" s="297"/>
      <c r="H506" s="330"/>
      <c r="I506" s="297"/>
      <c r="J506" s="297"/>
      <c r="K506" s="297"/>
      <c r="L506" s="297"/>
      <c r="M506" s="297"/>
      <c r="N506" s="298"/>
    </row>
    <row r="507" spans="1:14" ht="30" customHeight="1">
      <c r="A507" s="301" t="s">
        <v>1148</v>
      </c>
      <c r="B507" s="1273" t="s">
        <v>952</v>
      </c>
      <c r="C507" s="1273"/>
      <c r="D507" s="1273"/>
      <c r="E507" s="1273"/>
      <c r="F507" s="1273"/>
      <c r="G507" s="1273"/>
      <c r="H507" s="1273"/>
      <c r="I507" s="1273"/>
      <c r="J507" s="1273"/>
      <c r="K507" s="1273"/>
      <c r="L507" s="1273"/>
      <c r="M507" s="310"/>
      <c r="N507" s="303" t="s">
        <v>1149</v>
      </c>
    </row>
    <row r="508" spans="1:14">
      <c r="A508" s="304"/>
      <c r="B508" s="305"/>
      <c r="C508" s="305"/>
      <c r="D508" s="305"/>
      <c r="E508" s="305"/>
      <c r="F508" s="305"/>
      <c r="G508" s="305"/>
      <c r="H508" s="331"/>
      <c r="I508" s="305"/>
      <c r="J508" s="305"/>
      <c r="K508" s="305"/>
      <c r="L508" s="305"/>
      <c r="M508" s="305"/>
      <c r="N508" s="306"/>
    </row>
    <row r="509" spans="1:14">
      <c r="A509" s="304"/>
      <c r="B509" s="305"/>
      <c r="C509" s="305"/>
      <c r="D509" s="305"/>
      <c r="E509" s="305"/>
      <c r="F509" s="305"/>
      <c r="G509" s="305"/>
      <c r="H509" s="331"/>
      <c r="I509" s="305"/>
      <c r="J509" s="305"/>
      <c r="K509" s="305"/>
      <c r="L509" s="305"/>
      <c r="M509" s="305"/>
      <c r="N509" s="306"/>
    </row>
    <row r="510" spans="1:14">
      <c r="A510" s="304"/>
      <c r="B510" s="305"/>
      <c r="C510" s="305"/>
      <c r="D510" s="305"/>
      <c r="E510" s="305"/>
      <c r="F510" s="305"/>
      <c r="G510" s="305"/>
      <c r="H510" s="331"/>
      <c r="I510" s="305"/>
      <c r="J510" s="305"/>
      <c r="K510" s="305"/>
      <c r="L510" s="305"/>
      <c r="M510" s="305"/>
      <c r="N510" s="306"/>
    </row>
    <row r="511" spans="1:14">
      <c r="A511" s="304"/>
      <c r="B511" s="305"/>
      <c r="C511" s="305"/>
      <c r="D511" s="305"/>
      <c r="E511" s="305"/>
      <c r="F511" s="305"/>
      <c r="G511" s="305"/>
      <c r="H511" s="331"/>
      <c r="I511" s="305"/>
      <c r="J511" s="305"/>
      <c r="K511" s="305"/>
      <c r="L511" s="305"/>
      <c r="M511" s="305"/>
      <c r="N511" s="306"/>
    </row>
    <row r="512" spans="1:14">
      <c r="A512" s="304"/>
      <c r="B512" s="305"/>
      <c r="C512" s="305"/>
      <c r="D512" s="305"/>
      <c r="E512" s="305"/>
      <c r="F512" s="305"/>
      <c r="G512" s="305"/>
      <c r="H512" s="331"/>
      <c r="I512" s="305"/>
      <c r="J512" s="305"/>
      <c r="K512" s="305"/>
      <c r="L512" s="305"/>
      <c r="M512" s="305"/>
      <c r="N512" s="306"/>
    </row>
    <row r="513" spans="1:14">
      <c r="A513" s="304"/>
      <c r="B513" s="305"/>
      <c r="C513" s="305"/>
      <c r="D513" s="305"/>
      <c r="E513" s="305"/>
      <c r="F513" s="305"/>
      <c r="G513" s="305"/>
      <c r="H513" s="331"/>
      <c r="I513" s="305"/>
      <c r="J513" s="305"/>
      <c r="K513" s="305"/>
      <c r="L513" s="305"/>
      <c r="M513" s="305"/>
      <c r="N513" s="306"/>
    </row>
    <row r="514" spans="1:14">
      <c r="A514" s="304"/>
      <c r="B514" s="305"/>
      <c r="C514" s="305"/>
      <c r="D514" s="305"/>
      <c r="E514" s="305"/>
      <c r="F514" s="305"/>
      <c r="G514" s="305"/>
      <c r="H514" s="331"/>
      <c r="I514" s="305"/>
      <c r="J514" s="305"/>
      <c r="K514" s="305"/>
      <c r="L514" s="305"/>
      <c r="M514" s="305"/>
      <c r="N514" s="306"/>
    </row>
    <row r="515" spans="1:14">
      <c r="A515" s="304"/>
      <c r="B515" s="305"/>
      <c r="C515" s="305"/>
      <c r="D515" s="305"/>
      <c r="E515" s="305"/>
      <c r="F515" s="305"/>
      <c r="G515" s="305"/>
      <c r="H515" s="331"/>
      <c r="I515" s="305"/>
      <c r="J515" s="305"/>
      <c r="K515" s="305"/>
      <c r="L515" s="305"/>
      <c r="M515" s="305"/>
      <c r="N515" s="306"/>
    </row>
    <row r="516" spans="1:14">
      <c r="A516" s="304"/>
      <c r="B516" s="305"/>
      <c r="C516" s="305"/>
      <c r="D516" s="305"/>
      <c r="E516" s="305"/>
      <c r="F516" s="305"/>
      <c r="G516" s="305"/>
      <c r="H516" s="331"/>
      <c r="I516" s="305"/>
      <c r="J516" s="305"/>
      <c r="K516" s="305"/>
      <c r="L516" s="305"/>
      <c r="M516" s="305"/>
      <c r="N516" s="306"/>
    </row>
    <row r="517" spans="1:14">
      <c r="A517" s="304"/>
      <c r="B517" s="305"/>
      <c r="C517" s="305"/>
      <c r="D517" s="305"/>
      <c r="E517" s="305"/>
      <c r="F517" s="305"/>
      <c r="G517" s="305"/>
      <c r="H517" s="331"/>
      <c r="I517" s="305"/>
      <c r="J517" s="305"/>
      <c r="K517" s="305"/>
      <c r="L517" s="305"/>
      <c r="M517" s="305"/>
      <c r="N517" s="306"/>
    </row>
    <row r="518" spans="1:14">
      <c r="A518" s="304"/>
      <c r="B518" s="305"/>
      <c r="C518" s="305"/>
      <c r="D518" s="305"/>
      <c r="E518" s="305"/>
      <c r="F518" s="305"/>
      <c r="G518" s="305"/>
      <c r="H518" s="331"/>
      <c r="I518" s="305"/>
      <c r="J518" s="305"/>
      <c r="K518" s="305"/>
      <c r="L518" s="305"/>
      <c r="M518" s="305"/>
      <c r="N518" s="306"/>
    </row>
    <row r="519" spans="1:14">
      <c r="A519" s="304"/>
      <c r="B519" s="305"/>
      <c r="C519" s="305"/>
      <c r="D519" s="305"/>
      <c r="E519" s="305"/>
      <c r="F519" s="305"/>
      <c r="G519" s="305"/>
      <c r="H519" s="331"/>
      <c r="I519" s="305"/>
      <c r="J519" s="305"/>
      <c r="K519" s="305"/>
      <c r="L519" s="305"/>
      <c r="M519" s="305"/>
      <c r="N519" s="306"/>
    </row>
    <row r="520" spans="1:14">
      <c r="A520" s="304"/>
      <c r="B520" s="305"/>
      <c r="C520" s="305"/>
      <c r="D520" s="305"/>
      <c r="E520" s="305"/>
      <c r="F520" s="305"/>
      <c r="G520" s="305"/>
      <c r="H520" s="331"/>
      <c r="I520" s="305"/>
      <c r="J520" s="305"/>
      <c r="K520" s="305"/>
      <c r="L520" s="305"/>
      <c r="M520" s="305"/>
      <c r="N520" s="306"/>
    </row>
    <row r="521" spans="1:14">
      <c r="A521" s="304"/>
      <c r="B521" s="305"/>
      <c r="C521" s="305"/>
      <c r="D521" s="305"/>
      <c r="E521" s="305"/>
      <c r="F521" s="305"/>
      <c r="G521" s="305"/>
      <c r="H521" s="331"/>
      <c r="I521" s="305"/>
      <c r="J521" s="305"/>
      <c r="K521" s="305"/>
      <c r="L521" s="305"/>
      <c r="M521" s="305"/>
      <c r="N521" s="306"/>
    </row>
    <row r="522" spans="1:14">
      <c r="A522" s="304"/>
      <c r="B522" s="305"/>
      <c r="C522" s="305"/>
      <c r="D522" s="305"/>
      <c r="E522" s="305"/>
      <c r="F522" s="305"/>
      <c r="G522" s="305"/>
      <c r="H522" s="331"/>
      <c r="I522" s="305"/>
      <c r="J522" s="305"/>
      <c r="K522" s="305"/>
      <c r="L522" s="305"/>
      <c r="M522" s="305"/>
      <c r="N522" s="306"/>
    </row>
    <row r="523" spans="1:14">
      <c r="A523" s="304"/>
      <c r="B523" s="305"/>
      <c r="C523" s="305"/>
      <c r="D523" s="305"/>
      <c r="E523" s="305"/>
      <c r="F523" s="305"/>
      <c r="G523" s="305"/>
      <c r="H523" s="331"/>
      <c r="I523" s="305"/>
      <c r="J523" s="305"/>
      <c r="K523" s="305"/>
      <c r="L523" s="305"/>
      <c r="M523" s="305"/>
      <c r="N523" s="306"/>
    </row>
    <row r="524" spans="1:14">
      <c r="A524" s="304"/>
      <c r="B524" s="305"/>
      <c r="C524" s="305"/>
      <c r="D524" s="305"/>
      <c r="E524" s="305"/>
      <c r="F524" s="305"/>
      <c r="G524" s="305"/>
      <c r="H524" s="331"/>
      <c r="I524" s="305"/>
      <c r="J524" s="305"/>
      <c r="K524" s="305"/>
      <c r="L524" s="305"/>
      <c r="M524" s="305"/>
      <c r="N524" s="306"/>
    </row>
    <row r="525" spans="1:14">
      <c r="A525" s="304"/>
      <c r="B525" s="305"/>
      <c r="C525" s="305"/>
      <c r="D525" s="305"/>
      <c r="E525" s="305"/>
      <c r="F525" s="305"/>
      <c r="G525" s="305"/>
      <c r="H525" s="331"/>
      <c r="I525" s="305"/>
      <c r="J525" s="305"/>
      <c r="K525" s="305"/>
      <c r="L525" s="305"/>
      <c r="M525" s="305"/>
      <c r="N525" s="306"/>
    </row>
    <row r="526" spans="1:14">
      <c r="A526" s="304"/>
      <c r="B526" s="305"/>
      <c r="C526" s="305"/>
      <c r="D526" s="305"/>
      <c r="E526" s="305"/>
      <c r="F526" s="305"/>
      <c r="G526" s="305"/>
      <c r="H526" s="331"/>
      <c r="I526" s="305"/>
      <c r="J526" s="305"/>
      <c r="K526" s="305"/>
      <c r="L526" s="305"/>
      <c r="M526" s="305"/>
      <c r="N526" s="306"/>
    </row>
    <row r="527" spans="1:14">
      <c r="A527" s="304"/>
      <c r="B527" s="305"/>
      <c r="C527" s="305"/>
      <c r="D527" s="305"/>
      <c r="E527" s="305"/>
      <c r="F527" s="305"/>
      <c r="G527" s="305"/>
      <c r="H527" s="331"/>
      <c r="I527" s="305"/>
      <c r="J527" s="305"/>
      <c r="K527" s="305"/>
      <c r="L527" s="305"/>
      <c r="M527" s="305"/>
      <c r="N527" s="306"/>
    </row>
    <row r="528" spans="1:14">
      <c r="A528" s="304"/>
      <c r="B528" s="305"/>
      <c r="C528" s="305"/>
      <c r="D528" s="305"/>
      <c r="E528" s="305"/>
      <c r="F528" s="305"/>
      <c r="G528" s="305"/>
      <c r="H528" s="331"/>
      <c r="I528" s="305"/>
      <c r="J528" s="305"/>
      <c r="K528" s="305"/>
      <c r="L528" s="305"/>
      <c r="M528" s="305"/>
      <c r="N528" s="306"/>
    </row>
    <row r="529" spans="1:14">
      <c r="A529" s="304"/>
      <c r="B529" s="305"/>
      <c r="C529" s="305"/>
      <c r="D529" s="305"/>
      <c r="E529" s="305"/>
      <c r="F529" s="305"/>
      <c r="G529" s="305"/>
      <c r="H529" s="331"/>
      <c r="I529" s="305"/>
      <c r="J529" s="305"/>
      <c r="K529" s="305"/>
      <c r="L529" s="305"/>
      <c r="M529" s="305"/>
      <c r="N529" s="306"/>
    </row>
    <row r="530" spans="1:14">
      <c r="A530" s="304"/>
      <c r="B530" s="305"/>
      <c r="C530" s="305"/>
      <c r="D530" s="305"/>
      <c r="E530" s="305"/>
      <c r="F530" s="305"/>
      <c r="G530" s="305"/>
      <c r="H530" s="331"/>
      <c r="I530" s="305"/>
      <c r="J530" s="305"/>
      <c r="K530" s="305"/>
      <c r="L530" s="305"/>
      <c r="M530" s="305"/>
      <c r="N530" s="306"/>
    </row>
    <row r="531" spans="1:14">
      <c r="A531" s="304"/>
      <c r="B531" s="305"/>
      <c r="C531" s="305"/>
      <c r="D531" s="305"/>
      <c r="E531" s="305"/>
      <c r="F531" s="305"/>
      <c r="G531" s="305"/>
      <c r="H531" s="331"/>
      <c r="I531" s="305"/>
      <c r="J531" s="305"/>
      <c r="K531" s="305"/>
      <c r="L531" s="305"/>
      <c r="M531" s="305"/>
      <c r="N531" s="306"/>
    </row>
    <row r="532" spans="1:14">
      <c r="A532" s="304"/>
      <c r="B532" s="305"/>
      <c r="C532" s="305"/>
      <c r="D532" s="305"/>
      <c r="E532" s="305"/>
      <c r="F532" s="305"/>
      <c r="G532" s="305"/>
      <c r="H532" s="331"/>
      <c r="I532" s="305"/>
      <c r="J532" s="305"/>
      <c r="K532" s="305"/>
      <c r="L532" s="305"/>
      <c r="M532" s="305"/>
      <c r="N532" s="306"/>
    </row>
    <row r="533" spans="1:14">
      <c r="A533" s="304"/>
      <c r="B533" s="305"/>
      <c r="C533" s="305"/>
      <c r="D533" s="305"/>
      <c r="E533" s="305"/>
      <c r="F533" s="305"/>
      <c r="G533" s="305"/>
      <c r="H533" s="331"/>
      <c r="I533" s="305"/>
      <c r="J533" s="305"/>
      <c r="K533" s="305"/>
      <c r="L533" s="305"/>
      <c r="M533" s="305"/>
      <c r="N533" s="306"/>
    </row>
    <row r="534" spans="1:14">
      <c r="A534" s="304"/>
      <c r="B534" s="305"/>
      <c r="C534" s="305"/>
      <c r="D534" s="305"/>
      <c r="E534" s="305"/>
      <c r="F534" s="305"/>
      <c r="G534" s="305"/>
      <c r="H534" s="331"/>
      <c r="I534" s="305"/>
      <c r="J534" s="305"/>
      <c r="K534" s="305"/>
      <c r="L534" s="305"/>
      <c r="M534" s="305"/>
      <c r="N534" s="306"/>
    </row>
    <row r="535" spans="1:14">
      <c r="A535" s="304"/>
      <c r="B535" s="305"/>
      <c r="C535" s="305"/>
      <c r="D535" s="305"/>
      <c r="E535" s="305"/>
      <c r="F535" s="305"/>
      <c r="G535" s="305"/>
      <c r="H535" s="331"/>
      <c r="I535" s="305"/>
      <c r="J535" s="305"/>
      <c r="K535" s="305"/>
      <c r="L535" s="305"/>
      <c r="M535" s="305"/>
      <c r="N535" s="306"/>
    </row>
    <row r="536" spans="1:14">
      <c r="A536" s="304"/>
      <c r="B536" s="305"/>
      <c r="C536" s="305"/>
      <c r="D536" s="305"/>
      <c r="E536" s="305"/>
      <c r="F536" s="305"/>
      <c r="G536" s="305"/>
      <c r="H536" s="331"/>
      <c r="I536" s="305"/>
      <c r="J536" s="305"/>
      <c r="K536" s="305"/>
      <c r="L536" s="305"/>
      <c r="M536" s="305"/>
      <c r="N536" s="306"/>
    </row>
    <row r="537" spans="1:14">
      <c r="A537" s="304"/>
      <c r="B537" s="305"/>
      <c r="C537" s="305"/>
      <c r="D537" s="305"/>
      <c r="E537" s="305"/>
      <c r="F537" s="305"/>
      <c r="G537" s="305"/>
      <c r="H537" s="331"/>
      <c r="I537" s="305"/>
      <c r="J537" s="305"/>
      <c r="K537" s="305"/>
      <c r="L537" s="305"/>
      <c r="M537" s="305"/>
      <c r="N537" s="306"/>
    </row>
    <row r="538" spans="1:14">
      <c r="A538" s="304"/>
      <c r="B538" s="305"/>
      <c r="C538" s="305"/>
      <c r="D538" s="305"/>
      <c r="E538" s="305"/>
      <c r="F538" s="305"/>
      <c r="G538" s="305"/>
      <c r="H538" s="331"/>
      <c r="I538" s="305"/>
      <c r="J538" s="305"/>
      <c r="K538" s="305"/>
      <c r="L538" s="305"/>
      <c r="M538" s="305"/>
      <c r="N538" s="306"/>
    </row>
    <row r="539" spans="1:14">
      <c r="A539" s="304"/>
      <c r="B539" s="305"/>
      <c r="C539" s="305"/>
      <c r="D539" s="305"/>
      <c r="E539" s="305"/>
      <c r="F539" s="305"/>
      <c r="G539" s="305"/>
      <c r="H539" s="331"/>
      <c r="I539" s="305"/>
      <c r="J539" s="305"/>
      <c r="K539" s="305"/>
      <c r="L539" s="305"/>
      <c r="M539" s="305"/>
      <c r="N539" s="306"/>
    </row>
    <row r="540" spans="1:14">
      <c r="A540" s="304"/>
      <c r="B540" s="305"/>
      <c r="C540" s="305"/>
      <c r="D540" s="305"/>
      <c r="E540" s="305"/>
      <c r="F540" s="305"/>
      <c r="G540" s="305"/>
      <c r="H540" s="331"/>
      <c r="I540" s="305"/>
      <c r="J540" s="305"/>
      <c r="K540" s="305"/>
      <c r="L540" s="305"/>
      <c r="M540" s="305"/>
      <c r="N540" s="306"/>
    </row>
    <row r="541" spans="1:14">
      <c r="A541" s="304"/>
      <c r="B541" s="305"/>
      <c r="C541" s="305"/>
      <c r="D541" s="305"/>
      <c r="E541" s="305"/>
      <c r="F541" s="305"/>
      <c r="G541" s="305"/>
      <c r="H541" s="331"/>
      <c r="I541" s="305"/>
      <c r="J541" s="305"/>
      <c r="K541" s="305"/>
      <c r="L541" s="305"/>
      <c r="M541" s="305"/>
      <c r="N541" s="306"/>
    </row>
    <row r="542" spans="1:14">
      <c r="A542" s="304"/>
      <c r="B542" s="305"/>
      <c r="C542" s="305"/>
      <c r="D542" s="305"/>
      <c r="E542" s="305"/>
      <c r="F542" s="305"/>
      <c r="G542" s="305"/>
      <c r="H542" s="331"/>
      <c r="I542" s="305"/>
      <c r="J542" s="305"/>
      <c r="K542" s="305"/>
      <c r="L542" s="305"/>
      <c r="M542" s="305"/>
      <c r="N542" s="306"/>
    </row>
    <row r="543" spans="1:14">
      <c r="A543" s="304"/>
      <c r="B543" s="305"/>
      <c r="C543" s="305"/>
      <c r="D543" s="305"/>
      <c r="E543" s="305"/>
      <c r="F543" s="305"/>
      <c r="G543" s="305"/>
      <c r="H543" s="331"/>
      <c r="I543" s="305"/>
      <c r="J543" s="305"/>
      <c r="K543" s="305"/>
      <c r="L543" s="305"/>
      <c r="M543" s="305"/>
      <c r="N543" s="306"/>
    </row>
    <row r="544" spans="1:14">
      <c r="A544" s="304"/>
      <c r="B544" s="305"/>
      <c r="C544" s="305"/>
      <c r="D544" s="305"/>
      <c r="E544" s="305"/>
      <c r="F544" s="305"/>
      <c r="G544" s="305"/>
      <c r="H544" s="331"/>
      <c r="I544" s="305"/>
      <c r="J544" s="305"/>
      <c r="K544" s="305"/>
      <c r="L544" s="305"/>
      <c r="M544" s="305"/>
      <c r="N544" s="306"/>
    </row>
    <row r="545" spans="1:14">
      <c r="A545" s="304"/>
      <c r="B545" s="305"/>
      <c r="C545" s="305"/>
      <c r="D545" s="305"/>
      <c r="E545" s="305"/>
      <c r="F545" s="305"/>
      <c r="G545" s="305"/>
      <c r="H545" s="331"/>
      <c r="I545" s="305"/>
      <c r="J545" s="305"/>
      <c r="K545" s="305"/>
      <c r="L545" s="305"/>
      <c r="M545" s="305"/>
      <c r="N545" s="306"/>
    </row>
    <row r="546" spans="1:14">
      <c r="A546" s="304"/>
      <c r="B546" s="305"/>
      <c r="C546" s="305"/>
      <c r="D546" s="305"/>
      <c r="E546" s="305"/>
      <c r="F546" s="305"/>
      <c r="G546" s="305"/>
      <c r="H546" s="331"/>
      <c r="I546" s="305"/>
      <c r="J546" s="305"/>
      <c r="K546" s="305"/>
      <c r="L546" s="305"/>
      <c r="M546" s="305"/>
      <c r="N546" s="306"/>
    </row>
    <row r="547" spans="1:14">
      <c r="A547" s="304"/>
      <c r="B547" s="305"/>
      <c r="C547" s="305"/>
      <c r="D547" s="305"/>
      <c r="E547" s="305"/>
      <c r="F547" s="305"/>
      <c r="G547" s="305"/>
      <c r="H547" s="331"/>
      <c r="I547" s="305"/>
      <c r="J547" s="305"/>
      <c r="K547" s="305"/>
      <c r="L547" s="305"/>
      <c r="M547" s="305"/>
      <c r="N547" s="306"/>
    </row>
    <row r="548" spans="1:14">
      <c r="A548" s="304"/>
      <c r="B548" s="305"/>
      <c r="C548" s="305"/>
      <c r="D548" s="305"/>
      <c r="E548" s="305"/>
      <c r="F548" s="305"/>
      <c r="G548" s="305"/>
      <c r="H548" s="331"/>
      <c r="I548" s="305"/>
      <c r="J548" s="305"/>
      <c r="K548" s="305"/>
      <c r="L548" s="305"/>
      <c r="M548" s="305"/>
      <c r="N548" s="306"/>
    </row>
    <row r="549" spans="1:14">
      <c r="A549" s="304"/>
      <c r="B549" s="305"/>
      <c r="C549" s="305"/>
      <c r="D549" s="305"/>
      <c r="E549" s="305"/>
      <c r="F549" s="305"/>
      <c r="G549" s="305"/>
      <c r="H549" s="331"/>
      <c r="I549" s="305"/>
      <c r="J549" s="305"/>
      <c r="K549" s="305"/>
      <c r="L549" s="305"/>
      <c r="M549" s="305"/>
      <c r="N549" s="306"/>
    </row>
    <row r="550" spans="1:14">
      <c r="A550" s="304"/>
      <c r="B550" s="305"/>
      <c r="C550" s="305"/>
      <c r="D550" s="305"/>
      <c r="E550" s="305"/>
      <c r="F550" s="305"/>
      <c r="G550" s="305"/>
      <c r="H550" s="331"/>
      <c r="I550" s="305"/>
      <c r="J550" s="305"/>
      <c r="K550" s="305"/>
      <c r="L550" s="305"/>
      <c r="M550" s="305"/>
      <c r="N550" s="306"/>
    </row>
    <row r="551" spans="1:14">
      <c r="A551" s="304"/>
      <c r="B551" s="305"/>
      <c r="C551" s="305"/>
      <c r="D551" s="305"/>
      <c r="E551" s="305"/>
      <c r="F551" s="305"/>
      <c r="G551" s="305"/>
      <c r="H551" s="331"/>
      <c r="I551" s="305"/>
      <c r="J551" s="305"/>
      <c r="K551" s="305"/>
      <c r="L551" s="305"/>
      <c r="M551" s="305"/>
      <c r="N551" s="306"/>
    </row>
    <row r="552" spans="1:14">
      <c r="A552" s="304"/>
      <c r="B552" s="305"/>
      <c r="C552" s="305"/>
      <c r="D552" s="305"/>
      <c r="E552" s="305"/>
      <c r="F552" s="305"/>
      <c r="G552" s="305"/>
      <c r="H552" s="331"/>
      <c r="I552" s="305"/>
      <c r="J552" s="305"/>
      <c r="K552" s="305"/>
      <c r="L552" s="305"/>
      <c r="M552" s="305"/>
      <c r="N552" s="306"/>
    </row>
    <row r="553" spans="1:14" ht="15" customHeight="1">
      <c r="A553" s="307"/>
      <c r="B553" s="308"/>
      <c r="C553" s="308"/>
      <c r="D553" s="308"/>
      <c r="E553" s="308"/>
      <c r="F553" s="308"/>
      <c r="G553" s="308"/>
      <c r="H553" s="332"/>
      <c r="I553" s="308"/>
      <c r="J553" s="308"/>
      <c r="K553" s="308"/>
      <c r="L553" s="308"/>
      <c r="M553" s="308"/>
      <c r="N553" s="309"/>
    </row>
    <row r="554" spans="1:14" ht="30" customHeight="1">
      <c r="A554" s="250" t="s">
        <v>1148</v>
      </c>
      <c r="B554" s="944" t="s">
        <v>554</v>
      </c>
      <c r="C554" s="944"/>
      <c r="D554" s="944"/>
      <c r="E554" s="944"/>
      <c r="F554" s="944"/>
      <c r="G554" s="944"/>
      <c r="H554" s="944"/>
      <c r="I554" s="944"/>
      <c r="J554" s="944"/>
      <c r="K554" s="944"/>
      <c r="L554" s="944"/>
      <c r="M554" s="251"/>
      <c r="N554" s="252" t="s">
        <v>1149</v>
      </c>
    </row>
    <row r="555" spans="1:14" ht="13.95" customHeight="1">
      <c r="A555" s="253"/>
      <c r="B555" s="28"/>
      <c r="C555" s="28"/>
      <c r="D555" s="28"/>
      <c r="E555" s="28"/>
      <c r="F555" s="28"/>
      <c r="G555" s="28"/>
      <c r="H555" s="322"/>
      <c r="I555" s="28"/>
      <c r="J555" s="28"/>
      <c r="K555" s="28"/>
      <c r="L555" s="28"/>
      <c r="M555" s="28"/>
      <c r="N555" s="254"/>
    </row>
    <row r="556" spans="1:14">
      <c r="A556" s="253"/>
      <c r="B556" s="28"/>
      <c r="C556" s="28"/>
      <c r="D556" s="28"/>
      <c r="E556" s="28"/>
      <c r="F556" s="28"/>
      <c r="G556" s="28"/>
      <c r="H556" s="322"/>
      <c r="I556" s="28"/>
      <c r="J556" s="28"/>
      <c r="K556" s="28"/>
      <c r="L556" s="28"/>
      <c r="M556" s="28"/>
      <c r="N556" s="254"/>
    </row>
    <row r="557" spans="1:14">
      <c r="A557" s="253"/>
      <c r="B557" s="28"/>
      <c r="C557" s="28"/>
      <c r="D557" s="28"/>
      <c r="E557" s="28"/>
      <c r="F557" s="28"/>
      <c r="G557" s="28"/>
      <c r="H557" s="322"/>
      <c r="I557" s="28"/>
      <c r="J557" s="28"/>
      <c r="K557" s="28"/>
      <c r="L557" s="28"/>
      <c r="M557" s="28"/>
      <c r="N557" s="254"/>
    </row>
    <row r="558" spans="1:14">
      <c r="A558" s="253"/>
      <c r="B558" s="28"/>
      <c r="C558" s="28"/>
      <c r="D558" s="28"/>
      <c r="E558" s="28"/>
      <c r="F558" s="28"/>
      <c r="G558" s="28"/>
      <c r="H558" s="322"/>
      <c r="I558" s="28"/>
      <c r="J558" s="28"/>
      <c r="K558" s="28"/>
      <c r="L558" s="28"/>
      <c r="M558" s="28"/>
      <c r="N558" s="254"/>
    </row>
    <row r="559" spans="1:14">
      <c r="A559" s="253"/>
      <c r="B559" s="28"/>
      <c r="C559" s="28"/>
      <c r="D559" s="28"/>
      <c r="E559" s="28"/>
      <c r="F559" s="28"/>
      <c r="G559" s="28"/>
      <c r="H559" s="322"/>
      <c r="I559" s="28"/>
      <c r="J559" s="28"/>
      <c r="K559" s="28"/>
      <c r="L559" s="28"/>
      <c r="M559" s="28"/>
      <c r="N559" s="254"/>
    </row>
    <row r="560" spans="1:14">
      <c r="A560" s="253"/>
      <c r="B560" s="28"/>
      <c r="C560" s="28"/>
      <c r="D560" s="28"/>
      <c r="E560" s="28"/>
      <c r="F560" s="28"/>
      <c r="G560" s="28"/>
      <c r="H560" s="322"/>
      <c r="I560" s="28"/>
      <c r="J560" s="28"/>
      <c r="K560" s="28"/>
      <c r="L560" s="28"/>
      <c r="M560" s="28"/>
      <c r="N560" s="254"/>
    </row>
    <row r="561" spans="1:14">
      <c r="A561" s="253"/>
      <c r="B561" s="28"/>
      <c r="C561" s="28"/>
      <c r="D561" s="28"/>
      <c r="E561" s="28"/>
      <c r="F561" s="28"/>
      <c r="G561" s="28"/>
      <c r="H561" s="322"/>
      <c r="I561" s="28"/>
      <c r="J561" s="28"/>
      <c r="K561" s="28"/>
      <c r="L561" s="28"/>
      <c r="M561" s="28"/>
      <c r="N561" s="254"/>
    </row>
    <row r="562" spans="1:14">
      <c r="A562" s="253"/>
      <c r="B562" s="28"/>
      <c r="C562" s="28"/>
      <c r="D562" s="28"/>
      <c r="E562" s="28"/>
      <c r="F562" s="28"/>
      <c r="G562" s="28"/>
      <c r="H562" s="322"/>
      <c r="I562" s="28"/>
      <c r="J562" s="28"/>
      <c r="K562" s="28"/>
      <c r="L562" s="28"/>
      <c r="M562" s="28"/>
      <c r="N562" s="254"/>
    </row>
    <row r="563" spans="1:14">
      <c r="A563" s="253"/>
      <c r="B563" s="28"/>
      <c r="C563" s="28"/>
      <c r="D563" s="28"/>
      <c r="E563" s="28"/>
      <c r="F563" s="28"/>
      <c r="G563" s="28"/>
      <c r="H563" s="322"/>
      <c r="I563" s="28"/>
      <c r="J563" s="28"/>
      <c r="K563" s="28"/>
      <c r="L563" s="28"/>
      <c r="M563" s="28"/>
      <c r="N563" s="254"/>
    </row>
    <row r="564" spans="1:14" ht="18.600000000000001" customHeight="1">
      <c r="A564" s="253"/>
      <c r="B564" s="28"/>
      <c r="C564" s="28"/>
      <c r="D564" s="28"/>
      <c r="E564" s="28"/>
      <c r="F564" s="28"/>
      <c r="G564" s="28"/>
      <c r="H564" s="322"/>
      <c r="I564" s="28"/>
      <c r="J564" s="28"/>
      <c r="K564" s="28"/>
      <c r="L564" s="28"/>
      <c r="M564" s="28"/>
      <c r="N564" s="254"/>
    </row>
    <row r="565" spans="1:14" ht="13.95" customHeight="1">
      <c r="A565" s="253"/>
      <c r="B565" s="28"/>
      <c r="C565" s="28"/>
      <c r="D565" s="28"/>
      <c r="E565" s="28"/>
      <c r="F565" s="28"/>
      <c r="G565" s="28"/>
      <c r="H565" s="322"/>
      <c r="I565" s="28"/>
      <c r="J565" s="28"/>
      <c r="K565" s="28"/>
      <c r="L565" s="28"/>
      <c r="M565" s="28"/>
      <c r="N565" s="254"/>
    </row>
    <row r="566" spans="1:14" ht="13.95" customHeight="1">
      <c r="A566" s="253"/>
      <c r="B566" s="28"/>
      <c r="C566" s="28"/>
      <c r="D566" s="28"/>
      <c r="E566" s="28"/>
      <c r="F566" s="28"/>
      <c r="G566" s="28"/>
      <c r="H566" s="322"/>
      <c r="I566" s="28"/>
      <c r="J566" s="28"/>
      <c r="K566" s="28"/>
      <c r="L566" s="28"/>
      <c r="M566" s="28"/>
      <c r="N566" s="254"/>
    </row>
    <row r="567" spans="1:14" ht="13.95" customHeight="1">
      <c r="A567" s="253"/>
      <c r="B567" s="28"/>
      <c r="C567" s="28"/>
      <c r="D567" s="28"/>
      <c r="E567" s="28"/>
      <c r="F567" s="28"/>
      <c r="G567" s="28"/>
      <c r="H567" s="322"/>
      <c r="I567" s="28"/>
      <c r="J567" s="28"/>
      <c r="K567" s="28"/>
      <c r="L567" s="28"/>
      <c r="M567" s="28"/>
      <c r="N567" s="254"/>
    </row>
    <row r="568" spans="1:14" ht="15" customHeight="1">
      <c r="A568" s="253"/>
      <c r="B568" s="28"/>
      <c r="C568" s="28"/>
      <c r="D568" s="28"/>
      <c r="E568" s="28"/>
      <c r="F568" s="28"/>
      <c r="G568" s="28"/>
      <c r="H568" s="322"/>
      <c r="I568" s="28"/>
      <c r="J568" s="28"/>
      <c r="K568" s="28"/>
      <c r="L568" s="28"/>
      <c r="M568" s="28"/>
      <c r="N568" s="254"/>
    </row>
    <row r="569" spans="1:14" ht="13.95" customHeight="1">
      <c r="A569" s="253"/>
      <c r="B569" s="28"/>
      <c r="C569" s="28"/>
      <c r="D569" s="28"/>
      <c r="E569" s="28"/>
      <c r="F569" s="28"/>
      <c r="G569" s="28"/>
      <c r="H569" s="322"/>
      <c r="I569" s="28"/>
      <c r="J569" s="28"/>
      <c r="K569" s="28"/>
      <c r="L569" s="28"/>
      <c r="M569" s="28"/>
      <c r="N569" s="254"/>
    </row>
    <row r="570" spans="1:14" ht="13.95" customHeight="1">
      <c r="A570" s="253"/>
      <c r="B570" s="28"/>
      <c r="C570" s="28"/>
      <c r="D570" s="28"/>
      <c r="E570" s="28"/>
      <c r="F570" s="28"/>
      <c r="G570" s="28"/>
      <c r="H570" s="322"/>
      <c r="I570" s="28"/>
      <c r="J570" s="28"/>
      <c r="K570" s="28"/>
      <c r="L570" s="28"/>
      <c r="M570" s="28"/>
      <c r="N570" s="254"/>
    </row>
    <row r="571" spans="1:14" ht="13.95" customHeight="1">
      <c r="A571" s="253"/>
      <c r="B571" s="28"/>
      <c r="C571" s="28"/>
      <c r="D571" s="28"/>
      <c r="E571" s="28"/>
      <c r="F571" s="28"/>
      <c r="G571" s="28"/>
      <c r="H571" s="322"/>
      <c r="I571" s="28"/>
      <c r="J571" s="28"/>
      <c r="K571" s="28"/>
      <c r="L571" s="28"/>
      <c r="M571" s="28"/>
      <c r="N571" s="254"/>
    </row>
    <row r="572" spans="1:14" ht="14.4" customHeight="1">
      <c r="A572" s="253"/>
      <c r="B572" s="28"/>
      <c r="C572" s="28"/>
      <c r="D572" s="28"/>
      <c r="E572" s="28"/>
      <c r="F572" s="28"/>
      <c r="G572" s="28"/>
      <c r="H572" s="322"/>
      <c r="I572" s="28"/>
      <c r="J572" s="28"/>
      <c r="K572" s="28"/>
      <c r="L572" s="28"/>
      <c r="M572" s="28"/>
      <c r="N572" s="254"/>
    </row>
    <row r="573" spans="1:14" ht="14.4" customHeight="1">
      <c r="A573" s="253"/>
      <c r="B573" s="28"/>
      <c r="C573" s="28"/>
      <c r="D573" s="28"/>
      <c r="E573" s="28"/>
      <c r="F573" s="28"/>
      <c r="G573" s="28"/>
      <c r="H573" s="322"/>
      <c r="I573" s="28"/>
      <c r="J573" s="28"/>
      <c r="K573" s="28"/>
      <c r="L573" s="28"/>
      <c r="M573" s="28"/>
      <c r="N573" s="254"/>
    </row>
    <row r="574" spans="1:14" ht="13.95" customHeight="1">
      <c r="A574" s="253"/>
      <c r="B574" s="28"/>
      <c r="C574" s="28"/>
      <c r="D574" s="28"/>
      <c r="E574" s="28"/>
      <c r="F574" s="28"/>
      <c r="G574" s="28"/>
      <c r="H574" s="322"/>
      <c r="I574" s="28"/>
      <c r="J574" s="28"/>
      <c r="K574" s="28"/>
      <c r="L574" s="28"/>
      <c r="M574" s="28"/>
      <c r="N574" s="254"/>
    </row>
    <row r="575" spans="1:14" ht="13.95" customHeight="1">
      <c r="A575" s="253"/>
      <c r="B575" s="28"/>
      <c r="C575" s="28"/>
      <c r="D575" s="28"/>
      <c r="E575" s="28"/>
      <c r="F575" s="28"/>
      <c r="G575" s="28"/>
      <c r="H575" s="322"/>
      <c r="I575" s="28"/>
      <c r="J575" s="28"/>
      <c r="K575" s="28"/>
      <c r="L575" s="28"/>
      <c r="M575" s="28"/>
      <c r="N575" s="254"/>
    </row>
    <row r="576" spans="1:14" ht="13.95" customHeight="1">
      <c r="A576" s="253"/>
      <c r="B576" s="28"/>
      <c r="C576" s="28"/>
      <c r="D576" s="28"/>
      <c r="E576" s="28"/>
      <c r="F576" s="28"/>
      <c r="G576" s="28"/>
      <c r="H576" s="322"/>
      <c r="I576" s="28"/>
      <c r="J576" s="28"/>
      <c r="K576" s="28"/>
      <c r="L576" s="28"/>
      <c r="M576" s="28"/>
      <c r="N576" s="254"/>
    </row>
    <row r="577" spans="1:14" ht="13.95" customHeight="1">
      <c r="A577" s="253"/>
      <c r="B577" s="28"/>
      <c r="C577" s="28"/>
      <c r="D577" s="28"/>
      <c r="E577" s="28"/>
      <c r="F577" s="28"/>
      <c r="G577" s="28"/>
      <c r="H577" s="322"/>
      <c r="I577" s="28"/>
      <c r="J577" s="28"/>
      <c r="K577" s="28"/>
      <c r="L577" s="28"/>
      <c r="M577" s="28"/>
      <c r="N577" s="254"/>
    </row>
    <row r="578" spans="1:14" ht="13.95" customHeight="1">
      <c r="A578" s="253"/>
      <c r="B578" s="28"/>
      <c r="C578" s="28"/>
      <c r="D578" s="28"/>
      <c r="E578" s="28"/>
      <c r="F578" s="28"/>
      <c r="G578" s="28"/>
      <c r="H578" s="322"/>
      <c r="I578" s="28"/>
      <c r="J578" s="28"/>
      <c r="K578" s="28"/>
      <c r="L578" s="28"/>
      <c r="M578" s="28"/>
      <c r="N578" s="254"/>
    </row>
    <row r="579" spans="1:14" ht="13.95" customHeight="1">
      <c r="A579" s="253"/>
      <c r="B579" s="28"/>
      <c r="C579" s="28"/>
      <c r="D579" s="28"/>
      <c r="E579" s="28"/>
      <c r="F579" s="28"/>
      <c r="G579" s="28"/>
      <c r="H579" s="322"/>
      <c r="I579" s="28"/>
      <c r="J579" s="28"/>
      <c r="K579" s="28"/>
      <c r="L579" s="28"/>
      <c r="M579" s="28"/>
      <c r="N579" s="254"/>
    </row>
    <row r="580" spans="1:14" ht="13.95" customHeight="1">
      <c r="A580" s="253"/>
      <c r="B580" s="28"/>
      <c r="C580" s="28"/>
      <c r="D580" s="28"/>
      <c r="E580" s="28"/>
      <c r="F580" s="28"/>
      <c r="G580" s="28"/>
      <c r="H580" s="322"/>
      <c r="I580" s="28"/>
      <c r="J580" s="28"/>
      <c r="K580" s="28"/>
      <c r="L580" s="28"/>
      <c r="M580" s="28"/>
      <c r="N580" s="254"/>
    </row>
    <row r="581" spans="1:14" ht="13.95" customHeight="1">
      <c r="A581" s="253"/>
      <c r="B581" s="28"/>
      <c r="C581" s="28"/>
      <c r="D581" s="28"/>
      <c r="E581" s="28"/>
      <c r="F581" s="28"/>
      <c r="G581" s="28"/>
      <c r="H581" s="322"/>
      <c r="I581" s="28"/>
      <c r="J581" s="28"/>
      <c r="K581" s="28"/>
      <c r="L581" s="28"/>
      <c r="M581" s="28"/>
      <c r="N581" s="254"/>
    </row>
    <row r="582" spans="1:14" ht="13.95" customHeight="1">
      <c r="A582" s="253"/>
      <c r="B582" s="28"/>
      <c r="C582" s="28"/>
      <c r="D582" s="28"/>
      <c r="E582" s="28"/>
      <c r="F582" s="28"/>
      <c r="G582" s="28"/>
      <c r="H582" s="322"/>
      <c r="I582" s="28"/>
      <c r="J582" s="28"/>
      <c r="K582" s="28"/>
      <c r="L582" s="28"/>
      <c r="M582" s="28"/>
      <c r="N582" s="254"/>
    </row>
    <row r="583" spans="1:14" ht="13.95" customHeight="1">
      <c r="A583" s="253"/>
      <c r="B583" s="28"/>
      <c r="C583" s="28"/>
      <c r="D583" s="28"/>
      <c r="E583" s="28"/>
      <c r="F583" s="28"/>
      <c r="G583" s="28"/>
      <c r="H583" s="322"/>
      <c r="I583" s="28"/>
      <c r="J583" s="28"/>
      <c r="K583" s="28"/>
      <c r="L583" s="28"/>
      <c r="M583" s="28"/>
      <c r="N583" s="254"/>
    </row>
    <row r="584" spans="1:14">
      <c r="A584" s="253"/>
      <c r="B584" s="28"/>
      <c r="C584" s="28"/>
      <c r="D584" s="28"/>
      <c r="E584" s="28"/>
      <c r="F584" s="28"/>
      <c r="G584" s="28"/>
      <c r="H584" s="322"/>
      <c r="I584" s="28"/>
      <c r="J584" s="28"/>
      <c r="K584" s="28"/>
      <c r="L584" s="28"/>
      <c r="M584" s="28"/>
      <c r="N584" s="254"/>
    </row>
    <row r="585" spans="1:14">
      <c r="A585" s="253"/>
      <c r="B585" s="28"/>
      <c r="C585" s="28"/>
      <c r="D585" s="28"/>
      <c r="E585" s="28"/>
      <c r="F585" s="28"/>
      <c r="G585" s="28"/>
      <c r="H585" s="322"/>
      <c r="I585" s="28"/>
      <c r="J585" s="28"/>
      <c r="K585" s="28"/>
      <c r="L585" s="28"/>
      <c r="M585" s="28"/>
      <c r="N585" s="254"/>
    </row>
    <row r="586" spans="1:14">
      <c r="A586" s="253"/>
      <c r="B586" s="28"/>
      <c r="C586" s="28"/>
      <c r="D586" s="28"/>
      <c r="E586" s="28"/>
      <c r="F586" s="28"/>
      <c r="G586" s="28"/>
      <c r="H586" s="322"/>
      <c r="I586" s="28"/>
      <c r="J586" s="28"/>
      <c r="K586" s="28"/>
      <c r="L586" s="28"/>
      <c r="M586" s="28"/>
      <c r="N586" s="254"/>
    </row>
    <row r="587" spans="1:14">
      <c r="A587" s="253"/>
      <c r="B587" s="28"/>
      <c r="C587" s="28"/>
      <c r="D587" s="28"/>
      <c r="E587" s="28"/>
      <c r="F587" s="28"/>
      <c r="G587" s="28"/>
      <c r="H587" s="322"/>
      <c r="I587" s="28"/>
      <c r="J587" s="28"/>
      <c r="K587" s="28"/>
      <c r="L587" s="28"/>
      <c r="M587" s="28"/>
      <c r="N587" s="254"/>
    </row>
    <row r="588" spans="1:14">
      <c r="A588" s="253"/>
      <c r="B588" s="28"/>
      <c r="C588" s="28"/>
      <c r="D588" s="28"/>
      <c r="E588" s="28"/>
      <c r="F588" s="28"/>
      <c r="G588" s="28"/>
      <c r="H588" s="322"/>
      <c r="I588" s="28"/>
      <c r="J588" s="28"/>
      <c r="K588" s="28"/>
      <c r="L588" s="28"/>
      <c r="M588" s="28"/>
      <c r="N588" s="254"/>
    </row>
    <row r="589" spans="1:14">
      <c r="A589" s="253"/>
      <c r="B589" s="28"/>
      <c r="C589" s="28"/>
      <c r="D589" s="28"/>
      <c r="E589" s="28"/>
      <c r="F589" s="28"/>
      <c r="G589" s="28"/>
      <c r="H589" s="322"/>
      <c r="I589" s="28"/>
      <c r="J589" s="28"/>
      <c r="K589" s="28"/>
      <c r="L589" s="28"/>
      <c r="M589" s="28"/>
      <c r="N589" s="254"/>
    </row>
    <row r="590" spans="1:14">
      <c r="A590" s="253"/>
      <c r="B590" s="28"/>
      <c r="C590" s="28"/>
      <c r="D590" s="28"/>
      <c r="E590" s="28"/>
      <c r="F590" s="28"/>
      <c r="G590" s="28"/>
      <c r="H590" s="322"/>
      <c r="I590" s="28"/>
      <c r="J590" s="28"/>
      <c r="K590" s="28"/>
      <c r="L590" s="28"/>
      <c r="M590" s="28"/>
      <c r="N590" s="254"/>
    </row>
    <row r="591" spans="1:14">
      <c r="A591" s="253"/>
      <c r="B591" s="28"/>
      <c r="C591" s="28"/>
      <c r="D591" s="28"/>
      <c r="E591" s="28"/>
      <c r="F591" s="28"/>
      <c r="G591" s="28"/>
      <c r="H591" s="322"/>
      <c r="I591" s="28"/>
      <c r="J591" s="28"/>
      <c r="K591" s="28"/>
      <c r="L591" s="28"/>
      <c r="M591" s="28"/>
      <c r="N591" s="254"/>
    </row>
    <row r="592" spans="1:14">
      <c r="A592" s="253"/>
      <c r="B592" s="28"/>
      <c r="C592" s="28"/>
      <c r="D592" s="28"/>
      <c r="E592" s="28"/>
      <c r="F592" s="28"/>
      <c r="G592" s="28"/>
      <c r="H592" s="322"/>
      <c r="I592" s="28"/>
      <c r="J592" s="28"/>
      <c r="K592" s="28"/>
      <c r="L592" s="28"/>
      <c r="M592" s="28"/>
      <c r="N592" s="254"/>
    </row>
    <row r="593" spans="1:62">
      <c r="A593" s="253"/>
      <c r="B593" s="28"/>
      <c r="C593" s="28"/>
      <c r="D593" s="28"/>
      <c r="E593" s="28"/>
      <c r="F593" s="28"/>
      <c r="G593" s="28"/>
      <c r="H593" s="322"/>
      <c r="I593" s="28"/>
      <c r="J593" s="28"/>
      <c r="K593" s="28"/>
      <c r="L593" s="28"/>
      <c r="M593" s="28"/>
      <c r="N593" s="254"/>
    </row>
    <row r="594" spans="1:62">
      <c r="A594" s="253"/>
      <c r="B594" s="28"/>
      <c r="C594" s="28"/>
      <c r="D594" s="28"/>
      <c r="E594" s="28"/>
      <c r="F594" s="28"/>
      <c r="G594" s="28"/>
      <c r="H594" s="322"/>
      <c r="I594" s="28"/>
      <c r="J594" s="28"/>
      <c r="K594" s="28"/>
      <c r="L594" s="28"/>
      <c r="M594" s="28"/>
      <c r="N594" s="254"/>
    </row>
    <row r="595" spans="1:62">
      <c r="A595" s="253"/>
      <c r="B595" s="28"/>
      <c r="C595" s="28"/>
      <c r="D595" s="28"/>
      <c r="E595" s="28"/>
      <c r="F595" s="28"/>
      <c r="G595" s="28"/>
      <c r="H595" s="322"/>
      <c r="I595" s="28"/>
      <c r="J595" s="28"/>
      <c r="K595" s="28"/>
      <c r="L595" s="28"/>
      <c r="M595" s="28"/>
      <c r="N595" s="254"/>
    </row>
    <row r="596" spans="1:62">
      <c r="A596" s="253"/>
      <c r="B596" s="28"/>
      <c r="C596" s="28"/>
      <c r="D596" s="28"/>
      <c r="E596" s="28"/>
      <c r="F596" s="28"/>
      <c r="G596" s="28"/>
      <c r="H596" s="322"/>
      <c r="I596" s="28"/>
      <c r="J596" s="28"/>
      <c r="K596" s="28"/>
      <c r="L596" s="28"/>
      <c r="M596" s="28"/>
      <c r="N596" s="254"/>
    </row>
    <row r="597" spans="1:62">
      <c r="A597" s="253"/>
      <c r="B597" s="28"/>
      <c r="C597" s="28"/>
      <c r="D597" s="28"/>
      <c r="E597" s="28"/>
      <c r="F597" s="28"/>
      <c r="G597" s="28"/>
      <c r="H597" s="322"/>
      <c r="I597" s="28"/>
      <c r="J597" s="28"/>
      <c r="K597" s="28"/>
      <c r="L597" s="28"/>
      <c r="M597" s="28"/>
      <c r="N597" s="254"/>
    </row>
    <row r="598" spans="1:62">
      <c r="A598" s="253"/>
      <c r="B598" s="28"/>
      <c r="C598" s="28"/>
      <c r="D598" s="28"/>
      <c r="E598" s="28"/>
      <c r="F598" s="28"/>
      <c r="G598" s="28"/>
      <c r="H598" s="322"/>
      <c r="I598" s="28"/>
      <c r="J598" s="28"/>
      <c r="K598" s="28"/>
      <c r="L598" s="28"/>
      <c r="M598" s="28"/>
      <c r="N598" s="254"/>
    </row>
    <row r="599" spans="1:62">
      <c r="A599" s="253"/>
      <c r="B599" s="28"/>
      <c r="C599" s="28"/>
      <c r="D599" s="28"/>
      <c r="E599" s="28"/>
      <c r="F599" s="28"/>
      <c r="G599" s="28"/>
      <c r="H599" s="322"/>
      <c r="I599" s="28"/>
      <c r="J599" s="28"/>
      <c r="K599" s="28"/>
      <c r="L599" s="28"/>
      <c r="M599" s="28"/>
      <c r="N599" s="254"/>
    </row>
    <row r="600" spans="1:62">
      <c r="A600" s="255"/>
      <c r="B600" s="256"/>
      <c r="C600" s="256"/>
      <c r="D600" s="256"/>
      <c r="E600" s="256"/>
      <c r="F600" s="256"/>
      <c r="G600" s="256"/>
      <c r="H600" s="323"/>
      <c r="I600" s="256"/>
      <c r="J600" s="256"/>
      <c r="K600" s="256"/>
      <c r="L600" s="256"/>
      <c r="M600" s="256"/>
      <c r="N600" s="257"/>
    </row>
    <row r="601" spans="1:62" ht="30" customHeight="1">
      <c r="A601" s="250" t="s">
        <v>1148</v>
      </c>
      <c r="B601" s="944" t="s">
        <v>972</v>
      </c>
      <c r="C601" s="944"/>
      <c r="D601" s="944"/>
      <c r="E601" s="944"/>
      <c r="F601" s="944"/>
      <c r="G601" s="944"/>
      <c r="H601" s="944"/>
      <c r="I601" s="944"/>
      <c r="J601" s="944"/>
      <c r="K601" s="944"/>
      <c r="L601" s="944"/>
      <c r="M601" s="251"/>
      <c r="N601" s="252" t="s">
        <v>1149</v>
      </c>
    </row>
    <row r="602" spans="1:62">
      <c r="A602" s="253"/>
      <c r="B602" s="28"/>
      <c r="C602" s="28"/>
      <c r="D602" s="28"/>
      <c r="E602" s="28"/>
      <c r="F602" s="28"/>
      <c r="G602" s="28"/>
      <c r="H602" s="322"/>
      <c r="I602" s="28"/>
      <c r="J602" s="28"/>
      <c r="K602" s="28"/>
      <c r="L602" s="28"/>
      <c r="M602" s="28"/>
      <c r="N602" s="254"/>
    </row>
    <row r="603" spans="1:62">
      <c r="A603" s="253"/>
      <c r="B603" s="1032" t="s">
        <v>652</v>
      </c>
      <c r="C603" s="1032"/>
      <c r="D603" s="1032"/>
      <c r="E603" s="1032"/>
      <c r="F603" s="1032"/>
      <c r="G603" s="1032"/>
      <c r="H603" s="1032"/>
      <c r="I603" s="1032"/>
      <c r="J603" s="1032"/>
      <c r="K603" s="1032"/>
      <c r="L603" s="1032"/>
      <c r="M603" s="1032"/>
      <c r="N603" s="254"/>
    </row>
    <row r="604" spans="1:62">
      <c r="A604" s="253"/>
      <c r="B604" s="1032"/>
      <c r="C604" s="1032"/>
      <c r="D604" s="1032"/>
      <c r="E604" s="1032"/>
      <c r="F604" s="1032"/>
      <c r="G604" s="1032"/>
      <c r="H604" s="1032"/>
      <c r="I604" s="1032"/>
      <c r="J604" s="1032"/>
      <c r="K604" s="1032"/>
      <c r="L604" s="1032"/>
      <c r="M604" s="1032"/>
      <c r="N604" s="254"/>
    </row>
    <row r="605" spans="1:62" ht="17.399999999999999">
      <c r="A605" s="253"/>
      <c r="B605" s="269"/>
      <c r="C605" s="269"/>
      <c r="D605" s="269"/>
      <c r="E605" s="269"/>
      <c r="F605" s="269"/>
      <c r="G605" s="269"/>
      <c r="H605" s="333"/>
      <c r="I605" s="269"/>
      <c r="J605" s="269"/>
      <c r="K605" s="269"/>
      <c r="L605" s="269"/>
      <c r="M605" s="269"/>
      <c r="N605" s="254"/>
      <c r="BE605" s="2" t="str">
        <f>BF74</f>
        <v>MOUSE OVER, CLICK MOUSE, AND SELECT OPTION FROM THIS DROPDOWN LIST.</v>
      </c>
      <c r="BH605" s="2" t="s">
        <v>962</v>
      </c>
      <c r="BJ605" s="2" t="s">
        <v>969</v>
      </c>
    </row>
    <row r="606" spans="1:62">
      <c r="A606" s="253"/>
      <c r="B606" s="1033" t="s">
        <v>953</v>
      </c>
      <c r="C606" s="1033"/>
      <c r="D606" s="1033"/>
      <c r="E606" s="1033"/>
      <c r="F606" s="1033"/>
      <c r="G606" s="28"/>
      <c r="H606" s="322"/>
      <c r="I606" s="1034" t="s">
        <v>954</v>
      </c>
      <c r="J606" s="1034"/>
      <c r="K606" s="1034"/>
      <c r="L606" s="1034"/>
      <c r="M606" s="1034"/>
      <c r="N606" s="254"/>
      <c r="BE606" s="2" t="str">
        <f>B606</f>
        <v>Pain is bad and best avoided.</v>
      </c>
      <c r="BH606" s="2" t="s">
        <v>965</v>
      </c>
      <c r="BJ606" s="2" t="s">
        <v>966</v>
      </c>
    </row>
    <row r="607" spans="1:62">
      <c r="A607" s="253"/>
      <c r="B607" s="1033"/>
      <c r="C607" s="1033"/>
      <c r="D607" s="1033"/>
      <c r="E607" s="1033"/>
      <c r="F607" s="1033"/>
      <c r="G607" s="28"/>
      <c r="H607" s="322"/>
      <c r="I607" s="1034"/>
      <c r="J607" s="1034"/>
      <c r="K607" s="1034"/>
      <c r="L607" s="1034"/>
      <c r="M607" s="1034"/>
      <c r="N607" s="254"/>
      <c r="BE607" s="2" t="str">
        <f>I606</f>
        <v>Pain is good and best embraced.</v>
      </c>
      <c r="BH607" s="2" t="s">
        <v>961</v>
      </c>
      <c r="BJ607" s="2" t="s">
        <v>967</v>
      </c>
    </row>
    <row r="608" spans="1:62">
      <c r="A608" s="253"/>
      <c r="B608" s="1033"/>
      <c r="C608" s="1033"/>
      <c r="D608" s="1033"/>
      <c r="E608" s="1033"/>
      <c r="F608" s="1033"/>
      <c r="G608" s="978" t="s">
        <v>635</v>
      </c>
      <c r="H608" s="978"/>
      <c r="I608" s="1034"/>
      <c r="J608" s="1034"/>
      <c r="K608" s="1034"/>
      <c r="L608" s="1034"/>
      <c r="M608" s="1034"/>
      <c r="N608" s="254"/>
      <c r="BH608" s="2" t="s">
        <v>1222</v>
      </c>
    </row>
    <row r="609" spans="1:66">
      <c r="A609" s="253"/>
      <c r="B609" s="1033"/>
      <c r="C609" s="1033"/>
      <c r="D609" s="1033"/>
      <c r="E609" s="1033"/>
      <c r="F609" s="1033"/>
      <c r="G609" s="978"/>
      <c r="H609" s="978"/>
      <c r="I609" s="1034"/>
      <c r="J609" s="1034"/>
      <c r="K609" s="1034"/>
      <c r="L609" s="1034"/>
      <c r="M609" s="1034"/>
      <c r="N609" s="254"/>
    </row>
    <row r="610" spans="1:66">
      <c r="A610" s="253"/>
      <c r="B610" s="1033"/>
      <c r="C610" s="1033"/>
      <c r="D610" s="1033"/>
      <c r="E610" s="1033"/>
      <c r="F610" s="1033"/>
      <c r="G610" s="978"/>
      <c r="H610" s="978"/>
      <c r="I610" s="1034"/>
      <c r="J610" s="1034"/>
      <c r="K610" s="1034"/>
      <c r="L610" s="1034"/>
      <c r="M610" s="1034"/>
      <c r="N610" s="254"/>
      <c r="BE610" s="2" t="str">
        <f>IF(E$612="",BH615,IF(E$612=B606,BH616,IF(E$612=I606,BH617)))</f>
        <v>Political leaders count on you to trust their one-size-fits-all generalizations. Do you trust their generalizations to ease your pain? Or do you fault these generalizations for keeping you in pain by overlooking your specific needs?</v>
      </c>
      <c r="BM610" s="2" t="s">
        <v>958</v>
      </c>
      <c r="BN610" s="47" t="s">
        <v>3</v>
      </c>
    </row>
    <row r="611" spans="1:66" ht="18" thickBot="1">
      <c r="A611" s="253"/>
      <c r="B611" s="269"/>
      <c r="C611" s="269"/>
      <c r="D611" s="269"/>
      <c r="E611" s="269"/>
      <c r="F611" s="269"/>
      <c r="G611" s="269"/>
      <c r="H611" s="333"/>
      <c r="I611" s="269"/>
      <c r="J611" s="269"/>
      <c r="K611" s="269"/>
      <c r="L611" s="269"/>
      <c r="M611" s="269"/>
      <c r="N611" s="254"/>
    </row>
    <row r="612" spans="1:66" ht="14.4" thickTop="1">
      <c r="A612" s="253"/>
      <c r="B612" s="270" t="s">
        <v>637</v>
      </c>
      <c r="C612" s="28"/>
      <c r="D612" s="28"/>
      <c r="E612" s="1035"/>
      <c r="F612" s="1036"/>
      <c r="G612" s="1036"/>
      <c r="H612" s="1036"/>
      <c r="I612" s="1036"/>
      <c r="J612" s="1036"/>
      <c r="K612" s="1036"/>
      <c r="L612" s="1036"/>
      <c r="M612" s="1037"/>
      <c r="N612" s="254"/>
      <c r="BE612" s="2" t="str">
        <f>IF(E$612="",BH619,IF(E$612=B606,BH620,IF(E$612=I606,BH621)))</f>
        <v>Do you follow their lead in fighting others with different political views? Whether they sit to your political left or to your political right? Do you believe you must struggle against those with a different political view? If yes and you do battle others politically, does any victory provide you lasting relief? Do you ever hunger for a better alternative than all this political infighting?</v>
      </c>
    </row>
    <row r="613" spans="1:66" ht="14.4" thickBot="1">
      <c r="A613" s="253"/>
      <c r="B613" s="270" t="s">
        <v>638</v>
      </c>
      <c r="C613" s="28"/>
      <c r="D613" s="28"/>
      <c r="E613" s="1038"/>
      <c r="F613" s="1039"/>
      <c r="G613" s="1039"/>
      <c r="H613" s="1039"/>
      <c r="I613" s="1039"/>
      <c r="J613" s="1039"/>
      <c r="K613" s="1039"/>
      <c r="L613" s="1039"/>
      <c r="M613" s="1040"/>
      <c r="N613" s="254"/>
    </row>
    <row r="614" spans="1:66" ht="18" thickTop="1">
      <c r="A614" s="253"/>
      <c r="B614" s="269"/>
      <c r="C614" s="269"/>
      <c r="D614" s="269"/>
      <c r="E614" s="269"/>
      <c r="F614" s="269"/>
      <c r="G614" s="269"/>
      <c r="H614" s="333"/>
      <c r="I614" s="269"/>
      <c r="J614" s="269"/>
      <c r="K614" s="269"/>
      <c r="L614" s="269"/>
      <c r="M614" s="269"/>
      <c r="N614" s="254"/>
    </row>
    <row r="615" spans="1:66">
      <c r="A615" s="253"/>
      <c r="B615" s="1041" t="str">
        <f>BE610</f>
        <v>Political leaders count on you to trust their one-size-fits-all generalizations. Do you trust their generalizations to ease your pain? Or do you fault these generalizations for keeping you in pain by overlooking your specific needs?</v>
      </c>
      <c r="C615" s="1041"/>
      <c r="D615" s="1041"/>
      <c r="E615" s="1041"/>
      <c r="F615" s="1041"/>
      <c r="G615" s="1041"/>
      <c r="H615" s="1041"/>
      <c r="I615" s="1041"/>
      <c r="J615" s="1041"/>
      <c r="K615" s="1041"/>
      <c r="L615" s="1041"/>
      <c r="M615" s="1041"/>
      <c r="N615" s="254"/>
      <c r="BE615" s="157" t="s">
        <v>955</v>
      </c>
      <c r="BH615" s="2" t="s">
        <v>970</v>
      </c>
    </row>
    <row r="616" spans="1:66">
      <c r="A616" s="253"/>
      <c r="B616" s="1041"/>
      <c r="C616" s="1041"/>
      <c r="D616" s="1041"/>
      <c r="E616" s="1041"/>
      <c r="F616" s="1041"/>
      <c r="G616" s="1041"/>
      <c r="H616" s="1041"/>
      <c r="I616" s="1041"/>
      <c r="J616" s="1041"/>
      <c r="K616" s="1041"/>
      <c r="L616" s="1041"/>
      <c r="M616" s="1041"/>
      <c r="N616" s="254"/>
      <c r="BE616" s="157" t="s">
        <v>956</v>
      </c>
      <c r="BH616" s="2" t="s">
        <v>963</v>
      </c>
    </row>
    <row r="617" spans="1:66">
      <c r="A617" s="253"/>
      <c r="B617" s="1041"/>
      <c r="C617" s="1041"/>
      <c r="D617" s="1041"/>
      <c r="E617" s="1041"/>
      <c r="F617" s="1041"/>
      <c r="G617" s="1041"/>
      <c r="H617" s="1041"/>
      <c r="I617" s="1041"/>
      <c r="J617" s="1041"/>
      <c r="K617" s="1041"/>
      <c r="L617" s="1041"/>
      <c r="M617" s="1041"/>
      <c r="N617" s="254"/>
      <c r="BE617" s="157" t="s">
        <v>957</v>
      </c>
      <c r="BH617" s="2" t="s">
        <v>964</v>
      </c>
    </row>
    <row r="618" spans="1:66">
      <c r="A618" s="253"/>
      <c r="B618" s="1041"/>
      <c r="C618" s="1041"/>
      <c r="D618" s="1041"/>
      <c r="E618" s="1041"/>
      <c r="F618" s="1041"/>
      <c r="G618" s="1041"/>
      <c r="H618" s="1041"/>
      <c r="I618" s="1041"/>
      <c r="J618" s="1041"/>
      <c r="K618" s="1041"/>
      <c r="L618" s="1041"/>
      <c r="M618" s="1041"/>
      <c r="N618" s="254"/>
    </row>
    <row r="619" spans="1:66" ht="13.95" customHeight="1">
      <c r="A619" s="253"/>
      <c r="B619" s="1041" t="str">
        <f>BE612</f>
        <v>Do you follow their lead in fighting others with different political views? Whether they sit to your political left or to your political right? Do you believe you must struggle against those with a different political view? If yes and you do battle others politically, does any victory provide you lasting relief? Do you ever hunger for a better alternative than all this political infighting?</v>
      </c>
      <c r="C619" s="1041"/>
      <c r="D619" s="1041"/>
      <c r="E619" s="1041"/>
      <c r="F619" s="1041"/>
      <c r="G619" s="1041"/>
      <c r="H619" s="1041"/>
      <c r="I619" s="1041"/>
      <c r="J619" s="1041"/>
      <c r="K619" s="1041"/>
      <c r="L619" s="1041"/>
      <c r="M619" s="1041"/>
      <c r="N619" s="254"/>
      <c r="BE619" s="157" t="s">
        <v>955</v>
      </c>
      <c r="BH619" s="2" t="s">
        <v>1221</v>
      </c>
    </row>
    <row r="620" spans="1:66" ht="13.95" customHeight="1">
      <c r="A620" s="253"/>
      <c r="B620" s="1041"/>
      <c r="C620" s="1041"/>
      <c r="D620" s="1041"/>
      <c r="E620" s="1041"/>
      <c r="F620" s="1041"/>
      <c r="G620" s="1041"/>
      <c r="H620" s="1041"/>
      <c r="I620" s="1041"/>
      <c r="J620" s="1041"/>
      <c r="K620" s="1041"/>
      <c r="L620" s="1041"/>
      <c r="M620" s="1041"/>
      <c r="N620" s="254"/>
      <c r="BE620" s="157" t="s">
        <v>956</v>
      </c>
      <c r="BH620" s="2" t="str">
        <f>CONCATENATE(BI620,BJ620,BK620,BL620,BM610,BM620)</f>
        <v>Your specific needs are unlike theirs. You specifically need differently from political opponents. The further the gap between your self-needs and social-needs, the further you slide politically to extremes. The more you generalize for relief, the less your specific needs resolve. The more you are then tempted to be dependent on political generalizations for relief. Trusting politics can trap you in pain.</v>
      </c>
      <c r="BI620" s="2" t="s">
        <v>960</v>
      </c>
      <c r="BJ620" s="2" t="str">
        <f>IF($BS$224&lt;0,BH606,IF($BS$224&gt;0,BH607,IF($BS$224=0,BH608)))</f>
        <v xml:space="preserve">political opponents. </v>
      </c>
      <c r="BK620" s="2" t="s">
        <v>959</v>
      </c>
      <c r="BL620" s="2" t="str">
        <f>IF($BS$224&lt;0,BJ606,IF($BS$224&gt;0,BJ607,IF($BS$224=0,BJ605)))</f>
        <v xml:space="preserve">to extremes. </v>
      </c>
      <c r="BM620" s="2" t="s">
        <v>968</v>
      </c>
    </row>
    <row r="621" spans="1:66" ht="13.95" customHeight="1">
      <c r="A621" s="253"/>
      <c r="B621" s="1041"/>
      <c r="C621" s="1041"/>
      <c r="D621" s="1041"/>
      <c r="E621" s="1041"/>
      <c r="F621" s="1041"/>
      <c r="G621" s="1041"/>
      <c r="H621" s="1041"/>
      <c r="I621" s="1041"/>
      <c r="J621" s="1041"/>
      <c r="K621" s="1041"/>
      <c r="L621" s="1041"/>
      <c r="M621" s="1041"/>
      <c r="N621" s="254"/>
      <c r="BE621" s="157" t="s">
        <v>957</v>
      </c>
      <c r="BH621" s="2" t="s">
        <v>971</v>
      </c>
    </row>
    <row r="622" spans="1:66" ht="13.95" customHeight="1">
      <c r="A622" s="253"/>
      <c r="B622" s="1041"/>
      <c r="C622" s="1041"/>
      <c r="D622" s="1041"/>
      <c r="E622" s="1041"/>
      <c r="F622" s="1041"/>
      <c r="G622" s="1041"/>
      <c r="H622" s="1041"/>
      <c r="I622" s="1041"/>
      <c r="J622" s="1041"/>
      <c r="K622" s="1041"/>
      <c r="L622" s="1041"/>
      <c r="M622" s="1041"/>
      <c r="N622" s="254"/>
    </row>
    <row r="623" spans="1:66" ht="13.95" customHeight="1">
      <c r="A623" s="253"/>
      <c r="B623" s="1041"/>
      <c r="C623" s="1041"/>
      <c r="D623" s="1041"/>
      <c r="E623" s="1041"/>
      <c r="F623" s="1041"/>
      <c r="G623" s="1041"/>
      <c r="H623" s="1041"/>
      <c r="I623" s="1041"/>
      <c r="J623" s="1041"/>
      <c r="K623" s="1041"/>
      <c r="L623" s="1041"/>
      <c r="M623" s="1041"/>
      <c r="N623" s="254"/>
    </row>
    <row r="624" spans="1:66" ht="13.95" customHeight="1">
      <c r="A624" s="253"/>
      <c r="B624" s="1041"/>
      <c r="C624" s="1041"/>
      <c r="D624" s="1041"/>
      <c r="E624" s="1041"/>
      <c r="F624" s="1041"/>
      <c r="G624" s="1041"/>
      <c r="H624" s="1041"/>
      <c r="I624" s="1041"/>
      <c r="J624" s="1041"/>
      <c r="K624" s="1041"/>
      <c r="L624" s="1041"/>
      <c r="M624" s="1041"/>
      <c r="N624" s="254"/>
    </row>
    <row r="625" spans="1:14">
      <c r="A625" s="253"/>
      <c r="B625" s="28"/>
      <c r="C625" s="28"/>
      <c r="D625" s="28"/>
      <c r="E625" s="28"/>
      <c r="F625" s="28"/>
      <c r="G625" s="28"/>
      <c r="H625" s="322"/>
      <c r="I625" s="28"/>
      <c r="J625" s="28"/>
      <c r="K625" s="28"/>
      <c r="L625" s="28"/>
      <c r="M625" s="28"/>
      <c r="N625" s="254"/>
    </row>
    <row r="626" spans="1:14">
      <c r="A626" s="253"/>
      <c r="B626" s="28"/>
      <c r="C626" s="28"/>
      <c r="D626" s="28"/>
      <c r="E626" s="28"/>
      <c r="F626" s="28"/>
      <c r="G626" s="28"/>
      <c r="H626" s="322"/>
      <c r="I626" s="28"/>
      <c r="J626" s="28"/>
      <c r="K626" s="28"/>
      <c r="L626" s="28"/>
      <c r="M626" s="28"/>
      <c r="N626" s="254"/>
    </row>
    <row r="627" spans="1:14">
      <c r="A627" s="253"/>
      <c r="B627" s="28"/>
      <c r="C627" s="28"/>
      <c r="D627" s="28"/>
      <c r="E627" s="28"/>
      <c r="F627" s="28"/>
      <c r="G627" s="28"/>
      <c r="H627" s="322"/>
      <c r="I627" s="28"/>
      <c r="J627" s="28"/>
      <c r="K627" s="28"/>
      <c r="L627" s="28"/>
      <c r="M627" s="28"/>
      <c r="N627" s="254"/>
    </row>
    <row r="628" spans="1:14">
      <c r="A628" s="253"/>
      <c r="B628" s="28"/>
      <c r="C628" s="28"/>
      <c r="D628" s="28"/>
      <c r="E628" s="28"/>
      <c r="F628" s="28"/>
      <c r="G628" s="28"/>
      <c r="H628" s="322"/>
      <c r="I628" s="28"/>
      <c r="J628" s="28"/>
      <c r="K628" s="28"/>
      <c r="L628" s="28"/>
      <c r="M628" s="28"/>
      <c r="N628" s="254"/>
    </row>
    <row r="629" spans="1:14">
      <c r="A629" s="253"/>
      <c r="B629" s="28"/>
      <c r="C629" s="28"/>
      <c r="D629" s="28"/>
      <c r="E629" s="28"/>
      <c r="F629" s="28"/>
      <c r="G629" s="28"/>
      <c r="H629" s="322"/>
      <c r="I629" s="28"/>
      <c r="J629" s="28"/>
      <c r="K629" s="28"/>
      <c r="L629" s="28"/>
      <c r="M629" s="28"/>
      <c r="N629" s="254"/>
    </row>
    <row r="630" spans="1:14">
      <c r="A630" s="253"/>
      <c r="B630" s="28"/>
      <c r="C630" s="28"/>
      <c r="D630" s="28"/>
      <c r="E630" s="28"/>
      <c r="F630" s="28"/>
      <c r="G630" s="28"/>
      <c r="H630" s="322"/>
      <c r="I630" s="28"/>
      <c r="J630" s="28"/>
      <c r="K630" s="28"/>
      <c r="L630" s="28"/>
      <c r="M630" s="28"/>
      <c r="N630" s="254"/>
    </row>
    <row r="631" spans="1:14">
      <c r="A631" s="253"/>
      <c r="B631" s="28"/>
      <c r="C631" s="28"/>
      <c r="D631" s="28"/>
      <c r="E631" s="28"/>
      <c r="F631" s="28"/>
      <c r="G631" s="28"/>
      <c r="H631" s="322"/>
      <c r="I631" s="28"/>
      <c r="J631" s="28"/>
      <c r="K631" s="28"/>
      <c r="L631" s="28"/>
      <c r="M631" s="28"/>
      <c r="N631" s="254"/>
    </row>
    <row r="632" spans="1:14">
      <c r="A632" s="253"/>
      <c r="B632" s="28"/>
      <c r="C632" s="28"/>
      <c r="D632" s="28"/>
      <c r="E632" s="28"/>
      <c r="F632" s="28"/>
      <c r="G632" s="28"/>
      <c r="H632" s="322"/>
      <c r="I632" s="28"/>
      <c r="J632" s="28"/>
      <c r="K632" s="28"/>
      <c r="L632" s="28"/>
      <c r="M632" s="28"/>
      <c r="N632" s="254"/>
    </row>
    <row r="633" spans="1:14">
      <c r="A633" s="253"/>
      <c r="B633" s="28"/>
      <c r="C633" s="28"/>
      <c r="D633" s="28"/>
      <c r="E633" s="28"/>
      <c r="F633" s="28"/>
      <c r="G633" s="28"/>
      <c r="H633" s="322"/>
      <c r="I633" s="28"/>
      <c r="J633" s="28"/>
      <c r="K633" s="28"/>
      <c r="L633" s="28"/>
      <c r="M633" s="28"/>
      <c r="N633" s="254"/>
    </row>
    <row r="634" spans="1:14">
      <c r="A634" s="253"/>
      <c r="B634" s="28"/>
      <c r="C634" s="28"/>
      <c r="D634" s="28"/>
      <c r="E634" s="28"/>
      <c r="F634" s="28"/>
      <c r="G634" s="28"/>
      <c r="H634" s="322"/>
      <c r="I634" s="28"/>
      <c r="J634" s="28"/>
      <c r="K634" s="28"/>
      <c r="L634" s="28"/>
      <c r="M634" s="28"/>
      <c r="N634" s="254"/>
    </row>
    <row r="635" spans="1:14">
      <c r="A635" s="253"/>
      <c r="B635" s="28"/>
      <c r="C635" s="28"/>
      <c r="D635" s="28"/>
      <c r="E635" s="28"/>
      <c r="F635" s="28"/>
      <c r="G635" s="28"/>
      <c r="H635" s="322"/>
      <c r="I635" s="28"/>
      <c r="J635" s="28"/>
      <c r="K635" s="28"/>
      <c r="L635" s="28"/>
      <c r="M635" s="28"/>
      <c r="N635" s="254"/>
    </row>
    <row r="636" spans="1:14">
      <c r="A636" s="253"/>
      <c r="B636" s="28"/>
      <c r="C636" s="28"/>
      <c r="D636" s="28"/>
      <c r="E636" s="28"/>
      <c r="F636" s="28"/>
      <c r="G636" s="28"/>
      <c r="H636" s="322"/>
      <c r="I636" s="28"/>
      <c r="J636" s="28"/>
      <c r="K636" s="28"/>
      <c r="L636" s="28"/>
      <c r="M636" s="28"/>
      <c r="N636" s="254"/>
    </row>
    <row r="637" spans="1:14">
      <c r="A637" s="253"/>
      <c r="B637" s="28"/>
      <c r="C637" s="28"/>
      <c r="D637" s="28"/>
      <c r="E637" s="28"/>
      <c r="F637" s="28"/>
      <c r="G637" s="28"/>
      <c r="H637" s="322"/>
      <c r="I637" s="28"/>
      <c r="J637" s="28"/>
      <c r="K637" s="28"/>
      <c r="L637" s="28"/>
      <c r="M637" s="28"/>
      <c r="N637" s="254"/>
    </row>
    <row r="638" spans="1:14">
      <c r="A638" s="253"/>
      <c r="B638" s="28"/>
      <c r="C638" s="28"/>
      <c r="D638" s="28"/>
      <c r="E638" s="28"/>
      <c r="F638" s="28"/>
      <c r="G638" s="28"/>
      <c r="H638" s="322"/>
      <c r="I638" s="28"/>
      <c r="J638" s="28"/>
      <c r="K638" s="28"/>
      <c r="L638" s="28"/>
      <c r="M638" s="28"/>
      <c r="N638" s="254"/>
    </row>
    <row r="639" spans="1:14">
      <c r="A639" s="253"/>
      <c r="B639" s="28"/>
      <c r="C639" s="28"/>
      <c r="D639" s="28"/>
      <c r="E639" s="28"/>
      <c r="F639" s="28"/>
      <c r="G639" s="28"/>
      <c r="H639" s="322"/>
      <c r="I639" s="28"/>
      <c r="J639" s="28"/>
      <c r="K639" s="28"/>
      <c r="L639" s="28"/>
      <c r="M639" s="28"/>
      <c r="N639" s="254"/>
    </row>
    <row r="640" spans="1:14">
      <c r="A640" s="253"/>
      <c r="B640" s="28"/>
      <c r="C640" s="28"/>
      <c r="D640" s="28"/>
      <c r="E640" s="28"/>
      <c r="F640" s="28"/>
      <c r="G640" s="28"/>
      <c r="H640" s="322"/>
      <c r="I640" s="28"/>
      <c r="J640" s="28"/>
      <c r="K640" s="28"/>
      <c r="L640" s="28"/>
      <c r="M640" s="28"/>
      <c r="N640" s="254"/>
    </row>
    <row r="641" spans="1:65">
      <c r="A641" s="253"/>
      <c r="B641" s="28"/>
      <c r="C641" s="28"/>
      <c r="D641" s="28"/>
      <c r="E641" s="28"/>
      <c r="F641" s="28"/>
      <c r="G641" s="28"/>
      <c r="H641" s="322"/>
      <c r="I641" s="28"/>
      <c r="J641" s="28"/>
      <c r="K641" s="28"/>
      <c r="L641" s="28"/>
      <c r="M641" s="28"/>
      <c r="N641" s="254"/>
    </row>
    <row r="642" spans="1:65">
      <c r="A642" s="253"/>
      <c r="B642" s="28"/>
      <c r="C642" s="28"/>
      <c r="D642" s="28"/>
      <c r="E642" s="28"/>
      <c r="F642" s="28"/>
      <c r="G642" s="28"/>
      <c r="H642" s="322"/>
      <c r="I642" s="28"/>
      <c r="J642" s="28"/>
      <c r="K642" s="28"/>
      <c r="L642" s="28"/>
      <c r="M642" s="28"/>
      <c r="N642" s="254"/>
    </row>
    <row r="643" spans="1:65">
      <c r="A643" s="253"/>
      <c r="B643" s="28"/>
      <c r="C643" s="28"/>
      <c r="D643" s="28"/>
      <c r="E643" s="28"/>
      <c r="F643" s="28"/>
      <c r="G643" s="28"/>
      <c r="H643" s="322"/>
      <c r="I643" s="28"/>
      <c r="J643" s="28"/>
      <c r="K643" s="28"/>
      <c r="L643" s="28"/>
      <c r="M643" s="28"/>
      <c r="N643" s="254"/>
    </row>
    <row r="644" spans="1:65">
      <c r="A644" s="253"/>
      <c r="B644" s="28"/>
      <c r="C644" s="28"/>
      <c r="D644" s="28"/>
      <c r="E644" s="28"/>
      <c r="F644" s="28"/>
      <c r="G644" s="28"/>
      <c r="H644" s="322"/>
      <c r="I644" s="28"/>
      <c r="J644" s="28"/>
      <c r="K644" s="28"/>
      <c r="L644" s="28"/>
      <c r="M644" s="28"/>
      <c r="N644" s="254"/>
    </row>
    <row r="645" spans="1:65">
      <c r="A645" s="253"/>
      <c r="B645" s="28"/>
      <c r="C645" s="28"/>
      <c r="D645" s="28"/>
      <c r="E645" s="28"/>
      <c r="F645" s="28"/>
      <c r="G645" s="28"/>
      <c r="H645" s="322"/>
      <c r="I645" s="28"/>
      <c r="J645" s="28"/>
      <c r="K645" s="28"/>
      <c r="L645" s="28"/>
      <c r="M645" s="28"/>
      <c r="N645" s="254"/>
    </row>
    <row r="646" spans="1:65">
      <c r="A646" s="255"/>
      <c r="B646" s="256"/>
      <c r="C646" s="256"/>
      <c r="D646" s="256"/>
      <c r="E646" s="256"/>
      <c r="F646" s="256"/>
      <c r="G646" s="256"/>
      <c r="H646" s="323"/>
      <c r="I646" s="256"/>
      <c r="J646" s="256"/>
      <c r="K646" s="256"/>
      <c r="L646" s="256"/>
      <c r="M646" s="256"/>
      <c r="N646" s="257"/>
    </row>
    <row r="647" spans="1:65" ht="30" customHeight="1">
      <c r="A647" s="250" t="s">
        <v>1148</v>
      </c>
      <c r="B647" s="944" t="s">
        <v>951</v>
      </c>
      <c r="C647" s="944"/>
      <c r="D647" s="944"/>
      <c r="E647" s="944"/>
      <c r="F647" s="944"/>
      <c r="G647" s="944"/>
      <c r="H647" s="944"/>
      <c r="I647" s="944"/>
      <c r="J647" s="944"/>
      <c r="K647" s="944"/>
      <c r="L647" s="944"/>
      <c r="M647" s="251"/>
      <c r="N647" s="252" t="s">
        <v>1149</v>
      </c>
    </row>
    <row r="648" spans="1:65" ht="13.95" customHeight="1">
      <c r="A648" s="253"/>
      <c r="B648" s="28"/>
      <c r="C648" s="28"/>
      <c r="D648" s="28"/>
      <c r="E648" s="28"/>
      <c r="F648" s="28"/>
      <c r="G648" s="28"/>
      <c r="H648" s="322"/>
      <c r="I648" s="28"/>
      <c r="J648" s="28"/>
      <c r="K648" s="28"/>
      <c r="L648" s="28"/>
      <c r="M648" s="28"/>
      <c r="N648" s="254"/>
    </row>
    <row r="649" spans="1:65" ht="13.95" customHeight="1">
      <c r="A649" s="253"/>
      <c r="B649" s="28"/>
      <c r="C649" s="28"/>
      <c r="D649" s="28"/>
      <c r="E649" s="28"/>
      <c r="F649" s="28"/>
      <c r="G649" s="28"/>
      <c r="H649" s="322"/>
      <c r="I649" s="28"/>
      <c r="J649" s="28"/>
      <c r="K649" s="28"/>
      <c r="L649" s="28"/>
      <c r="M649" s="28"/>
      <c r="N649" s="254"/>
    </row>
    <row r="650" spans="1:65" ht="14.4" customHeight="1">
      <c r="A650" s="253"/>
      <c r="B650" s="28"/>
      <c r="C650" s="28"/>
      <c r="D650" s="28"/>
      <c r="E650" s="28"/>
      <c r="F650" s="28"/>
      <c r="G650" s="28"/>
      <c r="H650" s="322"/>
      <c r="I650" s="28"/>
      <c r="J650" s="28"/>
      <c r="K650" s="28"/>
      <c r="L650" s="28"/>
      <c r="M650" s="28"/>
      <c r="N650" s="254"/>
    </row>
    <row r="651" spans="1:65" ht="13.95" customHeight="1">
      <c r="A651" s="253"/>
      <c r="B651" s="28"/>
      <c r="C651" s="28"/>
      <c r="D651" s="28"/>
      <c r="E651" s="28"/>
      <c r="F651" s="28"/>
      <c r="G651" s="28"/>
      <c r="H651" s="322"/>
      <c r="I651" s="28"/>
      <c r="J651" s="28"/>
      <c r="K651" s="28"/>
      <c r="L651" s="28"/>
      <c r="M651" s="28"/>
      <c r="N651" s="254"/>
    </row>
    <row r="652" spans="1:65">
      <c r="A652" s="253"/>
      <c r="B652" s="28"/>
      <c r="C652" s="28"/>
      <c r="D652" s="28"/>
      <c r="E652" s="28"/>
      <c r="F652" s="28"/>
      <c r="G652" s="28"/>
      <c r="H652" s="322"/>
      <c r="I652" s="28"/>
      <c r="J652" s="28"/>
      <c r="K652" s="28"/>
      <c r="L652" s="28"/>
      <c r="M652" s="28"/>
      <c r="N652" s="254"/>
    </row>
    <row r="653" spans="1:65">
      <c r="A653" s="253"/>
      <c r="B653" s="28"/>
      <c r="C653" s="28"/>
      <c r="D653" s="28"/>
      <c r="E653" s="28"/>
      <c r="F653" s="28"/>
      <c r="G653" s="28"/>
      <c r="H653" s="322"/>
      <c r="I653" s="28"/>
      <c r="J653" s="28"/>
      <c r="K653" s="28"/>
      <c r="L653" s="28"/>
      <c r="M653" s="28"/>
      <c r="N653" s="254"/>
    </row>
    <row r="654" spans="1:65">
      <c r="A654" s="253"/>
      <c r="B654" s="28"/>
      <c r="C654" s="28"/>
      <c r="D654" s="28"/>
      <c r="E654" s="28"/>
      <c r="F654" s="28"/>
      <c r="G654" s="28"/>
      <c r="H654" s="322"/>
      <c r="I654" s="28"/>
      <c r="J654" s="28"/>
      <c r="K654" s="28"/>
      <c r="L654" s="28"/>
      <c r="M654" s="28"/>
      <c r="N654" s="254"/>
    </row>
    <row r="655" spans="1:65">
      <c r="A655" s="253"/>
      <c r="B655" s="28"/>
      <c r="C655" s="28"/>
      <c r="D655" s="28"/>
      <c r="E655" s="28"/>
      <c r="F655" s="28"/>
      <c r="G655" s="28"/>
      <c r="H655" s="322"/>
      <c r="I655" s="28"/>
      <c r="J655" s="28"/>
      <c r="K655" s="28"/>
      <c r="L655" s="28"/>
      <c r="M655" s="28"/>
      <c r="N655" s="254"/>
    </row>
    <row r="656" spans="1:65" ht="16.2">
      <c r="A656" s="253"/>
      <c r="B656" s="28"/>
      <c r="C656" s="28"/>
      <c r="D656" s="28"/>
      <c r="E656" s="28"/>
      <c r="F656" s="28"/>
      <c r="G656" s="28"/>
      <c r="H656" s="322"/>
      <c r="I656" s="28"/>
      <c r="J656" s="28"/>
      <c r="K656" s="28"/>
      <c r="L656" s="28"/>
      <c r="M656" s="28"/>
      <c r="N656" s="254"/>
      <c r="BE656" s="49">
        <f t="shared" ref="BE656:BL656" si="4">BE210</f>
        <v>0</v>
      </c>
      <c r="BF656" s="49">
        <f t="shared" si="4"/>
        <v>0</v>
      </c>
      <c r="BG656" s="49">
        <f t="shared" si="4"/>
        <v>0</v>
      </c>
      <c r="BH656" s="49">
        <f t="shared" si="4"/>
        <v>0</v>
      </c>
      <c r="BI656" s="49">
        <f t="shared" si="4"/>
        <v>0</v>
      </c>
      <c r="BJ656" s="49">
        <f t="shared" si="4"/>
        <v>0</v>
      </c>
      <c r="BK656" s="49">
        <f t="shared" si="4"/>
        <v>0</v>
      </c>
      <c r="BL656" s="49">
        <f t="shared" si="4"/>
        <v>0</v>
      </c>
      <c r="BM656" s="47" t="s">
        <v>3</v>
      </c>
    </row>
    <row r="657" spans="1:65" ht="15.6" customHeight="1">
      <c r="A657" s="253"/>
      <c r="B657" s="28"/>
      <c r="C657" s="28"/>
      <c r="D657" s="28"/>
      <c r="E657" s="28"/>
      <c r="F657" s="28"/>
      <c r="G657" s="28"/>
      <c r="H657" s="322"/>
      <c r="I657" s="28"/>
      <c r="J657" s="28"/>
      <c r="K657" s="28"/>
      <c r="L657" s="28"/>
      <c r="M657" s="28"/>
      <c r="N657" s="254"/>
      <c r="BB657" s="2" t="str">
        <f>IF($P$407=BB$92,BE657,IF($P$407=BB$93,BF657,IF($P$407=BB$94,BG657,IF($P$407=BB$95,BH657,IF($P$407=BB$96,BI657,IF($P$407=BB$97,BJ657,IF($P$407=BB$98,BK657,IF($P$407=BB$99,BL657,""))))))))</f>
        <v>The more you affirm my need to include worthy migrants, the easier to respect your need to stay safe from violent migrants.</v>
      </c>
      <c r="BD657" s="131" t="s">
        <v>602</v>
      </c>
      <c r="BE657" s="2" t="s">
        <v>606</v>
      </c>
      <c r="BF657" s="2" t="s">
        <v>598</v>
      </c>
      <c r="BG657" s="2" t="s">
        <v>610</v>
      </c>
      <c r="BH657" s="2" t="s">
        <v>614</v>
      </c>
      <c r="BI657" s="2" t="s">
        <v>632</v>
      </c>
      <c r="BJ657" s="2" t="s">
        <v>620</v>
      </c>
      <c r="BK657" s="2" t="s">
        <v>624</v>
      </c>
      <c r="BL657" s="2" t="s">
        <v>628</v>
      </c>
      <c r="BM657" s="47" t="s">
        <v>3</v>
      </c>
    </row>
    <row r="658" spans="1:65" ht="15" customHeight="1">
      <c r="A658" s="253"/>
      <c r="B658" s="28"/>
      <c r="C658" s="28"/>
      <c r="D658" s="28"/>
      <c r="E658" s="28"/>
      <c r="F658" s="28"/>
      <c r="G658" s="28"/>
      <c r="H658" s="322"/>
      <c r="I658" s="28"/>
      <c r="J658" s="28"/>
      <c r="K658" s="28"/>
      <c r="L658" s="28"/>
      <c r="M658" s="28"/>
      <c r="N658" s="254"/>
      <c r="BB658" s="2" t="str">
        <f>IF($P$407=BB$92,BE658,IF($P$407=BB$93,BF658,IF($P$407=BB$94,BG658,IF($P$407=BB$95,BH658,IF($P$407=BB$96,BI658,IF($P$407=BB$97,BJ658,IF($P$407=BB$98,BK658,IF($P$407=BB$99,BL658,""))))))))</f>
        <v>But the more you insist we all blend in to some melting pot, the less I can serve your need for local or national cohesion.</v>
      </c>
      <c r="BD658" s="131" t="s">
        <v>603</v>
      </c>
      <c r="BE658" s="2" t="s">
        <v>607</v>
      </c>
      <c r="BF658" s="2" t="s">
        <v>599</v>
      </c>
      <c r="BG658" s="2" t="s">
        <v>611</v>
      </c>
      <c r="BH658" s="2" t="s">
        <v>615</v>
      </c>
      <c r="BI658" s="132" t="s">
        <v>618</v>
      </c>
      <c r="BJ658" s="2" t="s">
        <v>621</v>
      </c>
      <c r="BK658" s="2" t="s">
        <v>625</v>
      </c>
      <c r="BL658" s="2" t="s">
        <v>629</v>
      </c>
      <c r="BM658" s="47" t="s">
        <v>3</v>
      </c>
    </row>
    <row r="659" spans="1:65" ht="15" customHeight="1">
      <c r="A659" s="253"/>
      <c r="B659" s="28"/>
      <c r="C659" s="28"/>
      <c r="D659" s="28"/>
      <c r="E659" s="28"/>
      <c r="F659" s="28"/>
      <c r="G659" s="28"/>
      <c r="H659" s="322"/>
      <c r="I659" s="28"/>
      <c r="J659" s="28"/>
      <c r="K659" s="28"/>
      <c r="L659" s="28"/>
      <c r="M659" s="28"/>
      <c r="N659" s="254"/>
      <c r="BB659" s="2" t="str">
        <f>IF($P$407=BB$92,BE659,IF($P$407=BB$93,BF659,IF($P$407=BB$94,BG659,IF($P$407=BB$95,BH659,IF($P$407=BB$96,BI659,IF($P$407=BB$97,BJ659,IF($P$407=BB$98,BK659,IF($P$407=BB$99,BL659,""))))))))</f>
        <v>The more you affirm my need to stay safe from lawless migrants, the easier to respect your need to include legitimate migrants.</v>
      </c>
      <c r="BD659" s="131" t="s">
        <v>604</v>
      </c>
      <c r="BE659" s="2" t="s">
        <v>608</v>
      </c>
      <c r="BF659" s="2" t="s">
        <v>600</v>
      </c>
      <c r="BG659" s="2" t="s">
        <v>612</v>
      </c>
      <c r="BH659" s="2" t="s">
        <v>616</v>
      </c>
      <c r="BI659" s="2" t="s">
        <v>619</v>
      </c>
      <c r="BJ659" s="2" t="s">
        <v>622</v>
      </c>
      <c r="BK659" s="2" t="s">
        <v>626</v>
      </c>
      <c r="BL659" s="2" t="s">
        <v>630</v>
      </c>
      <c r="BM659" s="47" t="s">
        <v>3</v>
      </c>
    </row>
    <row r="660" spans="1:65" ht="15" customHeight="1">
      <c r="A660" s="253"/>
      <c r="B660" s="28"/>
      <c r="C660" s="28"/>
      <c r="D660" s="28"/>
      <c r="E660" s="28"/>
      <c r="F660" s="28"/>
      <c r="G660" s="28"/>
      <c r="H660" s="322"/>
      <c r="I660" s="28"/>
      <c r="J660" s="28"/>
      <c r="K660" s="28"/>
      <c r="L660" s="28"/>
      <c r="M660" s="28"/>
      <c r="N660" s="254"/>
      <c r="BB660" s="2" t="str">
        <f>IF($P$407=BB$92,BE660,IF($P$407=BB$93,BF660,IF($P$407=BB$94,BG660,IF($P$407=BB$95,BH660,IF($P$407=BB$96,BI660,IF($P$407=BB$97,BJ660,IF($P$407=BB$98,BK660,IF($P$407=BB$99,BL660,""))))))))</f>
        <v>But the more you insist we compromise our national cohesion, the less I can accept their lack of acculturation.</v>
      </c>
      <c r="BD660" s="131" t="s">
        <v>605</v>
      </c>
      <c r="BE660" s="2" t="s">
        <v>609</v>
      </c>
      <c r="BF660" s="2" t="s">
        <v>601</v>
      </c>
      <c r="BG660" s="2" t="s">
        <v>613</v>
      </c>
      <c r="BH660" s="2" t="s">
        <v>617</v>
      </c>
      <c r="BI660" s="2" t="s">
        <v>633</v>
      </c>
      <c r="BJ660" s="2" t="s">
        <v>623</v>
      </c>
      <c r="BK660" s="2" t="s">
        <v>627</v>
      </c>
      <c r="BL660" s="2" t="s">
        <v>631</v>
      </c>
      <c r="BM660" s="47" t="s">
        <v>3</v>
      </c>
    </row>
    <row r="661" spans="1:65" ht="13.95" customHeight="1">
      <c r="A661" s="253"/>
      <c r="B661" s="28"/>
      <c r="C661" s="28"/>
      <c r="D661" s="28"/>
      <c r="E661" s="28"/>
      <c r="F661" s="28"/>
      <c r="G661" s="28"/>
      <c r="H661" s="322"/>
      <c r="I661" s="28"/>
      <c r="J661" s="28"/>
      <c r="K661" s="28"/>
      <c r="L661" s="28"/>
      <c r="M661" s="28"/>
      <c r="N661" s="254"/>
    </row>
    <row r="662" spans="1:65" ht="13.95" customHeight="1">
      <c r="A662" s="253"/>
      <c r="B662" s="28"/>
      <c r="C662" s="28"/>
      <c r="D662" s="28"/>
      <c r="E662" s="28"/>
      <c r="F662" s="28"/>
      <c r="G662" s="28"/>
      <c r="H662" s="322"/>
      <c r="I662" s="28"/>
      <c r="J662" s="28"/>
      <c r="K662" s="28"/>
      <c r="L662" s="28"/>
      <c r="M662" s="28"/>
      <c r="N662" s="254"/>
    </row>
    <row r="663" spans="1:65" ht="13.95" customHeight="1">
      <c r="A663" s="253"/>
      <c r="B663" s="28"/>
      <c r="C663" s="28"/>
      <c r="D663" s="28"/>
      <c r="E663" s="28"/>
      <c r="F663" s="28"/>
      <c r="G663" s="28"/>
      <c r="H663" s="322"/>
      <c r="I663" s="28"/>
      <c r="J663" s="28"/>
      <c r="K663" s="28"/>
      <c r="L663" s="28"/>
      <c r="M663" s="28"/>
      <c r="N663" s="254"/>
    </row>
    <row r="664" spans="1:65" ht="13.95" customHeight="1">
      <c r="A664" s="253"/>
      <c r="B664" s="28"/>
      <c r="C664" s="28"/>
      <c r="D664" s="28"/>
      <c r="E664" s="28"/>
      <c r="F664" s="28"/>
      <c r="G664" s="28"/>
      <c r="H664" s="322"/>
      <c r="I664" s="28"/>
      <c r="J664" s="28"/>
      <c r="K664" s="28"/>
      <c r="L664" s="28"/>
      <c r="M664" s="28"/>
      <c r="N664" s="254"/>
    </row>
    <row r="665" spans="1:65" ht="13.95" customHeight="1">
      <c r="A665" s="253"/>
      <c r="B665" s="28"/>
      <c r="C665" s="28"/>
      <c r="D665" s="28"/>
      <c r="E665" s="28"/>
      <c r="F665" s="28"/>
      <c r="G665" s="28"/>
      <c r="H665" s="322"/>
      <c r="I665" s="28"/>
      <c r="J665" s="28"/>
      <c r="K665" s="28"/>
      <c r="L665" s="28"/>
      <c r="M665" s="28"/>
      <c r="N665" s="254"/>
    </row>
    <row r="666" spans="1:65" ht="13.95" customHeight="1">
      <c r="A666" s="253"/>
      <c r="B666" s="28"/>
      <c r="C666" s="28"/>
      <c r="D666" s="28"/>
      <c r="E666" s="28"/>
      <c r="F666" s="28"/>
      <c r="G666" s="28"/>
      <c r="H666" s="322"/>
      <c r="I666" s="28"/>
      <c r="J666" s="28"/>
      <c r="K666" s="28"/>
      <c r="L666" s="28"/>
      <c r="M666" s="28"/>
      <c r="N666" s="254"/>
    </row>
    <row r="667" spans="1:65" ht="13.95" customHeight="1">
      <c r="A667" s="253"/>
      <c r="B667" s="28"/>
      <c r="C667" s="28"/>
      <c r="D667" s="28"/>
      <c r="E667" s="28"/>
      <c r="F667" s="28"/>
      <c r="G667" s="28"/>
      <c r="H667" s="322"/>
      <c r="I667" s="28"/>
      <c r="J667" s="28"/>
      <c r="K667" s="28"/>
      <c r="L667" s="28"/>
      <c r="M667" s="28"/>
      <c r="N667" s="254"/>
    </row>
    <row r="668" spans="1:65" ht="13.95" customHeight="1">
      <c r="A668" s="253"/>
      <c r="B668" s="28"/>
      <c r="C668" s="28"/>
      <c r="D668" s="28"/>
      <c r="E668" s="28"/>
      <c r="F668" s="28"/>
      <c r="G668" s="28"/>
      <c r="H668" s="322"/>
      <c r="I668" s="28"/>
      <c r="J668" s="28"/>
      <c r="K668" s="28"/>
      <c r="L668" s="28"/>
      <c r="M668" s="28"/>
      <c r="N668" s="254"/>
    </row>
    <row r="669" spans="1:65" ht="13.95" customHeight="1">
      <c r="A669" s="253"/>
      <c r="B669" s="28"/>
      <c r="C669" s="28"/>
      <c r="D669" s="28"/>
      <c r="E669" s="28"/>
      <c r="F669" s="28"/>
      <c r="G669" s="28"/>
      <c r="H669" s="322"/>
      <c r="I669" s="28"/>
      <c r="J669" s="28"/>
      <c r="K669" s="28"/>
      <c r="L669" s="28"/>
      <c r="M669" s="28"/>
      <c r="N669" s="254"/>
    </row>
    <row r="670" spans="1:65" ht="13.95" customHeight="1">
      <c r="A670" s="253"/>
      <c r="B670" s="28"/>
      <c r="C670" s="28"/>
      <c r="D670" s="28"/>
      <c r="E670" s="28"/>
      <c r="F670" s="28"/>
      <c r="G670" s="28"/>
      <c r="H670" s="322"/>
      <c r="I670" s="28"/>
      <c r="J670" s="28"/>
      <c r="K670" s="28"/>
      <c r="L670" s="28"/>
      <c r="M670" s="28"/>
      <c r="N670" s="254"/>
    </row>
    <row r="671" spans="1:65" ht="13.95" customHeight="1">
      <c r="A671" s="253"/>
      <c r="B671" s="28"/>
      <c r="C671" s="28"/>
      <c r="D671" s="28"/>
      <c r="E671" s="28"/>
      <c r="F671" s="28"/>
      <c r="G671" s="28"/>
      <c r="H671" s="322"/>
      <c r="I671" s="28"/>
      <c r="J671" s="28"/>
      <c r="K671" s="28"/>
      <c r="L671" s="28"/>
      <c r="M671" s="28"/>
      <c r="N671" s="254"/>
    </row>
    <row r="672" spans="1:65" ht="13.95" customHeight="1">
      <c r="A672" s="253"/>
      <c r="B672" s="28"/>
      <c r="C672" s="28"/>
      <c r="D672" s="28"/>
      <c r="E672" s="28"/>
      <c r="F672" s="28"/>
      <c r="G672" s="28"/>
      <c r="H672" s="322"/>
      <c r="I672" s="28"/>
      <c r="J672" s="28"/>
      <c r="K672" s="28"/>
      <c r="L672" s="28"/>
      <c r="M672" s="28"/>
      <c r="N672" s="254"/>
    </row>
    <row r="673" spans="1:14" ht="13.95" customHeight="1">
      <c r="A673" s="253"/>
      <c r="B673" s="28"/>
      <c r="C673" s="28"/>
      <c r="D673" s="28"/>
      <c r="E673" s="28"/>
      <c r="F673" s="28"/>
      <c r="G673" s="28"/>
      <c r="H673" s="322"/>
      <c r="I673" s="28"/>
      <c r="J673" s="28"/>
      <c r="K673" s="28"/>
      <c r="L673" s="28"/>
      <c r="M673" s="28"/>
      <c r="N673" s="254"/>
    </row>
    <row r="674" spans="1:14" ht="13.95" customHeight="1">
      <c r="A674" s="253"/>
      <c r="B674" s="28"/>
      <c r="C674" s="28"/>
      <c r="D674" s="28"/>
      <c r="E674" s="28"/>
      <c r="F674" s="28"/>
      <c r="G674" s="28"/>
      <c r="H674" s="322"/>
      <c r="I674" s="28"/>
      <c r="J674" s="28"/>
      <c r="K674" s="28"/>
      <c r="L674" s="28"/>
      <c r="M674" s="28"/>
      <c r="N674" s="254"/>
    </row>
    <row r="675" spans="1:14" ht="13.95" customHeight="1">
      <c r="A675" s="253"/>
      <c r="B675" s="28"/>
      <c r="C675" s="28"/>
      <c r="D675" s="28"/>
      <c r="E675" s="28"/>
      <c r="F675" s="28"/>
      <c r="G675" s="28"/>
      <c r="H675" s="322"/>
      <c r="I675" s="28"/>
      <c r="J675" s="28"/>
      <c r="K675" s="28"/>
      <c r="L675" s="28"/>
      <c r="M675" s="28"/>
      <c r="N675" s="254"/>
    </row>
    <row r="676" spans="1:14" ht="13.95" customHeight="1">
      <c r="A676" s="253"/>
      <c r="B676" s="28"/>
      <c r="C676" s="28"/>
      <c r="D676" s="28"/>
      <c r="E676" s="28"/>
      <c r="F676" s="28"/>
      <c r="G676" s="28"/>
      <c r="H676" s="322"/>
      <c r="I676" s="28"/>
      <c r="J676" s="28"/>
      <c r="K676" s="28"/>
      <c r="L676" s="28"/>
      <c r="M676" s="28"/>
      <c r="N676" s="254"/>
    </row>
    <row r="677" spans="1:14" ht="13.95" customHeight="1">
      <c r="A677" s="253"/>
      <c r="B677" s="28"/>
      <c r="C677" s="28"/>
      <c r="D677" s="28"/>
      <c r="E677" s="28"/>
      <c r="F677" s="28"/>
      <c r="G677" s="28"/>
      <c r="H677" s="322"/>
      <c r="I677" s="28"/>
      <c r="J677" s="28"/>
      <c r="K677" s="28"/>
      <c r="L677" s="28"/>
      <c r="M677" s="28"/>
      <c r="N677" s="254"/>
    </row>
    <row r="678" spans="1:14">
      <c r="A678" s="253"/>
      <c r="B678" s="28"/>
      <c r="C678" s="28"/>
      <c r="D678" s="28"/>
      <c r="E678" s="28"/>
      <c r="F678" s="28"/>
      <c r="G678" s="28"/>
      <c r="H678" s="322"/>
      <c r="I678" s="28"/>
      <c r="J678" s="28"/>
      <c r="K678" s="28"/>
      <c r="L678" s="28"/>
      <c r="M678" s="28"/>
      <c r="N678" s="254"/>
    </row>
    <row r="679" spans="1:14">
      <c r="A679" s="253"/>
      <c r="B679" s="28"/>
      <c r="C679" s="28"/>
      <c r="D679" s="28"/>
      <c r="E679" s="28"/>
      <c r="F679" s="28"/>
      <c r="G679" s="28"/>
      <c r="H679" s="322"/>
      <c r="I679" s="28"/>
      <c r="J679" s="28"/>
      <c r="K679" s="28"/>
      <c r="L679" s="28"/>
      <c r="M679" s="28"/>
      <c r="N679" s="254"/>
    </row>
    <row r="680" spans="1:14">
      <c r="A680" s="253"/>
      <c r="B680" s="28"/>
      <c r="C680" s="28"/>
      <c r="D680" s="28"/>
      <c r="E680" s="28"/>
      <c r="F680" s="28"/>
      <c r="G680" s="28"/>
      <c r="H680" s="322"/>
      <c r="I680" s="28"/>
      <c r="J680" s="28"/>
      <c r="K680" s="28"/>
      <c r="L680" s="28"/>
      <c r="M680" s="28"/>
      <c r="N680" s="254"/>
    </row>
    <row r="681" spans="1:14">
      <c r="A681" s="253"/>
      <c r="B681" s="28"/>
      <c r="C681" s="28"/>
      <c r="D681" s="28"/>
      <c r="E681" s="28"/>
      <c r="F681" s="28"/>
      <c r="G681" s="28"/>
      <c r="H681" s="322"/>
      <c r="I681" s="28"/>
      <c r="J681" s="28"/>
      <c r="K681" s="28"/>
      <c r="L681" s="28"/>
      <c r="M681" s="28"/>
      <c r="N681" s="254"/>
    </row>
    <row r="682" spans="1:14">
      <c r="A682" s="253"/>
      <c r="B682" s="28"/>
      <c r="C682" s="28"/>
      <c r="D682" s="28"/>
      <c r="E682" s="28"/>
      <c r="F682" s="28"/>
      <c r="G682" s="28"/>
      <c r="H682" s="322"/>
      <c r="I682" s="28"/>
      <c r="J682" s="28"/>
      <c r="K682" s="28"/>
      <c r="L682" s="28"/>
      <c r="M682" s="28"/>
      <c r="N682" s="254"/>
    </row>
    <row r="683" spans="1:14">
      <c r="A683" s="253"/>
      <c r="B683" s="28"/>
      <c r="C683" s="28"/>
      <c r="D683" s="28"/>
      <c r="E683" s="28"/>
      <c r="F683" s="28"/>
      <c r="G683" s="28"/>
      <c r="H683" s="322"/>
      <c r="I683" s="28"/>
      <c r="J683" s="28"/>
      <c r="K683" s="28"/>
      <c r="L683" s="28"/>
      <c r="M683" s="28"/>
      <c r="N683" s="254"/>
    </row>
    <row r="684" spans="1:14">
      <c r="A684" s="253"/>
      <c r="B684" s="28"/>
      <c r="C684" s="28"/>
      <c r="D684" s="28"/>
      <c r="E684" s="28"/>
      <c r="F684" s="28"/>
      <c r="G684" s="28"/>
      <c r="H684" s="322"/>
      <c r="I684" s="28"/>
      <c r="J684" s="28"/>
      <c r="K684" s="28"/>
      <c r="L684" s="28"/>
      <c r="M684" s="28"/>
      <c r="N684" s="254"/>
    </row>
    <row r="685" spans="1:14">
      <c r="A685" s="253"/>
      <c r="B685" s="28"/>
      <c r="C685" s="28"/>
      <c r="D685" s="28"/>
      <c r="E685" s="28"/>
      <c r="F685" s="28"/>
      <c r="G685" s="28"/>
      <c r="H685" s="322"/>
      <c r="I685" s="28"/>
      <c r="J685" s="28"/>
      <c r="K685" s="28"/>
      <c r="L685" s="28"/>
      <c r="M685" s="28"/>
      <c r="N685" s="254"/>
    </row>
    <row r="686" spans="1:14">
      <c r="A686" s="253"/>
      <c r="B686" s="28"/>
      <c r="C686" s="28"/>
      <c r="D686" s="28"/>
      <c r="E686" s="28"/>
      <c r="F686" s="28"/>
      <c r="G686" s="28"/>
      <c r="H686" s="322"/>
      <c r="I686" s="28"/>
      <c r="J686" s="28"/>
      <c r="K686" s="28"/>
      <c r="L686" s="28"/>
      <c r="M686" s="28"/>
      <c r="N686" s="254"/>
    </row>
    <row r="687" spans="1:14">
      <c r="A687" s="253"/>
      <c r="B687" s="28"/>
      <c r="C687" s="28"/>
      <c r="D687" s="28"/>
      <c r="E687" s="28"/>
      <c r="F687" s="28"/>
      <c r="G687" s="28"/>
      <c r="H687" s="322"/>
      <c r="I687" s="28"/>
      <c r="J687" s="28"/>
      <c r="K687" s="28"/>
      <c r="L687" s="28"/>
      <c r="M687" s="28"/>
      <c r="N687" s="254"/>
    </row>
    <row r="688" spans="1:14">
      <c r="A688" s="253"/>
      <c r="B688" s="28"/>
      <c r="C688" s="28"/>
      <c r="D688" s="28"/>
      <c r="E688" s="28"/>
      <c r="F688" s="28"/>
      <c r="G688" s="28"/>
      <c r="H688" s="322"/>
      <c r="I688" s="28"/>
      <c r="J688" s="28"/>
      <c r="K688" s="28"/>
      <c r="L688" s="28"/>
      <c r="M688" s="28"/>
      <c r="N688" s="254"/>
    </row>
    <row r="689" spans="1:14">
      <c r="A689" s="253"/>
      <c r="B689" s="28"/>
      <c r="C689" s="28"/>
      <c r="D689" s="28"/>
      <c r="E689" s="28"/>
      <c r="F689" s="28"/>
      <c r="G689" s="28"/>
      <c r="H689" s="322"/>
      <c r="I689" s="28"/>
      <c r="J689" s="28"/>
      <c r="K689" s="28"/>
      <c r="L689" s="28"/>
      <c r="M689" s="28"/>
      <c r="N689" s="254"/>
    </row>
    <row r="690" spans="1:14">
      <c r="A690" s="253"/>
      <c r="B690" s="28"/>
      <c r="C690" s="28"/>
      <c r="D690" s="28"/>
      <c r="E690" s="28"/>
      <c r="F690" s="28"/>
      <c r="G690" s="28"/>
      <c r="H690" s="322"/>
      <c r="I690" s="28"/>
      <c r="J690" s="28"/>
      <c r="K690" s="28"/>
      <c r="L690" s="28"/>
      <c r="M690" s="28"/>
      <c r="N690" s="254"/>
    </row>
    <row r="691" spans="1:14">
      <c r="A691" s="253"/>
      <c r="B691" s="28"/>
      <c r="C691" s="28"/>
      <c r="D691" s="28"/>
      <c r="E691" s="28"/>
      <c r="F691" s="28"/>
      <c r="G691" s="28"/>
      <c r="H691" s="322"/>
      <c r="I691" s="28"/>
      <c r="J691" s="28"/>
      <c r="K691" s="28"/>
      <c r="L691" s="28"/>
      <c r="M691" s="28"/>
      <c r="N691" s="254"/>
    </row>
    <row r="692" spans="1:14">
      <c r="A692" s="253"/>
      <c r="B692" s="28"/>
      <c r="C692" s="28"/>
      <c r="D692" s="28"/>
      <c r="E692" s="28"/>
      <c r="F692" s="28"/>
      <c r="G692" s="28"/>
      <c r="H692" s="322"/>
      <c r="I692" s="28"/>
      <c r="J692" s="28"/>
      <c r="K692" s="28"/>
      <c r="L692" s="28"/>
      <c r="M692" s="28"/>
      <c r="N692" s="254"/>
    </row>
    <row r="693" spans="1:14">
      <c r="A693" s="255"/>
      <c r="B693" s="256"/>
      <c r="C693" s="256"/>
      <c r="D693" s="256"/>
      <c r="E693" s="256"/>
      <c r="F693" s="256"/>
      <c r="G693" s="256"/>
      <c r="H693" s="323"/>
      <c r="I693" s="256"/>
      <c r="J693" s="256"/>
      <c r="K693" s="256"/>
      <c r="L693" s="256"/>
      <c r="M693" s="256"/>
      <c r="N693" s="257"/>
    </row>
    <row r="694" spans="1:14" ht="30" customHeight="1">
      <c r="A694" s="250" t="s">
        <v>1148</v>
      </c>
      <c r="B694" s="944" t="s">
        <v>1157</v>
      </c>
      <c r="C694" s="944"/>
      <c r="D694" s="944"/>
      <c r="E694" s="944"/>
      <c r="F694" s="944"/>
      <c r="G694" s="944"/>
      <c r="H694" s="944"/>
      <c r="I694" s="944"/>
      <c r="J694" s="944"/>
      <c r="K694" s="944"/>
      <c r="L694" s="944"/>
      <c r="M694" s="251"/>
      <c r="N694" s="252" t="s">
        <v>1149</v>
      </c>
    </row>
    <row r="695" spans="1:14">
      <c r="A695" s="253"/>
      <c r="B695" s="28"/>
      <c r="C695" s="28"/>
      <c r="D695" s="28"/>
      <c r="E695" s="28"/>
      <c r="F695" s="28"/>
      <c r="G695" s="28"/>
      <c r="H695" s="322"/>
      <c r="I695" s="28"/>
      <c r="J695" s="28"/>
      <c r="K695" s="28"/>
      <c r="L695" s="28"/>
      <c r="M695" s="28"/>
      <c r="N695" s="254"/>
    </row>
    <row r="696" spans="1:14">
      <c r="A696" s="253"/>
      <c r="B696" s="28"/>
      <c r="C696" s="28"/>
      <c r="D696" s="28"/>
      <c r="E696" s="28"/>
      <c r="F696" s="28"/>
      <c r="G696" s="28"/>
      <c r="H696" s="322"/>
      <c r="I696" s="28"/>
      <c r="J696" s="28"/>
      <c r="K696" s="28"/>
      <c r="L696" s="28"/>
      <c r="M696" s="28"/>
      <c r="N696" s="254"/>
    </row>
    <row r="697" spans="1:14">
      <c r="A697" s="253"/>
      <c r="B697" s="28"/>
      <c r="C697" s="28"/>
      <c r="D697" s="28"/>
      <c r="E697" s="28"/>
      <c r="F697" s="28"/>
      <c r="G697" s="28"/>
      <c r="H697" s="322"/>
      <c r="I697" s="28"/>
      <c r="J697" s="28"/>
      <c r="K697" s="28"/>
      <c r="L697" s="28"/>
      <c r="M697" s="28"/>
      <c r="N697" s="254"/>
    </row>
    <row r="698" spans="1:14">
      <c r="A698" s="253"/>
      <c r="B698" s="28"/>
      <c r="C698" s="28"/>
      <c r="D698" s="28"/>
      <c r="E698" s="28"/>
      <c r="F698" s="28"/>
      <c r="G698" s="28"/>
      <c r="H698" s="322"/>
      <c r="I698" s="28"/>
      <c r="J698" s="28"/>
      <c r="K698" s="28"/>
      <c r="L698" s="28"/>
      <c r="M698" s="28"/>
      <c r="N698" s="254"/>
    </row>
    <row r="699" spans="1:14">
      <c r="A699" s="253"/>
      <c r="B699" s="28"/>
      <c r="C699" s="28"/>
      <c r="D699" s="28"/>
      <c r="E699" s="28"/>
      <c r="F699" s="28"/>
      <c r="G699" s="28"/>
      <c r="H699" s="322"/>
      <c r="I699" s="28"/>
      <c r="J699" s="28"/>
      <c r="K699" s="28"/>
      <c r="L699" s="28"/>
      <c r="M699" s="28"/>
      <c r="N699" s="254"/>
    </row>
    <row r="700" spans="1:14">
      <c r="A700" s="253"/>
      <c r="B700" s="28"/>
      <c r="C700" s="28"/>
      <c r="D700" s="28"/>
      <c r="E700" s="28"/>
      <c r="F700" s="28"/>
      <c r="G700" s="28"/>
      <c r="H700" s="322"/>
      <c r="I700" s="28"/>
      <c r="J700" s="28"/>
      <c r="K700" s="28"/>
      <c r="L700" s="28"/>
      <c r="M700" s="28"/>
      <c r="N700" s="254"/>
    </row>
    <row r="701" spans="1:14">
      <c r="A701" s="253"/>
      <c r="B701" s="28"/>
      <c r="C701" s="28"/>
      <c r="D701" s="28"/>
      <c r="E701" s="28"/>
      <c r="F701" s="28"/>
      <c r="G701" s="28"/>
      <c r="H701" s="322"/>
      <c r="I701" s="28"/>
      <c r="J701" s="28"/>
      <c r="K701" s="28"/>
      <c r="L701" s="28"/>
      <c r="M701" s="28"/>
      <c r="N701" s="254"/>
    </row>
    <row r="702" spans="1:14">
      <c r="A702" s="253"/>
      <c r="B702" s="28"/>
      <c r="C702" s="28"/>
      <c r="D702" s="28"/>
      <c r="E702" s="28"/>
      <c r="F702" s="28"/>
      <c r="G702" s="28"/>
      <c r="H702" s="322"/>
      <c r="I702" s="28"/>
      <c r="J702" s="28"/>
      <c r="K702" s="28"/>
      <c r="L702" s="28"/>
      <c r="M702" s="28"/>
      <c r="N702" s="254"/>
    </row>
    <row r="703" spans="1:14">
      <c r="A703" s="253"/>
      <c r="B703" s="28"/>
      <c r="C703" s="28"/>
      <c r="D703" s="28"/>
      <c r="E703" s="28"/>
      <c r="F703" s="28"/>
      <c r="G703" s="28"/>
      <c r="H703" s="322"/>
      <c r="I703" s="28"/>
      <c r="J703" s="28"/>
      <c r="K703" s="28"/>
      <c r="L703" s="28"/>
      <c r="M703" s="28"/>
      <c r="N703" s="254"/>
    </row>
    <row r="704" spans="1:14">
      <c r="A704" s="253"/>
      <c r="B704" s="28"/>
      <c r="C704" s="28"/>
      <c r="D704" s="28"/>
      <c r="E704" s="28"/>
      <c r="F704" s="28"/>
      <c r="G704" s="28"/>
      <c r="H704" s="322"/>
      <c r="I704" s="28"/>
      <c r="J704" s="28"/>
      <c r="K704" s="28"/>
      <c r="L704" s="28"/>
      <c r="M704" s="28"/>
      <c r="N704" s="254"/>
    </row>
    <row r="705" spans="1:14">
      <c r="A705" s="253"/>
      <c r="B705" s="28"/>
      <c r="C705" s="28"/>
      <c r="D705" s="28"/>
      <c r="E705" s="28"/>
      <c r="F705" s="28"/>
      <c r="G705" s="28"/>
      <c r="H705" s="322"/>
      <c r="I705" s="28"/>
      <c r="J705" s="28"/>
      <c r="K705" s="28"/>
      <c r="L705" s="28"/>
      <c r="M705" s="28"/>
      <c r="N705" s="254"/>
    </row>
    <row r="706" spans="1:14">
      <c r="A706" s="253"/>
      <c r="B706" s="28"/>
      <c r="C706" s="28"/>
      <c r="D706" s="28"/>
      <c r="E706" s="28"/>
      <c r="F706" s="28"/>
      <c r="G706" s="28"/>
      <c r="H706" s="322"/>
      <c r="I706" s="28"/>
      <c r="J706" s="28"/>
      <c r="K706" s="28"/>
      <c r="L706" s="28"/>
      <c r="M706" s="28"/>
      <c r="N706" s="254"/>
    </row>
    <row r="707" spans="1:14">
      <c r="A707" s="253"/>
      <c r="B707" s="28"/>
      <c r="C707" s="28"/>
      <c r="D707" s="28"/>
      <c r="E707" s="28"/>
      <c r="F707" s="28"/>
      <c r="G707" s="28"/>
      <c r="H707" s="322"/>
      <c r="I707" s="28"/>
      <c r="J707" s="28"/>
      <c r="K707" s="28"/>
      <c r="L707" s="28"/>
      <c r="M707" s="28"/>
      <c r="N707" s="254"/>
    </row>
    <row r="708" spans="1:14">
      <c r="A708" s="253"/>
      <c r="B708" s="28"/>
      <c r="C708" s="28"/>
      <c r="D708" s="28"/>
      <c r="E708" s="28"/>
      <c r="F708" s="28"/>
      <c r="G708" s="28"/>
      <c r="H708" s="322"/>
      <c r="I708" s="28"/>
      <c r="J708" s="28"/>
      <c r="K708" s="28"/>
      <c r="L708" s="28"/>
      <c r="M708" s="28"/>
      <c r="N708" s="254"/>
    </row>
    <row r="709" spans="1:14">
      <c r="A709" s="253"/>
      <c r="B709" s="28"/>
      <c r="C709" s="28"/>
      <c r="D709" s="28"/>
      <c r="E709" s="28"/>
      <c r="F709" s="28"/>
      <c r="G709" s="28"/>
      <c r="H709" s="322"/>
      <c r="I709" s="28"/>
      <c r="J709" s="28"/>
      <c r="K709" s="28"/>
      <c r="L709" s="28"/>
      <c r="M709" s="28"/>
      <c r="N709" s="254"/>
    </row>
    <row r="710" spans="1:14">
      <c r="A710" s="253"/>
      <c r="B710" s="28"/>
      <c r="C710" s="28"/>
      <c r="D710" s="28"/>
      <c r="E710" s="28"/>
      <c r="F710" s="28"/>
      <c r="G710" s="28"/>
      <c r="H710" s="322"/>
      <c r="I710" s="28"/>
      <c r="J710" s="28"/>
      <c r="K710" s="28"/>
      <c r="L710" s="28"/>
      <c r="M710" s="28"/>
      <c r="N710" s="254"/>
    </row>
    <row r="711" spans="1:14">
      <c r="A711" s="253"/>
      <c r="B711" s="28"/>
      <c r="C711" s="28"/>
      <c r="D711" s="28"/>
      <c r="E711" s="28"/>
      <c r="F711" s="28"/>
      <c r="G711" s="28"/>
      <c r="H711" s="322"/>
      <c r="I711" s="28"/>
      <c r="J711" s="28"/>
      <c r="K711" s="28"/>
      <c r="L711" s="28"/>
      <c r="M711" s="28"/>
      <c r="N711" s="254"/>
    </row>
    <row r="712" spans="1:14">
      <c r="A712" s="253"/>
      <c r="B712" s="28"/>
      <c r="C712" s="28"/>
      <c r="D712" s="28"/>
      <c r="E712" s="28"/>
      <c r="F712" s="28"/>
      <c r="G712" s="28"/>
      <c r="H712" s="322"/>
      <c r="I712" s="28"/>
      <c r="J712" s="28"/>
      <c r="K712" s="28"/>
      <c r="L712" s="28"/>
      <c r="M712" s="28"/>
      <c r="N712" s="254"/>
    </row>
    <row r="713" spans="1:14">
      <c r="A713" s="253"/>
      <c r="B713" s="28"/>
      <c r="C713" s="28"/>
      <c r="D713" s="28"/>
      <c r="E713" s="28"/>
      <c r="F713" s="28"/>
      <c r="G713" s="28"/>
      <c r="H713" s="322"/>
      <c r="I713" s="28"/>
      <c r="J713" s="28"/>
      <c r="K713" s="28"/>
      <c r="L713" s="28"/>
      <c r="M713" s="28"/>
      <c r="N713" s="254"/>
    </row>
    <row r="714" spans="1:14">
      <c r="A714" s="253"/>
      <c r="B714" s="28"/>
      <c r="C714" s="28"/>
      <c r="D714" s="28"/>
      <c r="E714" s="28"/>
      <c r="F714" s="28"/>
      <c r="G714" s="28"/>
      <c r="H714" s="322"/>
      <c r="I714" s="28"/>
      <c r="J714" s="28"/>
      <c r="K714" s="28"/>
      <c r="L714" s="28"/>
      <c r="M714" s="28"/>
      <c r="N714" s="254"/>
    </row>
    <row r="715" spans="1:14">
      <c r="A715" s="253"/>
      <c r="B715" s="28"/>
      <c r="C715" s="28"/>
      <c r="D715" s="28"/>
      <c r="E715" s="28"/>
      <c r="F715" s="28"/>
      <c r="G715" s="28"/>
      <c r="H715" s="322"/>
      <c r="I715" s="28"/>
      <c r="J715" s="28"/>
      <c r="K715" s="28"/>
      <c r="L715" s="28"/>
      <c r="M715" s="28"/>
      <c r="N715" s="254"/>
    </row>
    <row r="716" spans="1:14">
      <c r="A716" s="253"/>
      <c r="B716" s="28"/>
      <c r="C716" s="28"/>
      <c r="D716" s="28"/>
      <c r="E716" s="28"/>
      <c r="F716" s="28"/>
      <c r="G716" s="28"/>
      <c r="H716" s="322"/>
      <c r="I716" s="28"/>
      <c r="J716" s="28"/>
      <c r="K716" s="28"/>
      <c r="L716" s="28"/>
      <c r="M716" s="28"/>
      <c r="N716" s="254"/>
    </row>
    <row r="717" spans="1:14">
      <c r="A717" s="253"/>
      <c r="B717" s="28"/>
      <c r="C717" s="28"/>
      <c r="D717" s="28"/>
      <c r="E717" s="28"/>
      <c r="F717" s="28"/>
      <c r="G717" s="28"/>
      <c r="H717" s="322"/>
      <c r="I717" s="28"/>
      <c r="J717" s="28"/>
      <c r="K717" s="28"/>
      <c r="L717" s="28"/>
      <c r="M717" s="28"/>
      <c r="N717" s="254"/>
    </row>
    <row r="718" spans="1:14">
      <c r="A718" s="253"/>
      <c r="B718" s="28"/>
      <c r="C718" s="28"/>
      <c r="D718" s="28"/>
      <c r="E718" s="28"/>
      <c r="F718" s="28"/>
      <c r="G718" s="28"/>
      <c r="H718" s="322"/>
      <c r="I718" s="28"/>
      <c r="J718" s="28"/>
      <c r="K718" s="28"/>
      <c r="L718" s="28"/>
      <c r="M718" s="28"/>
      <c r="N718" s="254"/>
    </row>
    <row r="719" spans="1:14">
      <c r="A719" s="253"/>
      <c r="B719" s="28"/>
      <c r="C719" s="28"/>
      <c r="D719" s="28"/>
      <c r="E719" s="28"/>
      <c r="F719" s="28"/>
      <c r="G719" s="28"/>
      <c r="H719" s="322"/>
      <c r="I719" s="28"/>
      <c r="J719" s="28"/>
      <c r="K719" s="28"/>
      <c r="L719" s="28"/>
      <c r="M719" s="28"/>
      <c r="N719" s="254"/>
    </row>
    <row r="720" spans="1:14">
      <c r="A720" s="253"/>
      <c r="B720" s="28"/>
      <c r="C720" s="28"/>
      <c r="D720" s="28"/>
      <c r="E720" s="28"/>
      <c r="F720" s="28"/>
      <c r="G720" s="28"/>
      <c r="H720" s="322"/>
      <c r="I720" s="28"/>
      <c r="J720" s="28"/>
      <c r="K720" s="28"/>
      <c r="L720" s="28"/>
      <c r="M720" s="28"/>
      <c r="N720" s="254"/>
    </row>
    <row r="721" spans="1:14">
      <c r="A721" s="253"/>
      <c r="B721" s="28"/>
      <c r="C721" s="28"/>
      <c r="D721" s="28"/>
      <c r="E721" s="28"/>
      <c r="F721" s="28"/>
      <c r="G721" s="28"/>
      <c r="H721" s="322"/>
      <c r="I721" s="28"/>
      <c r="J721" s="28"/>
      <c r="K721" s="28"/>
      <c r="L721" s="28"/>
      <c r="M721" s="28"/>
      <c r="N721" s="254"/>
    </row>
    <row r="722" spans="1:14">
      <c r="A722" s="253"/>
      <c r="B722" s="28"/>
      <c r="C722" s="28"/>
      <c r="D722" s="28"/>
      <c r="E722" s="28"/>
      <c r="F722" s="28"/>
      <c r="G722" s="28"/>
      <c r="H722" s="322"/>
      <c r="I722" s="28"/>
      <c r="J722" s="28"/>
      <c r="K722" s="28"/>
      <c r="L722" s="28"/>
      <c r="M722" s="28"/>
      <c r="N722" s="254"/>
    </row>
    <row r="723" spans="1:14">
      <c r="A723" s="253"/>
      <c r="B723" s="28"/>
      <c r="C723" s="28"/>
      <c r="D723" s="28"/>
      <c r="E723" s="28"/>
      <c r="F723" s="28"/>
      <c r="G723" s="28"/>
      <c r="H723" s="322"/>
      <c r="I723" s="28"/>
      <c r="J723" s="28"/>
      <c r="K723" s="28"/>
      <c r="L723" s="28"/>
      <c r="M723" s="28"/>
      <c r="N723" s="254"/>
    </row>
    <row r="724" spans="1:14">
      <c r="A724" s="253"/>
      <c r="B724" s="28"/>
      <c r="C724" s="28"/>
      <c r="D724" s="28"/>
      <c r="E724" s="28"/>
      <c r="F724" s="28"/>
      <c r="G724" s="28"/>
      <c r="H724" s="322"/>
      <c r="I724" s="28"/>
      <c r="J724" s="28"/>
      <c r="K724" s="28"/>
      <c r="L724" s="28"/>
      <c r="M724" s="28"/>
      <c r="N724" s="254"/>
    </row>
    <row r="725" spans="1:14">
      <c r="A725" s="253"/>
      <c r="B725" s="28"/>
      <c r="C725" s="28"/>
      <c r="D725" s="28"/>
      <c r="E725" s="28"/>
      <c r="F725" s="28"/>
      <c r="G725" s="28"/>
      <c r="H725" s="322"/>
      <c r="I725" s="28"/>
      <c r="J725" s="28"/>
      <c r="K725" s="28"/>
      <c r="L725" s="28"/>
      <c r="M725" s="28"/>
      <c r="N725" s="254"/>
    </row>
    <row r="726" spans="1:14">
      <c r="A726" s="253"/>
      <c r="B726" s="28"/>
      <c r="C726" s="28"/>
      <c r="D726" s="28"/>
      <c r="E726" s="28"/>
      <c r="F726" s="28"/>
      <c r="G726" s="28"/>
      <c r="H726" s="322"/>
      <c r="I726" s="28"/>
      <c r="J726" s="28"/>
      <c r="K726" s="28"/>
      <c r="L726" s="28"/>
      <c r="M726" s="28"/>
      <c r="N726" s="254"/>
    </row>
    <row r="727" spans="1:14">
      <c r="A727" s="253"/>
      <c r="B727" s="28"/>
      <c r="C727" s="28"/>
      <c r="D727" s="28"/>
      <c r="E727" s="28"/>
      <c r="F727" s="28"/>
      <c r="G727" s="28"/>
      <c r="H727" s="322"/>
      <c r="I727" s="28"/>
      <c r="J727" s="28"/>
      <c r="K727" s="28"/>
      <c r="L727" s="28"/>
      <c r="M727" s="28"/>
      <c r="N727" s="254"/>
    </row>
    <row r="728" spans="1:14">
      <c r="A728" s="253"/>
      <c r="B728" s="28"/>
      <c r="C728" s="28"/>
      <c r="D728" s="28"/>
      <c r="E728" s="28"/>
      <c r="F728" s="28"/>
      <c r="G728" s="28"/>
      <c r="H728" s="322"/>
      <c r="I728" s="28"/>
      <c r="J728" s="28"/>
      <c r="K728" s="28"/>
      <c r="L728" s="28"/>
      <c r="M728" s="28"/>
      <c r="N728" s="254"/>
    </row>
    <row r="729" spans="1:14">
      <c r="A729" s="253"/>
      <c r="B729" s="28"/>
      <c r="C729" s="28"/>
      <c r="D729" s="28"/>
      <c r="E729" s="28"/>
      <c r="F729" s="28"/>
      <c r="G729" s="28"/>
      <c r="H729" s="322"/>
      <c r="I729" s="28"/>
      <c r="J729" s="28"/>
      <c r="K729" s="28"/>
      <c r="L729" s="28"/>
      <c r="M729" s="28"/>
      <c r="N729" s="254"/>
    </row>
    <row r="730" spans="1:14">
      <c r="A730" s="253"/>
      <c r="B730" s="28"/>
      <c r="C730" s="28"/>
      <c r="D730" s="28"/>
      <c r="E730" s="28"/>
      <c r="F730" s="28"/>
      <c r="G730" s="28"/>
      <c r="H730" s="322"/>
      <c r="I730" s="28"/>
      <c r="J730" s="28"/>
      <c r="K730" s="28"/>
      <c r="L730" s="28"/>
      <c r="M730" s="28"/>
      <c r="N730" s="254"/>
    </row>
    <row r="731" spans="1:14">
      <c r="A731" s="253"/>
      <c r="B731" s="28"/>
      <c r="C731" s="28"/>
      <c r="D731" s="28"/>
      <c r="E731" s="28"/>
      <c r="F731" s="28"/>
      <c r="G731" s="28"/>
      <c r="H731" s="322"/>
      <c r="I731" s="28"/>
      <c r="J731" s="28"/>
      <c r="K731" s="28"/>
      <c r="L731" s="28"/>
      <c r="M731" s="28"/>
      <c r="N731" s="254"/>
    </row>
    <row r="732" spans="1:14">
      <c r="A732" s="253"/>
      <c r="B732" s="28"/>
      <c r="C732" s="28"/>
      <c r="D732" s="28"/>
      <c r="E732" s="28"/>
      <c r="F732" s="28"/>
      <c r="G732" s="28"/>
      <c r="H732" s="322"/>
      <c r="I732" s="28"/>
      <c r="J732" s="28"/>
      <c r="K732" s="28"/>
      <c r="L732" s="28"/>
      <c r="M732" s="28"/>
      <c r="N732" s="254"/>
    </row>
    <row r="733" spans="1:14">
      <c r="A733" s="253"/>
      <c r="B733" s="28"/>
      <c r="C733" s="28"/>
      <c r="D733" s="28"/>
      <c r="E733" s="28"/>
      <c r="F733" s="28"/>
      <c r="G733" s="28"/>
      <c r="H733" s="322"/>
      <c r="I733" s="28"/>
      <c r="J733" s="28"/>
      <c r="K733" s="28"/>
      <c r="L733" s="28"/>
      <c r="M733" s="28"/>
      <c r="N733" s="254"/>
    </row>
    <row r="734" spans="1:14">
      <c r="A734" s="253"/>
      <c r="B734" s="28"/>
      <c r="C734" s="28"/>
      <c r="D734" s="28"/>
      <c r="E734" s="28"/>
      <c r="F734" s="28"/>
      <c r="G734" s="28"/>
      <c r="H734" s="322"/>
      <c r="I734" s="28"/>
      <c r="J734" s="28"/>
      <c r="K734" s="28"/>
      <c r="L734" s="28"/>
      <c r="M734" s="28"/>
      <c r="N734" s="254"/>
    </row>
    <row r="735" spans="1:14">
      <c r="A735" s="253"/>
      <c r="B735" s="28"/>
      <c r="C735" s="28"/>
      <c r="D735" s="28"/>
      <c r="E735" s="28"/>
      <c r="F735" s="28"/>
      <c r="G735" s="28"/>
      <c r="H735" s="322"/>
      <c r="I735" s="28"/>
      <c r="J735" s="28"/>
      <c r="K735" s="28"/>
      <c r="L735" s="28"/>
      <c r="M735" s="28"/>
      <c r="N735" s="254"/>
    </row>
    <row r="736" spans="1:14">
      <c r="A736" s="253"/>
      <c r="B736" s="28"/>
      <c r="C736" s="28"/>
      <c r="D736" s="28"/>
      <c r="E736" s="28"/>
      <c r="F736" s="28"/>
      <c r="G736" s="28"/>
      <c r="H736" s="322"/>
      <c r="I736" s="28"/>
      <c r="J736" s="28"/>
      <c r="K736" s="28"/>
      <c r="L736" s="28"/>
      <c r="M736" s="28"/>
      <c r="N736" s="254"/>
    </row>
    <row r="737" spans="1:14">
      <c r="A737" s="253"/>
      <c r="B737" s="28"/>
      <c r="C737" s="28"/>
      <c r="D737" s="28"/>
      <c r="E737" s="28"/>
      <c r="F737" s="28"/>
      <c r="G737" s="28"/>
      <c r="H737" s="322"/>
      <c r="I737" s="28"/>
      <c r="J737" s="28"/>
      <c r="K737" s="28"/>
      <c r="L737" s="28"/>
      <c r="M737" s="28"/>
      <c r="N737" s="254"/>
    </row>
    <row r="738" spans="1:14">
      <c r="A738" s="253"/>
      <c r="B738" s="28"/>
      <c r="C738" s="28"/>
      <c r="D738" s="28"/>
      <c r="E738" s="28"/>
      <c r="F738" s="28"/>
      <c r="G738" s="28"/>
      <c r="H738" s="322"/>
      <c r="I738" s="28"/>
      <c r="J738" s="28"/>
      <c r="K738" s="28"/>
      <c r="L738" s="28"/>
      <c r="M738" s="28"/>
      <c r="N738" s="254"/>
    </row>
    <row r="739" spans="1:14">
      <c r="A739" s="253"/>
      <c r="B739" s="28"/>
      <c r="C739" s="28"/>
      <c r="D739" s="28"/>
      <c r="E739" s="28"/>
      <c r="F739" s="28"/>
      <c r="G739" s="28"/>
      <c r="H739" s="322"/>
      <c r="I739" s="28"/>
      <c r="J739" s="28"/>
      <c r="K739" s="28"/>
      <c r="L739" s="28"/>
      <c r="M739" s="28"/>
      <c r="N739" s="254"/>
    </row>
    <row r="740" spans="1:14">
      <c r="A740" s="255"/>
      <c r="B740" s="256"/>
      <c r="C740" s="256"/>
      <c r="D740" s="256"/>
      <c r="E740" s="256"/>
      <c r="F740" s="256"/>
      <c r="G740" s="256"/>
      <c r="H740" s="323"/>
      <c r="I740" s="256"/>
      <c r="J740" s="256"/>
      <c r="K740" s="256"/>
      <c r="L740" s="256"/>
      <c r="M740" s="256"/>
      <c r="N740" s="257"/>
    </row>
    <row r="741" spans="1:14" ht="30" customHeight="1">
      <c r="A741" s="258" t="s">
        <v>1148</v>
      </c>
      <c r="B741" s="946" t="s">
        <v>51</v>
      </c>
      <c r="C741" s="946"/>
      <c r="D741" s="946"/>
      <c r="E741" s="946"/>
      <c r="F741" s="946"/>
      <c r="G741" s="946"/>
      <c r="H741" s="946"/>
      <c r="I741" s="946"/>
      <c r="J741" s="946"/>
      <c r="K741" s="946"/>
      <c r="L741" s="946"/>
      <c r="M741" s="259"/>
      <c r="N741" s="260" t="s">
        <v>1149</v>
      </c>
    </row>
    <row r="742" spans="1:14">
      <c r="A742" s="253"/>
      <c r="B742" s="28"/>
      <c r="C742" s="28"/>
      <c r="D742" s="28"/>
      <c r="E742" s="28"/>
      <c r="F742" s="28"/>
      <c r="G742" s="28"/>
      <c r="H742" s="322"/>
      <c r="I742" s="28"/>
      <c r="J742" s="28"/>
      <c r="K742" s="28"/>
      <c r="L742" s="28"/>
      <c r="M742" s="28"/>
      <c r="N742" s="254"/>
    </row>
    <row r="743" spans="1:14" ht="16.2" customHeight="1">
      <c r="A743" s="253"/>
      <c r="B743" s="988" t="s">
        <v>1223</v>
      </c>
      <c r="C743" s="988"/>
      <c r="D743" s="988"/>
      <c r="E743" s="988"/>
      <c r="F743" s="988"/>
      <c r="G743" s="988"/>
      <c r="H743" s="988"/>
      <c r="I743" s="988"/>
      <c r="J743" s="988"/>
      <c r="K743" s="988"/>
      <c r="L743" s="988"/>
      <c r="M743" s="988"/>
      <c r="N743" s="254"/>
    </row>
    <row r="744" spans="1:14" ht="16.2" customHeight="1">
      <c r="A744" s="253"/>
      <c r="B744" s="988"/>
      <c r="C744" s="988"/>
      <c r="D744" s="988"/>
      <c r="E744" s="988"/>
      <c r="F744" s="988"/>
      <c r="G744" s="988"/>
      <c r="H744" s="988"/>
      <c r="I744" s="988"/>
      <c r="J744" s="988"/>
      <c r="K744" s="988"/>
      <c r="L744" s="988"/>
      <c r="M744" s="988"/>
      <c r="N744" s="254"/>
    </row>
    <row r="745" spans="1:14" ht="16.2" customHeight="1">
      <c r="A745" s="253"/>
      <c r="B745" s="988"/>
      <c r="C745" s="988"/>
      <c r="D745" s="988"/>
      <c r="E745" s="988"/>
      <c r="F745" s="988"/>
      <c r="G745" s="988"/>
      <c r="H745" s="988"/>
      <c r="I745" s="988"/>
      <c r="J745" s="988"/>
      <c r="K745" s="988"/>
      <c r="L745" s="988"/>
      <c r="M745" s="988"/>
      <c r="N745" s="254"/>
    </row>
    <row r="746" spans="1:14" ht="10.199999999999999" customHeight="1" thickBot="1">
      <c r="A746" s="253"/>
      <c r="B746" s="28"/>
      <c r="C746" s="28"/>
      <c r="D746" s="28"/>
      <c r="E746" s="28"/>
      <c r="F746" s="28"/>
      <c r="G746" s="28"/>
      <c r="H746" s="322"/>
      <c r="I746" s="28"/>
      <c r="J746" s="28"/>
      <c r="K746" s="28"/>
      <c r="L746" s="28"/>
      <c r="M746" s="28"/>
      <c r="N746" s="254"/>
    </row>
    <row r="747" spans="1:14" ht="19.95" customHeight="1">
      <c r="A747" s="253"/>
      <c r="B747" s="999" t="str">
        <f>IF(AND($E$759=$BD$757,$BB$772&gt;0.99),1,"")</f>
        <v/>
      </c>
      <c r="C747" s="1000"/>
      <c r="D747" s="28"/>
      <c r="E747" s="1001" t="str">
        <f>IF(AND($E$759=$BD$758,$BB$772&gt;0.99),1,"")</f>
        <v/>
      </c>
      <c r="F747" s="1002"/>
      <c r="G747" s="28"/>
      <c r="H747" s="322"/>
      <c r="I747" s="999" t="str">
        <f>IF(AND($L$759=$BD$757,$BD$772&gt;0.99),1,"")</f>
        <v/>
      </c>
      <c r="J747" s="1000"/>
      <c r="K747" s="28"/>
      <c r="L747" s="1001" t="str">
        <f>IF(AND($L$759=$BD$758,$BD$772&gt;0.99),1,"")</f>
        <v/>
      </c>
      <c r="M747" s="1002"/>
      <c r="N747" s="254"/>
    </row>
    <row r="748" spans="1:14" ht="19.95" customHeight="1">
      <c r="A748" s="253"/>
      <c r="B748" s="947" t="str">
        <f>IF(AND($E$759=$BD$757,$BB$772&gt;0.8),0.9,"")</f>
        <v/>
      </c>
      <c r="C748" s="948"/>
      <c r="D748" s="28"/>
      <c r="E748" s="959" t="str">
        <f>IF(AND($E$759=$BD$758,$BB$772&gt;0.8),0.9,"")</f>
        <v/>
      </c>
      <c r="F748" s="960"/>
      <c r="G748" s="28"/>
      <c r="H748" s="322"/>
      <c r="I748" s="947" t="str">
        <f>IF(AND($L$759=$BD$757,$BD$772&gt;0.8),0.9,"")</f>
        <v/>
      </c>
      <c r="J748" s="948"/>
      <c r="K748" s="28"/>
      <c r="L748" s="959" t="str">
        <f>IF(AND($L$759=$BD$758,$BD$772&gt;0.8),0.9,"")</f>
        <v/>
      </c>
      <c r="M748" s="960"/>
      <c r="N748" s="254"/>
    </row>
    <row r="749" spans="1:14" ht="19.95" customHeight="1">
      <c r="A749" s="253"/>
      <c r="B749" s="947" t="str">
        <f>IF(AND($E$759=$BD$757,$BB$772&gt;0.7),0.8,"")</f>
        <v/>
      </c>
      <c r="C749" s="948"/>
      <c r="D749" s="28"/>
      <c r="E749" s="959" t="str">
        <f>IF(AND($E$759=$BD$758,$BB$772&gt;0.7),0.8,"")</f>
        <v/>
      </c>
      <c r="F749" s="960"/>
      <c r="G749" s="28"/>
      <c r="H749" s="322"/>
      <c r="I749" s="947" t="str">
        <f>IF(AND($L$759=$BD$757,$BD$772&gt;0.7),0.8,"")</f>
        <v/>
      </c>
      <c r="J749" s="948"/>
      <c r="K749" s="28"/>
      <c r="L749" s="959" t="str">
        <f>IF(AND($L$759=$BD$758,$BD$772&gt;0.7),0.8,"")</f>
        <v/>
      </c>
      <c r="M749" s="960"/>
      <c r="N749" s="254"/>
    </row>
    <row r="750" spans="1:14" ht="19.95" customHeight="1">
      <c r="A750" s="253"/>
      <c r="B750" s="947" t="str">
        <f>IF(AND($E$759=$BD$757,$BB$772&gt;0.6),0.7,"")</f>
        <v/>
      </c>
      <c r="C750" s="948"/>
      <c r="D750" s="28"/>
      <c r="E750" s="959" t="str">
        <f>IF(AND($E$759=$BD$758,$BB$772&gt;0.6),0.7,"")</f>
        <v/>
      </c>
      <c r="F750" s="960"/>
      <c r="G750" s="28"/>
      <c r="H750" s="322"/>
      <c r="I750" s="947" t="str">
        <f>IF(AND($L$759=$BD$757,$BD$772&gt;0.6),0.7,"")</f>
        <v/>
      </c>
      <c r="J750" s="948"/>
      <c r="K750" s="28"/>
      <c r="L750" s="959" t="str">
        <f>IF(AND($L$759=$BD$758,$BD$772&gt;0.6),0.7,"")</f>
        <v/>
      </c>
      <c r="M750" s="960"/>
      <c r="N750" s="254"/>
    </row>
    <row r="751" spans="1:14" ht="19.95" customHeight="1">
      <c r="A751" s="253"/>
      <c r="B751" s="947" t="str">
        <f>IF(AND($E$759=$BD$757,$BB$772&gt;0.5),0.6,"")</f>
        <v/>
      </c>
      <c r="C751" s="948"/>
      <c r="D751" s="28"/>
      <c r="E751" s="959" t="str">
        <f>IF(AND($E$759=$BD$758,$BB$772&gt;0.5),0.6,"")</f>
        <v/>
      </c>
      <c r="F751" s="960"/>
      <c r="G751" s="28"/>
      <c r="H751" s="322"/>
      <c r="I751" s="947" t="str">
        <f>IF(AND($L$759=$BD$757,$BD$772&gt;0.5),0.6,"")</f>
        <v/>
      </c>
      <c r="J751" s="948"/>
      <c r="K751" s="28"/>
      <c r="L751" s="959" t="str">
        <f>IF(AND($L$759=$BD$758,$BD$772&gt;0.5),0.6,"")</f>
        <v/>
      </c>
      <c r="M751" s="960"/>
      <c r="N751" s="254"/>
    </row>
    <row r="752" spans="1:14" ht="19.95" customHeight="1">
      <c r="A752" s="253"/>
      <c r="B752" s="947" t="str">
        <f>IF(AND($E$759=$BD$757,$BB$772&gt;0.4),0.5,"")</f>
        <v/>
      </c>
      <c r="C752" s="948"/>
      <c r="D752" s="28"/>
      <c r="E752" s="959" t="str">
        <f>IF(AND($E$759=$BD$758,$BB$772&gt;0.4),0.5,"")</f>
        <v/>
      </c>
      <c r="F752" s="960"/>
      <c r="G752" s="28"/>
      <c r="H752" s="322"/>
      <c r="I752" s="947" t="str">
        <f>IF(AND($L$759=$BD$757,$BD$772&gt;0.4),0.5,"")</f>
        <v/>
      </c>
      <c r="J752" s="948"/>
      <c r="K752" s="28"/>
      <c r="L752" s="959" t="str">
        <f>IF(AND($L$759=$BD$758,$BD$772&gt;0.4),0.5,"")</f>
        <v/>
      </c>
      <c r="M752" s="960"/>
      <c r="N752" s="254"/>
    </row>
    <row r="753" spans="1:56" ht="19.95" customHeight="1">
      <c r="A753" s="253"/>
      <c r="B753" s="947" t="str">
        <f>IF(AND($E$759=$BD$757,$BB$772&gt;0.3),0.4,"")</f>
        <v/>
      </c>
      <c r="C753" s="948"/>
      <c r="D753" s="28"/>
      <c r="E753" s="959" t="str">
        <f>IF(AND($E$759=$BD$758,$BB$772&gt;0.3),0.4,"")</f>
        <v/>
      </c>
      <c r="F753" s="960"/>
      <c r="G753" s="28"/>
      <c r="H753" s="322"/>
      <c r="I753" s="947" t="str">
        <f>IF(AND($L$759=$BD$757,$BD$772&gt;0.3),0.4,"")</f>
        <v/>
      </c>
      <c r="J753" s="948"/>
      <c r="K753" s="28"/>
      <c r="L753" s="959" t="str">
        <f>IF(AND($L$759=$BD$758,$BD$772&gt;0.3),0.4,"")</f>
        <v/>
      </c>
      <c r="M753" s="960"/>
      <c r="N753" s="254"/>
    </row>
    <row r="754" spans="1:56" ht="19.95" customHeight="1">
      <c r="A754" s="253"/>
      <c r="B754" s="947" t="str">
        <f>IF(AND($E$759=$BD$757,$BB$772&gt;0.2),0.3,"")</f>
        <v/>
      </c>
      <c r="C754" s="948"/>
      <c r="D754" s="28"/>
      <c r="E754" s="959" t="str">
        <f>IF(AND($E$759=$BD$758,$BB$772&gt;0.2),0.3,"")</f>
        <v/>
      </c>
      <c r="F754" s="960"/>
      <c r="G754" s="28"/>
      <c r="H754" s="322"/>
      <c r="I754" s="947" t="str">
        <f>IF(AND($L$759=$BD$757,$BD$772&gt;0.2),0.3,"")</f>
        <v/>
      </c>
      <c r="J754" s="948"/>
      <c r="K754" s="28"/>
      <c r="L754" s="959" t="str">
        <f>IF(AND($L$759=$BD$758,$BD$772&gt;0.2),0.3,"")</f>
        <v/>
      </c>
      <c r="M754" s="960"/>
      <c r="N754" s="254"/>
    </row>
    <row r="755" spans="1:56" ht="19.95" customHeight="1">
      <c r="A755" s="253"/>
      <c r="B755" s="947" t="str">
        <f>IF(AND($E$759=$BD$757,$BB$772&gt;0.1),0.2,"")</f>
        <v/>
      </c>
      <c r="C755" s="948"/>
      <c r="D755" s="28"/>
      <c r="E755" s="959" t="str">
        <f>IF(AND($E$759=$BD$758,$BB$772&gt;0.1),0.2,"")</f>
        <v/>
      </c>
      <c r="F755" s="960"/>
      <c r="G755" s="28"/>
      <c r="H755" s="322"/>
      <c r="I755" s="947" t="str">
        <f>IF(AND($L$759=$BD$757,$BD$772&gt;0.1),0.2,"")</f>
        <v/>
      </c>
      <c r="J755" s="948"/>
      <c r="K755" s="28"/>
      <c r="L755" s="959" t="str">
        <f>IF(AND($L$759=$BD$758,$BD$772&gt;0.1),0.2,"")</f>
        <v/>
      </c>
      <c r="M755" s="960"/>
      <c r="N755" s="254"/>
    </row>
    <row r="756" spans="1:56" ht="19.95" customHeight="1" thickBot="1">
      <c r="A756" s="253"/>
      <c r="B756" s="970" t="str">
        <f>IF(AND($E$759=$BD$757,$BB$772&gt;0),0.1,"")</f>
        <v/>
      </c>
      <c r="C756" s="971"/>
      <c r="D756" s="28"/>
      <c r="E756" s="972" t="str">
        <f>IF(AND(E759=$BD$758,$BB$772&gt;0),0.1,"")</f>
        <v/>
      </c>
      <c r="F756" s="973"/>
      <c r="G756" s="28"/>
      <c r="H756" s="322"/>
      <c r="I756" s="970" t="str">
        <f>IF(AND($L$759=$BD$757,$BD$772&gt;0),0.1,"")</f>
        <v/>
      </c>
      <c r="J756" s="971"/>
      <c r="K756" s="28"/>
      <c r="L756" s="972" t="str">
        <f>IF(AND($L$759=$BD$758,$BD$772&gt;0),0.1,"")</f>
        <v/>
      </c>
      <c r="M756" s="973"/>
      <c r="N756" s="254"/>
    </row>
    <row r="757" spans="1:56" ht="12" customHeight="1">
      <c r="A757" s="253"/>
      <c r="B757" s="28"/>
      <c r="C757" s="28"/>
      <c r="D757" s="28"/>
      <c r="E757" s="28"/>
      <c r="F757" s="28"/>
      <c r="G757" s="28"/>
      <c r="H757" s="322"/>
      <c r="I757" s="28"/>
      <c r="J757" s="28"/>
      <c r="K757" s="28"/>
      <c r="L757" s="28"/>
      <c r="M757" s="28"/>
      <c r="N757" s="254"/>
      <c r="BB757" s="2" t="s">
        <v>43</v>
      </c>
      <c r="BD757" s="2" t="s">
        <v>49</v>
      </c>
    </row>
    <row r="758" spans="1:56" ht="19.95" customHeight="1">
      <c r="A758" s="253"/>
      <c r="B758" s="267" t="s">
        <v>62</v>
      </c>
      <c r="C758" s="28"/>
      <c r="D758" s="28"/>
      <c r="E758" s="28"/>
      <c r="F758" s="28"/>
      <c r="G758" s="28"/>
      <c r="H758" s="322"/>
      <c r="I758" s="267" t="s">
        <v>63</v>
      </c>
      <c r="J758" s="28"/>
      <c r="K758" s="28"/>
      <c r="L758" s="28"/>
      <c r="M758" s="28"/>
      <c r="N758" s="254"/>
      <c r="BB758" s="2" t="s">
        <v>44</v>
      </c>
      <c r="BD758" s="2" t="s">
        <v>50</v>
      </c>
    </row>
    <row r="759" spans="1:56" ht="19.95" customHeight="1">
      <c r="A759" s="253"/>
      <c r="B759" s="268" t="s">
        <v>42</v>
      </c>
      <c r="C759" s="28"/>
      <c r="D759" s="28"/>
      <c r="E759" s="964"/>
      <c r="F759" s="965"/>
      <c r="G759" s="28"/>
      <c r="H759" s="322"/>
      <c r="I759" s="268" t="s">
        <v>42</v>
      </c>
      <c r="J759" s="28"/>
      <c r="K759" s="28"/>
      <c r="L759" s="964"/>
      <c r="M759" s="965"/>
      <c r="N759" s="254"/>
    </row>
    <row r="760" spans="1:56" ht="10.199999999999999" customHeight="1">
      <c r="A760" s="253"/>
      <c r="B760" s="268"/>
      <c r="C760" s="28"/>
      <c r="D760" s="28"/>
      <c r="E760" s="28"/>
      <c r="F760" s="28"/>
      <c r="G760" s="28"/>
      <c r="H760" s="322"/>
      <c r="I760" s="268"/>
      <c r="J760" s="28"/>
      <c r="K760" s="28"/>
      <c r="L760" s="28"/>
      <c r="M760" s="28"/>
      <c r="N760" s="254"/>
      <c r="BB760" s="2">
        <f t="shared" ref="BB760:BB769" si="5">IF(F761=$BP$234,0.1,0)</f>
        <v>0</v>
      </c>
      <c r="BD760" s="2">
        <f t="shared" ref="BD760:BD769" si="6">IF(M761=$BP$234,0.1,0)</f>
        <v>0</v>
      </c>
    </row>
    <row r="761" spans="1:56" ht="19.95" customHeight="1">
      <c r="A761" s="253"/>
      <c r="B761" s="268" t="s">
        <v>38</v>
      </c>
      <c r="C761" s="28"/>
      <c r="D761" s="28"/>
      <c r="E761" s="28"/>
      <c r="F761" s="15"/>
      <c r="G761" s="28"/>
      <c r="H761" s="322"/>
      <c r="I761" s="268" t="s">
        <v>39</v>
      </c>
      <c r="J761" s="28"/>
      <c r="K761" s="28"/>
      <c r="L761" s="28"/>
      <c r="M761" s="15"/>
      <c r="N761" s="254"/>
      <c r="BB761" s="2">
        <f t="shared" si="5"/>
        <v>0</v>
      </c>
      <c r="BD761" s="2">
        <f t="shared" si="6"/>
        <v>0</v>
      </c>
    </row>
    <row r="762" spans="1:56" ht="19.95" customHeight="1">
      <c r="A762" s="253"/>
      <c r="B762" s="268" t="s">
        <v>69</v>
      </c>
      <c r="C762" s="28"/>
      <c r="D762" s="28"/>
      <c r="E762" s="28"/>
      <c r="F762" s="15"/>
      <c r="G762" s="28"/>
      <c r="H762" s="322"/>
      <c r="I762" s="268" t="s">
        <v>70</v>
      </c>
      <c r="J762" s="28"/>
      <c r="K762" s="28"/>
      <c r="L762" s="28"/>
      <c r="M762" s="15"/>
      <c r="N762" s="254"/>
      <c r="BB762" s="2">
        <f t="shared" si="5"/>
        <v>0</v>
      </c>
      <c r="BD762" s="2">
        <f t="shared" si="6"/>
        <v>0</v>
      </c>
    </row>
    <row r="763" spans="1:56" ht="19.95" customHeight="1">
      <c r="A763" s="253"/>
      <c r="B763" s="268" t="s">
        <v>72</v>
      </c>
      <c r="C763" s="28"/>
      <c r="D763" s="28"/>
      <c r="E763" s="28"/>
      <c r="F763" s="15"/>
      <c r="G763" s="28"/>
      <c r="H763" s="322"/>
      <c r="I763" s="268" t="s">
        <v>71</v>
      </c>
      <c r="J763" s="28"/>
      <c r="K763" s="28"/>
      <c r="L763" s="28"/>
      <c r="M763" s="15"/>
      <c r="N763" s="254"/>
      <c r="BB763" s="2">
        <f t="shared" si="5"/>
        <v>0</v>
      </c>
      <c r="BD763" s="2">
        <f t="shared" si="6"/>
        <v>0</v>
      </c>
    </row>
    <row r="764" spans="1:56" ht="19.95" customHeight="1">
      <c r="A764" s="253"/>
      <c r="B764" s="268" t="s">
        <v>52</v>
      </c>
      <c r="C764" s="28"/>
      <c r="D764" s="28"/>
      <c r="E764" s="28"/>
      <c r="F764" s="15"/>
      <c r="G764" s="28"/>
      <c r="H764" s="322"/>
      <c r="I764" s="268" t="s">
        <v>52</v>
      </c>
      <c r="J764" s="28"/>
      <c r="K764" s="28"/>
      <c r="L764" s="28"/>
      <c r="M764" s="15"/>
      <c r="N764" s="254"/>
      <c r="BB764" s="2">
        <f t="shared" si="5"/>
        <v>0</v>
      </c>
      <c r="BD764" s="2">
        <f t="shared" si="6"/>
        <v>0</v>
      </c>
    </row>
    <row r="765" spans="1:56" ht="19.95" customHeight="1">
      <c r="A765" s="253"/>
      <c r="B765" s="268" t="s">
        <v>45</v>
      </c>
      <c r="C765" s="28"/>
      <c r="D765" s="28"/>
      <c r="E765" s="28"/>
      <c r="F765" s="15"/>
      <c r="G765" s="28"/>
      <c r="H765" s="322"/>
      <c r="I765" s="268" t="s">
        <v>46</v>
      </c>
      <c r="J765" s="28"/>
      <c r="K765" s="28"/>
      <c r="L765" s="28"/>
      <c r="M765" s="15"/>
      <c r="N765" s="254"/>
      <c r="BB765" s="2">
        <f t="shared" si="5"/>
        <v>0</v>
      </c>
      <c r="BD765" s="2">
        <f t="shared" si="6"/>
        <v>0</v>
      </c>
    </row>
    <row r="766" spans="1:56" ht="19.95" customHeight="1">
      <c r="A766" s="253"/>
      <c r="B766" s="268" t="s">
        <v>40</v>
      </c>
      <c r="C766" s="28"/>
      <c r="D766" s="28"/>
      <c r="E766" s="28"/>
      <c r="F766" s="15"/>
      <c r="G766" s="28"/>
      <c r="H766" s="322"/>
      <c r="I766" s="268" t="s">
        <v>40</v>
      </c>
      <c r="J766" s="28"/>
      <c r="K766" s="28"/>
      <c r="L766" s="28"/>
      <c r="M766" s="15"/>
      <c r="N766" s="254"/>
      <c r="BB766" s="2">
        <f t="shared" si="5"/>
        <v>0</v>
      </c>
      <c r="BD766" s="2">
        <f t="shared" si="6"/>
        <v>0</v>
      </c>
    </row>
    <row r="767" spans="1:56" ht="19.95" customHeight="1">
      <c r="A767" s="253"/>
      <c r="B767" s="268" t="s">
        <v>432</v>
      </c>
      <c r="C767" s="28"/>
      <c r="D767" s="28"/>
      <c r="E767" s="28"/>
      <c r="F767" s="15"/>
      <c r="G767" s="28"/>
      <c r="H767" s="322"/>
      <c r="I767" s="268" t="s">
        <v>432</v>
      </c>
      <c r="J767" s="28"/>
      <c r="K767" s="28"/>
      <c r="L767" s="28"/>
      <c r="M767" s="15"/>
      <c r="N767" s="254"/>
      <c r="BB767" s="2">
        <f t="shared" si="5"/>
        <v>0</v>
      </c>
      <c r="BD767" s="2">
        <f t="shared" si="6"/>
        <v>0</v>
      </c>
    </row>
    <row r="768" spans="1:56" ht="19.95" customHeight="1">
      <c r="A768" s="253"/>
      <c r="B768" s="268" t="s">
        <v>47</v>
      </c>
      <c r="C768" s="28"/>
      <c r="D768" s="28"/>
      <c r="E768" s="28"/>
      <c r="F768" s="15"/>
      <c r="G768" s="28"/>
      <c r="H768" s="322"/>
      <c r="I768" s="268" t="s">
        <v>47</v>
      </c>
      <c r="J768" s="28"/>
      <c r="K768" s="28"/>
      <c r="L768" s="28"/>
      <c r="M768" s="15"/>
      <c r="N768" s="254"/>
      <c r="BB768" s="2">
        <f t="shared" si="5"/>
        <v>0</v>
      </c>
      <c r="BD768" s="2">
        <f t="shared" si="6"/>
        <v>0</v>
      </c>
    </row>
    <row r="769" spans="1:57" ht="19.95" customHeight="1">
      <c r="A769" s="253"/>
      <c r="B769" s="268" t="s">
        <v>41</v>
      </c>
      <c r="C769" s="28"/>
      <c r="D769" s="28"/>
      <c r="E769" s="28"/>
      <c r="F769" s="15"/>
      <c r="G769" s="28"/>
      <c r="H769" s="322"/>
      <c r="I769" s="268" t="s">
        <v>41</v>
      </c>
      <c r="J769" s="28"/>
      <c r="K769" s="28"/>
      <c r="L769" s="28"/>
      <c r="M769" s="15"/>
      <c r="N769" s="254"/>
      <c r="BB769" s="2">
        <f t="shared" si="5"/>
        <v>0</v>
      </c>
      <c r="BD769" s="2">
        <f t="shared" si="6"/>
        <v>0</v>
      </c>
    </row>
    <row r="770" spans="1:57" ht="19.95" customHeight="1">
      <c r="A770" s="253"/>
      <c r="B770" s="268" t="s">
        <v>48</v>
      </c>
      <c r="C770" s="28"/>
      <c r="D770" s="28"/>
      <c r="E770" s="28"/>
      <c r="F770" s="15"/>
      <c r="G770" s="28"/>
      <c r="H770" s="322"/>
      <c r="I770" s="268" t="s">
        <v>595</v>
      </c>
      <c r="J770" s="28"/>
      <c r="K770" s="28"/>
      <c r="L770" s="28"/>
      <c r="M770" s="15"/>
      <c r="N770" s="254"/>
      <c r="BB770" s="2">
        <f>IF(F772=$BP$234,0.1,0)</f>
        <v>0</v>
      </c>
      <c r="BD770" s="2">
        <f>IF(M772=$BP$234,0.1,0)</f>
        <v>0</v>
      </c>
    </row>
    <row r="771" spans="1:57" ht="10.199999999999999" customHeight="1">
      <c r="A771" s="253"/>
      <c r="B771" s="268"/>
      <c r="C771" s="28"/>
      <c r="D771" s="28"/>
      <c r="E771" s="28"/>
      <c r="F771" s="28"/>
      <c r="G771" s="28"/>
      <c r="H771" s="322"/>
      <c r="I771" s="28"/>
      <c r="J771" s="28"/>
      <c r="K771" s="28"/>
      <c r="L771" s="28"/>
      <c r="M771" s="28"/>
      <c r="N771" s="254"/>
    </row>
    <row r="772" spans="1:57" ht="19.95" customHeight="1">
      <c r="A772" s="253"/>
      <c r="B772" s="974" t="str">
        <f>IF(AND(BB772=0,BD772=0),BB776,BB775)</f>
        <v>Political leaders and elites commonly presume you need them for your public-facing needs. They appeal to your "arguments" or your feelings for support, for votes, for political cover. They count on you relying on their generalizations for relief of these social-needs. They avoid your specifics to hold together fragile coalitions. The less your specific needs resolve, the more stuck you are in pain. Do you really need them? Or instead to resolve your needs by any responsible means necessary?</v>
      </c>
      <c r="C772" s="974"/>
      <c r="D772" s="974"/>
      <c r="E772" s="974"/>
      <c r="F772" s="974"/>
      <c r="G772" s="974"/>
      <c r="H772" s="974"/>
      <c r="I772" s="974"/>
      <c r="J772" s="974"/>
      <c r="K772" s="974"/>
      <c r="L772" s="974"/>
      <c r="M772" s="974"/>
      <c r="N772" s="254"/>
      <c r="BB772" s="16">
        <f>SUM(BB760:BB770)</f>
        <v>0</v>
      </c>
      <c r="BD772" s="16">
        <f>SUM(BD760:BD770)</f>
        <v>0</v>
      </c>
    </row>
    <row r="773" spans="1:57" ht="19.95" customHeight="1">
      <c r="A773" s="253"/>
      <c r="B773" s="974"/>
      <c r="C773" s="974"/>
      <c r="D773" s="974"/>
      <c r="E773" s="974"/>
      <c r="F773" s="974"/>
      <c r="G773" s="974"/>
      <c r="H773" s="974"/>
      <c r="I773" s="974"/>
      <c r="J773" s="974"/>
      <c r="K773" s="974"/>
      <c r="L773" s="974"/>
      <c r="M773" s="974"/>
      <c r="N773" s="254"/>
      <c r="BB773" s="46" t="s">
        <v>1226</v>
      </c>
      <c r="BC773" s="2" t="s">
        <v>1225</v>
      </c>
      <c r="BD773" s="2" t="s">
        <v>977</v>
      </c>
      <c r="BE773" s="47" t="s">
        <v>3</v>
      </c>
    </row>
    <row r="774" spans="1:57" ht="19.95" customHeight="1">
      <c r="A774" s="253"/>
      <c r="B774" s="974"/>
      <c r="C774" s="974"/>
      <c r="D774" s="974"/>
      <c r="E774" s="974"/>
      <c r="F774" s="974"/>
      <c r="G774" s="974"/>
      <c r="H774" s="974"/>
      <c r="I774" s="974"/>
      <c r="J774" s="974"/>
      <c r="K774" s="974"/>
      <c r="L774" s="974"/>
      <c r="M774" s="974"/>
      <c r="N774" s="254"/>
    </row>
    <row r="775" spans="1:57" ht="19.95" customHeight="1">
      <c r="A775" s="253"/>
      <c r="B775" s="974"/>
      <c r="C775" s="974"/>
      <c r="D775" s="974"/>
      <c r="E775" s="974"/>
      <c r="F775" s="974"/>
      <c r="G775" s="974"/>
      <c r="H775" s="974"/>
      <c r="I775" s="974"/>
      <c r="J775" s="974"/>
      <c r="K775" s="974"/>
      <c r="L775" s="974"/>
      <c r="M775" s="974"/>
      <c r="N775" s="254"/>
      <c r="BB775" s="2" t="str">
        <f>IF(BB772&lt;BD772,BB773,IF(BB772=BD772,BC773,IF(BB772&gt;BD772,BD773)))</f>
        <v>Popular politics rarely if ever inspires you to equally resolve your self-needs and social-needs. Instead, it easily polarizes you into camps of competing psychosocial priorities. Instead of encouraging wisdom of personal AND social responsibilities, it pits your needs against others. Instead of the high standard of fully resolving each other's needs as an act of noble love, it settles for pragmatically easing the discomfort of each other's unresolved needs. It typically keeps you in pain.</v>
      </c>
    </row>
    <row r="776" spans="1:57" ht="19.95" customHeight="1">
      <c r="A776" s="253"/>
      <c r="B776" s="974"/>
      <c r="C776" s="974"/>
      <c r="D776" s="974"/>
      <c r="E776" s="974"/>
      <c r="F776" s="974"/>
      <c r="G776" s="974"/>
      <c r="H776" s="974"/>
      <c r="I776" s="974"/>
      <c r="J776" s="974"/>
      <c r="K776" s="974"/>
      <c r="L776" s="974"/>
      <c r="M776" s="974"/>
      <c r="N776" s="254"/>
      <c r="BB776" s="2" t="s">
        <v>1224</v>
      </c>
    </row>
    <row r="777" spans="1:57" ht="4.95" customHeight="1">
      <c r="A777" s="255"/>
      <c r="B777" s="256"/>
      <c r="C777" s="256"/>
      <c r="D777" s="256"/>
      <c r="E777" s="256"/>
      <c r="F777" s="256"/>
      <c r="G777" s="256"/>
      <c r="H777" s="323"/>
      <c r="I777" s="256"/>
      <c r="J777" s="256"/>
      <c r="K777" s="256"/>
      <c r="L777" s="256"/>
      <c r="M777" s="256"/>
      <c r="N777" s="257"/>
    </row>
    <row r="778" spans="1:57" ht="30" customHeight="1">
      <c r="A778" s="258" t="s">
        <v>1148</v>
      </c>
      <c r="B778" s="946" t="s">
        <v>1132</v>
      </c>
      <c r="C778" s="946"/>
      <c r="D778" s="946"/>
      <c r="E778" s="946"/>
      <c r="F778" s="946"/>
      <c r="G778" s="946"/>
      <c r="H778" s="946"/>
      <c r="I778" s="946"/>
      <c r="J778" s="946"/>
      <c r="K778" s="946"/>
      <c r="L778" s="946"/>
      <c r="M778" s="259"/>
      <c r="N778" s="260" t="s">
        <v>1149</v>
      </c>
    </row>
    <row r="779" spans="1:57">
      <c r="A779" s="253"/>
      <c r="B779" s="28"/>
      <c r="C779" s="28"/>
      <c r="D779" s="28"/>
      <c r="E779" s="28"/>
      <c r="F779" s="28"/>
      <c r="G779" s="28"/>
      <c r="H779" s="322"/>
      <c r="I779" s="28"/>
      <c r="J779" s="28"/>
      <c r="K779" s="28"/>
      <c r="L779" s="28"/>
      <c r="M779" s="28"/>
      <c r="N779" s="254"/>
    </row>
    <row r="780" spans="1:57">
      <c r="A780" s="253"/>
      <c r="B780" s="28"/>
      <c r="C780" s="28"/>
      <c r="D780" s="28"/>
      <c r="E780" s="28"/>
      <c r="F780" s="28"/>
      <c r="G780" s="28"/>
      <c r="H780" s="322"/>
      <c r="I780" s="28"/>
      <c r="J780" s="28"/>
      <c r="K780" s="28"/>
      <c r="L780" s="28"/>
      <c r="M780" s="28"/>
      <c r="N780" s="254"/>
    </row>
    <row r="781" spans="1:57">
      <c r="A781" s="253"/>
      <c r="B781" s="28"/>
      <c r="C781" s="28"/>
      <c r="D781" s="28"/>
      <c r="E781" s="28"/>
      <c r="F781" s="28"/>
      <c r="G781" s="28"/>
      <c r="H781" s="322"/>
      <c r="I781" s="28"/>
      <c r="J781" s="28"/>
      <c r="K781" s="28"/>
      <c r="L781" s="28"/>
      <c r="M781" s="28"/>
      <c r="N781" s="254"/>
    </row>
    <row r="782" spans="1:57">
      <c r="A782" s="253"/>
      <c r="B782" s="28"/>
      <c r="C782" s="28"/>
      <c r="D782" s="28"/>
      <c r="E782" s="28"/>
      <c r="F782" s="28"/>
      <c r="G782" s="28"/>
      <c r="H782" s="322"/>
      <c r="I782" s="28"/>
      <c r="J782" s="28"/>
      <c r="K782" s="28"/>
      <c r="L782" s="28"/>
      <c r="M782" s="28"/>
      <c r="N782" s="254"/>
    </row>
    <row r="783" spans="1:57">
      <c r="A783" s="253"/>
      <c r="B783" s="28"/>
      <c r="C783" s="28"/>
      <c r="D783" s="28"/>
      <c r="E783" s="28"/>
      <c r="F783" s="28"/>
      <c r="G783" s="28"/>
      <c r="H783" s="322"/>
      <c r="I783" s="28"/>
      <c r="J783" s="28"/>
      <c r="K783" s="28"/>
      <c r="L783" s="28"/>
      <c r="M783" s="28"/>
      <c r="N783" s="254"/>
    </row>
    <row r="784" spans="1:57">
      <c r="A784" s="253"/>
      <c r="B784" s="28"/>
      <c r="C784" s="28"/>
      <c r="D784" s="28"/>
      <c r="E784" s="28"/>
      <c r="F784" s="28"/>
      <c r="G784" s="28"/>
      <c r="H784" s="322"/>
      <c r="I784" s="28"/>
      <c r="J784" s="28"/>
      <c r="K784" s="28"/>
      <c r="L784" s="28"/>
      <c r="M784" s="28"/>
      <c r="N784" s="254"/>
    </row>
    <row r="785" spans="1:14">
      <c r="A785" s="253"/>
      <c r="B785" s="28"/>
      <c r="C785" s="28"/>
      <c r="D785" s="28"/>
      <c r="E785" s="28"/>
      <c r="F785" s="28"/>
      <c r="G785" s="28"/>
      <c r="H785" s="322"/>
      <c r="I785" s="28"/>
      <c r="J785" s="28"/>
      <c r="K785" s="28"/>
      <c r="L785" s="28"/>
      <c r="M785" s="28"/>
      <c r="N785" s="254"/>
    </row>
    <row r="786" spans="1:14">
      <c r="A786" s="253"/>
      <c r="B786" s="28"/>
      <c r="C786" s="28"/>
      <c r="D786" s="28"/>
      <c r="E786" s="28"/>
      <c r="F786" s="28"/>
      <c r="G786" s="28"/>
      <c r="H786" s="322"/>
      <c r="I786" s="28"/>
      <c r="J786" s="28"/>
      <c r="K786" s="28"/>
      <c r="L786" s="28"/>
      <c r="M786" s="28"/>
      <c r="N786" s="254"/>
    </row>
    <row r="787" spans="1:14">
      <c r="A787" s="253"/>
      <c r="B787" s="28"/>
      <c r="C787" s="28"/>
      <c r="D787" s="28"/>
      <c r="E787" s="28"/>
      <c r="F787" s="28"/>
      <c r="G787" s="28"/>
      <c r="H787" s="322"/>
      <c r="I787" s="28"/>
      <c r="J787" s="28"/>
      <c r="K787" s="28"/>
      <c r="L787" s="28"/>
      <c r="M787" s="28"/>
      <c r="N787" s="254"/>
    </row>
    <row r="788" spans="1:14">
      <c r="A788" s="253"/>
      <c r="B788" s="28"/>
      <c r="C788" s="28"/>
      <c r="D788" s="28"/>
      <c r="E788" s="28"/>
      <c r="F788" s="28"/>
      <c r="G788" s="28"/>
      <c r="H788" s="322"/>
      <c r="I788" s="28"/>
      <c r="J788" s="28"/>
      <c r="K788" s="28"/>
      <c r="L788" s="28"/>
      <c r="M788" s="28"/>
      <c r="N788" s="254"/>
    </row>
    <row r="789" spans="1:14">
      <c r="A789" s="253"/>
      <c r="B789" s="28"/>
      <c r="C789" s="28"/>
      <c r="D789" s="28"/>
      <c r="E789" s="28"/>
      <c r="F789" s="28"/>
      <c r="G789" s="28"/>
      <c r="H789" s="322"/>
      <c r="I789" s="28"/>
      <c r="J789" s="28"/>
      <c r="K789" s="28"/>
      <c r="L789" s="28"/>
      <c r="M789" s="28"/>
      <c r="N789" s="254"/>
    </row>
    <row r="790" spans="1:14">
      <c r="A790" s="253"/>
      <c r="B790" s="28"/>
      <c r="C790" s="28"/>
      <c r="D790" s="28"/>
      <c r="E790" s="28"/>
      <c r="F790" s="28"/>
      <c r="G790" s="28"/>
      <c r="H790" s="322"/>
      <c r="I790" s="28"/>
      <c r="J790" s="28"/>
      <c r="K790" s="28"/>
      <c r="L790" s="28"/>
      <c r="M790" s="28"/>
      <c r="N790" s="254"/>
    </row>
    <row r="791" spans="1:14">
      <c r="A791" s="253"/>
      <c r="B791" s="28"/>
      <c r="C791" s="28"/>
      <c r="D791" s="28"/>
      <c r="E791" s="28"/>
      <c r="F791" s="28"/>
      <c r="G791" s="28"/>
      <c r="H791" s="322"/>
      <c r="I791" s="28"/>
      <c r="J791" s="28"/>
      <c r="K791" s="28"/>
      <c r="L791" s="28"/>
      <c r="M791" s="28"/>
      <c r="N791" s="254"/>
    </row>
    <row r="792" spans="1:14">
      <c r="A792" s="253"/>
      <c r="B792" s="28"/>
      <c r="C792" s="28"/>
      <c r="D792" s="28"/>
      <c r="E792" s="28"/>
      <c r="F792" s="28"/>
      <c r="G792" s="28"/>
      <c r="H792" s="322"/>
      <c r="I792" s="28"/>
      <c r="J792" s="28"/>
      <c r="K792" s="28"/>
      <c r="L792" s="28"/>
      <c r="M792" s="28"/>
      <c r="N792" s="254"/>
    </row>
    <row r="793" spans="1:14">
      <c r="A793" s="253"/>
      <c r="B793" s="28"/>
      <c r="C793" s="28"/>
      <c r="D793" s="28"/>
      <c r="E793" s="28"/>
      <c r="F793" s="28"/>
      <c r="G793" s="28"/>
      <c r="H793" s="322"/>
      <c r="I793" s="28"/>
      <c r="J793" s="28"/>
      <c r="K793" s="28"/>
      <c r="L793" s="28"/>
      <c r="M793" s="28"/>
      <c r="N793" s="254"/>
    </row>
    <row r="794" spans="1:14">
      <c r="A794" s="253"/>
      <c r="B794" s="28"/>
      <c r="C794" s="28"/>
      <c r="D794" s="28"/>
      <c r="E794" s="28"/>
      <c r="F794" s="28"/>
      <c r="G794" s="28"/>
      <c r="H794" s="322"/>
      <c r="I794" s="28"/>
      <c r="J794" s="28"/>
      <c r="K794" s="28"/>
      <c r="L794" s="28"/>
      <c r="M794" s="28"/>
      <c r="N794" s="254"/>
    </row>
    <row r="795" spans="1:14">
      <c r="A795" s="253"/>
      <c r="B795" s="28"/>
      <c r="C795" s="28"/>
      <c r="D795" s="28"/>
      <c r="E795" s="28"/>
      <c r="F795" s="28"/>
      <c r="G795" s="28"/>
      <c r="H795" s="322"/>
      <c r="I795" s="28"/>
      <c r="J795" s="28"/>
      <c r="K795" s="28"/>
      <c r="L795" s="28"/>
      <c r="M795" s="28"/>
      <c r="N795" s="254"/>
    </row>
    <row r="796" spans="1:14">
      <c r="A796" s="253"/>
      <c r="B796" s="28"/>
      <c r="C796" s="28"/>
      <c r="D796" s="28"/>
      <c r="E796" s="28"/>
      <c r="F796" s="28"/>
      <c r="G796" s="28"/>
      <c r="H796" s="322"/>
      <c r="I796" s="28"/>
      <c r="J796" s="28"/>
      <c r="K796" s="28"/>
      <c r="L796" s="28"/>
      <c r="M796" s="28"/>
      <c r="N796" s="254"/>
    </row>
    <row r="797" spans="1:14">
      <c r="A797" s="253"/>
      <c r="B797" s="28"/>
      <c r="C797" s="28"/>
      <c r="D797" s="28"/>
      <c r="E797" s="28"/>
      <c r="F797" s="28"/>
      <c r="G797" s="28"/>
      <c r="H797" s="322"/>
      <c r="I797" s="28"/>
      <c r="J797" s="28"/>
      <c r="K797" s="28"/>
      <c r="L797" s="28"/>
      <c r="M797" s="28"/>
      <c r="N797" s="254"/>
    </row>
    <row r="798" spans="1:14">
      <c r="A798" s="253"/>
      <c r="B798" s="28"/>
      <c r="C798" s="28"/>
      <c r="D798" s="28"/>
      <c r="E798" s="28"/>
      <c r="F798" s="28"/>
      <c r="G798" s="28"/>
      <c r="H798" s="322"/>
      <c r="I798" s="28"/>
      <c r="J798" s="28"/>
      <c r="K798" s="28"/>
      <c r="L798" s="28"/>
      <c r="M798" s="28"/>
      <c r="N798" s="254"/>
    </row>
    <row r="799" spans="1:14">
      <c r="A799" s="253"/>
      <c r="B799" s="28"/>
      <c r="C799" s="28"/>
      <c r="D799" s="28"/>
      <c r="E799" s="28"/>
      <c r="F799" s="28"/>
      <c r="G799" s="28"/>
      <c r="H799" s="322"/>
      <c r="I799" s="28"/>
      <c r="J799" s="28"/>
      <c r="K799" s="28"/>
      <c r="L799" s="28"/>
      <c r="M799" s="28"/>
      <c r="N799" s="254"/>
    </row>
    <row r="800" spans="1:14">
      <c r="A800" s="253"/>
      <c r="B800" s="28"/>
      <c r="C800" s="28"/>
      <c r="D800" s="28"/>
      <c r="E800" s="28"/>
      <c r="F800" s="28"/>
      <c r="G800" s="28"/>
      <c r="H800" s="322"/>
      <c r="I800" s="28"/>
      <c r="J800" s="28"/>
      <c r="K800" s="28"/>
      <c r="L800" s="28"/>
      <c r="M800" s="28"/>
      <c r="N800" s="254"/>
    </row>
    <row r="801" spans="1:14">
      <c r="A801" s="253"/>
      <c r="B801" s="28"/>
      <c r="C801" s="28"/>
      <c r="D801" s="28"/>
      <c r="E801" s="28"/>
      <c r="F801" s="28"/>
      <c r="G801" s="28"/>
      <c r="H801" s="322"/>
      <c r="I801" s="28"/>
      <c r="J801" s="28"/>
      <c r="K801" s="28"/>
      <c r="L801" s="28"/>
      <c r="M801" s="28"/>
      <c r="N801" s="254"/>
    </row>
    <row r="802" spans="1:14">
      <c r="A802" s="253"/>
      <c r="B802" s="28"/>
      <c r="C802" s="28"/>
      <c r="D802" s="28"/>
      <c r="E802" s="28"/>
      <c r="F802" s="28"/>
      <c r="G802" s="28"/>
      <c r="H802" s="322"/>
      <c r="I802" s="28"/>
      <c r="J802" s="28"/>
      <c r="K802" s="28"/>
      <c r="L802" s="28"/>
      <c r="M802" s="28"/>
      <c r="N802" s="254"/>
    </row>
    <row r="803" spans="1:14">
      <c r="A803" s="253"/>
      <c r="B803" s="28"/>
      <c r="C803" s="28"/>
      <c r="D803" s="28"/>
      <c r="E803" s="28"/>
      <c r="F803" s="28"/>
      <c r="G803" s="28"/>
      <c r="H803" s="322"/>
      <c r="I803" s="28"/>
      <c r="J803" s="28"/>
      <c r="K803" s="28"/>
      <c r="L803" s="28"/>
      <c r="M803" s="28"/>
      <c r="N803" s="254"/>
    </row>
    <row r="804" spans="1:14">
      <c r="A804" s="253"/>
      <c r="B804" s="28"/>
      <c r="C804" s="28"/>
      <c r="D804" s="28"/>
      <c r="E804" s="28"/>
      <c r="F804" s="28"/>
      <c r="G804" s="28"/>
      <c r="H804" s="322"/>
      <c r="I804" s="28"/>
      <c r="J804" s="28"/>
      <c r="K804" s="28"/>
      <c r="L804" s="28"/>
      <c r="M804" s="28"/>
      <c r="N804" s="254"/>
    </row>
    <row r="805" spans="1:14">
      <c r="A805" s="253"/>
      <c r="B805" s="28"/>
      <c r="C805" s="28"/>
      <c r="D805" s="28"/>
      <c r="E805" s="28"/>
      <c r="F805" s="28"/>
      <c r="G805" s="28"/>
      <c r="H805" s="322"/>
      <c r="I805" s="28"/>
      <c r="J805" s="28"/>
      <c r="K805" s="28"/>
      <c r="L805" s="28"/>
      <c r="M805" s="28"/>
      <c r="N805" s="254"/>
    </row>
    <row r="806" spans="1:14">
      <c r="A806" s="253"/>
      <c r="B806" s="28"/>
      <c r="C806" s="28"/>
      <c r="D806" s="28"/>
      <c r="E806" s="28"/>
      <c r="F806" s="28"/>
      <c r="G806" s="28"/>
      <c r="H806" s="322"/>
      <c r="I806" s="28"/>
      <c r="J806" s="28"/>
      <c r="K806" s="28"/>
      <c r="L806" s="28"/>
      <c r="M806" s="28"/>
      <c r="N806" s="254"/>
    </row>
    <row r="807" spans="1:14">
      <c r="A807" s="253"/>
      <c r="B807" s="28"/>
      <c r="C807" s="28"/>
      <c r="D807" s="28"/>
      <c r="E807" s="28"/>
      <c r="F807" s="28"/>
      <c r="G807" s="28"/>
      <c r="H807" s="322"/>
      <c r="I807" s="28"/>
      <c r="J807" s="28"/>
      <c r="K807" s="28"/>
      <c r="L807" s="28"/>
      <c r="M807" s="28"/>
      <c r="N807" s="254"/>
    </row>
    <row r="808" spans="1:14">
      <c r="A808" s="253"/>
      <c r="B808" s="28"/>
      <c r="C808" s="28"/>
      <c r="D808" s="28"/>
      <c r="E808" s="28"/>
      <c r="F808" s="28"/>
      <c r="G808" s="28"/>
      <c r="H808" s="322"/>
      <c r="I808" s="28"/>
      <c r="J808" s="28"/>
      <c r="K808" s="28"/>
      <c r="L808" s="28"/>
      <c r="M808" s="28"/>
      <c r="N808" s="254"/>
    </row>
    <row r="809" spans="1:14">
      <c r="A809" s="253"/>
      <c r="B809" s="28"/>
      <c r="C809" s="28"/>
      <c r="D809" s="28"/>
      <c r="E809" s="28"/>
      <c r="F809" s="28"/>
      <c r="G809" s="28"/>
      <c r="H809" s="322"/>
      <c r="I809" s="28"/>
      <c r="J809" s="28"/>
      <c r="K809" s="28"/>
      <c r="L809" s="28"/>
      <c r="M809" s="28"/>
      <c r="N809" s="254"/>
    </row>
    <row r="810" spans="1:14" ht="13.95" customHeight="1" thickBot="1">
      <c r="A810" s="253"/>
      <c r="B810" s="28"/>
      <c r="C810" s="28"/>
      <c r="D810" s="28"/>
      <c r="E810" s="28"/>
      <c r="F810" s="28"/>
      <c r="G810" s="28"/>
      <c r="H810" s="322"/>
      <c r="I810" s="28"/>
      <c r="J810" s="28"/>
      <c r="K810" s="28"/>
      <c r="L810" s="28"/>
      <c r="M810" s="28"/>
      <c r="N810" s="254"/>
    </row>
    <row r="811" spans="1:14" ht="13.95" customHeight="1" thickTop="1">
      <c r="A811" s="253"/>
      <c r="B811" s="979" t="s">
        <v>975</v>
      </c>
      <c r="C811" s="980"/>
      <c r="D811" s="980"/>
      <c r="E811" s="980"/>
      <c r="F811" s="980"/>
      <c r="G811" s="980"/>
      <c r="H811" s="980"/>
      <c r="I811" s="980"/>
      <c r="J811" s="980"/>
      <c r="K811" s="980"/>
      <c r="L811" s="980"/>
      <c r="M811" s="981"/>
      <c r="N811" s="254"/>
    </row>
    <row r="812" spans="1:14" ht="13.95" customHeight="1">
      <c r="A812" s="253"/>
      <c r="B812" s="982"/>
      <c r="C812" s="983"/>
      <c r="D812" s="983"/>
      <c r="E812" s="983"/>
      <c r="F812" s="983"/>
      <c r="G812" s="983"/>
      <c r="H812" s="983"/>
      <c r="I812" s="983"/>
      <c r="J812" s="983"/>
      <c r="K812" s="983"/>
      <c r="L812" s="983"/>
      <c r="M812" s="984"/>
      <c r="N812" s="254"/>
    </row>
    <row r="813" spans="1:14" ht="13.95" customHeight="1" thickBot="1">
      <c r="A813" s="253"/>
      <c r="B813" s="985"/>
      <c r="C813" s="986"/>
      <c r="D813" s="986"/>
      <c r="E813" s="986"/>
      <c r="F813" s="986"/>
      <c r="G813" s="986"/>
      <c r="H813" s="986"/>
      <c r="I813" s="986"/>
      <c r="J813" s="986"/>
      <c r="K813" s="986"/>
      <c r="L813" s="986"/>
      <c r="M813" s="987"/>
      <c r="N813" s="254"/>
    </row>
    <row r="814" spans="1:14" ht="13.95" customHeight="1" thickTop="1">
      <c r="A814" s="253"/>
      <c r="B814" s="266"/>
      <c r="C814" s="266"/>
      <c r="D814" s="266"/>
      <c r="E814" s="266"/>
      <c r="F814" s="266"/>
      <c r="G814" s="266"/>
      <c r="H814" s="334"/>
      <c r="I814" s="266"/>
      <c r="J814" s="266"/>
      <c r="K814" s="266"/>
      <c r="L814" s="266"/>
      <c r="M814" s="266"/>
      <c r="N814" s="254"/>
    </row>
    <row r="815" spans="1:14" ht="13.95" customHeight="1">
      <c r="A815" s="253"/>
      <c r="B815" s="975" t="s">
        <v>974</v>
      </c>
      <c r="C815" s="976"/>
      <c r="D815" s="976"/>
      <c r="E815" s="976"/>
      <c r="F815" s="976"/>
      <c r="G815" s="28"/>
      <c r="H815" s="322"/>
      <c r="I815" s="977" t="s">
        <v>973</v>
      </c>
      <c r="J815" s="977"/>
      <c r="K815" s="977"/>
      <c r="L815" s="977"/>
      <c r="M815" s="977"/>
      <c r="N815" s="254"/>
    </row>
    <row r="816" spans="1:14">
      <c r="A816" s="253"/>
      <c r="B816" s="976"/>
      <c r="C816" s="976"/>
      <c r="D816" s="976"/>
      <c r="E816" s="976"/>
      <c r="F816" s="976"/>
      <c r="G816" s="28"/>
      <c r="H816" s="322"/>
      <c r="I816" s="977"/>
      <c r="J816" s="977"/>
      <c r="K816" s="977"/>
      <c r="L816" s="977"/>
      <c r="M816" s="977"/>
      <c r="N816" s="254"/>
    </row>
    <row r="817" spans="1:74">
      <c r="A817" s="253"/>
      <c r="B817" s="976"/>
      <c r="C817" s="976"/>
      <c r="D817" s="976"/>
      <c r="E817" s="976"/>
      <c r="F817" s="976"/>
      <c r="G817" s="978" t="s">
        <v>635</v>
      </c>
      <c r="H817" s="978"/>
      <c r="I817" s="977"/>
      <c r="J817" s="977"/>
      <c r="K817" s="977"/>
      <c r="L817" s="977"/>
      <c r="M817" s="977"/>
      <c r="N817" s="254"/>
    </row>
    <row r="818" spans="1:74">
      <c r="A818" s="253"/>
      <c r="B818" s="976"/>
      <c r="C818" s="976"/>
      <c r="D818" s="976"/>
      <c r="E818" s="976"/>
      <c r="F818" s="976"/>
      <c r="G818" s="978"/>
      <c r="H818" s="978"/>
      <c r="I818" s="977"/>
      <c r="J818" s="977"/>
      <c r="K818" s="977"/>
      <c r="L818" s="977"/>
      <c r="M818" s="977"/>
      <c r="N818" s="254"/>
    </row>
    <row r="819" spans="1:74">
      <c r="A819" s="253"/>
      <c r="B819" s="976"/>
      <c r="C819" s="976"/>
      <c r="D819" s="976"/>
      <c r="E819" s="976"/>
      <c r="F819" s="976"/>
      <c r="G819" s="978"/>
      <c r="H819" s="978"/>
      <c r="I819" s="977"/>
      <c r="J819" s="977"/>
      <c r="K819" s="977"/>
      <c r="L819" s="977"/>
      <c r="M819" s="977"/>
      <c r="N819" s="254"/>
    </row>
    <row r="820" spans="1:74">
      <c r="A820" s="253"/>
      <c r="B820" s="28"/>
      <c r="C820" s="28"/>
      <c r="D820" s="28"/>
      <c r="E820" s="28"/>
      <c r="F820" s="28"/>
      <c r="G820" s="28"/>
      <c r="H820" s="322"/>
      <c r="I820" s="28"/>
      <c r="J820" s="28"/>
      <c r="K820" s="28"/>
      <c r="L820" s="28"/>
      <c r="M820" s="28"/>
      <c r="N820" s="254"/>
    </row>
    <row r="821" spans="1:74">
      <c r="A821" s="253"/>
      <c r="B821" s="28"/>
      <c r="C821" s="28"/>
      <c r="D821" s="28"/>
      <c r="E821" s="28"/>
      <c r="F821" s="28"/>
      <c r="G821" s="28"/>
      <c r="H821" s="322"/>
      <c r="I821" s="28"/>
      <c r="J821" s="28"/>
      <c r="K821" s="28"/>
      <c r="L821" s="28"/>
      <c r="M821" s="28"/>
      <c r="N821" s="254"/>
    </row>
    <row r="822" spans="1:74">
      <c r="A822" s="253"/>
      <c r="B822" s="28"/>
      <c r="C822" s="28"/>
      <c r="D822" s="28"/>
      <c r="E822" s="28"/>
      <c r="F822" s="28"/>
      <c r="G822" s="28"/>
      <c r="H822" s="322"/>
      <c r="I822" s="28"/>
      <c r="J822" s="28"/>
      <c r="K822" s="28"/>
      <c r="L822" s="28"/>
      <c r="M822" s="28"/>
      <c r="N822" s="254"/>
    </row>
    <row r="823" spans="1:74">
      <c r="A823" s="253"/>
      <c r="B823" s="28"/>
      <c r="C823" s="28"/>
      <c r="D823" s="28"/>
      <c r="E823" s="28"/>
      <c r="F823" s="28"/>
      <c r="G823" s="28"/>
      <c r="H823" s="322"/>
      <c r="I823" s="28"/>
      <c r="J823" s="28"/>
      <c r="K823" s="28"/>
      <c r="L823" s="28"/>
      <c r="M823" s="28"/>
      <c r="N823" s="254"/>
    </row>
    <row r="824" spans="1:74">
      <c r="A824" s="255"/>
      <c r="B824" s="256"/>
      <c r="C824" s="256"/>
      <c r="D824" s="256"/>
      <c r="E824" s="256"/>
      <c r="F824" s="256"/>
      <c r="G824" s="256"/>
      <c r="H824" s="323"/>
      <c r="I824" s="256"/>
      <c r="J824" s="256"/>
      <c r="K824" s="256"/>
      <c r="L824" s="256"/>
      <c r="M824" s="256"/>
      <c r="N824" s="257"/>
    </row>
    <row r="825" spans="1:74" ht="30" customHeight="1">
      <c r="A825" s="265" t="s">
        <v>1148</v>
      </c>
      <c r="B825" s="946" t="s">
        <v>459</v>
      </c>
      <c r="C825" s="946"/>
      <c r="D825" s="946"/>
      <c r="E825" s="946"/>
      <c r="F825" s="946"/>
      <c r="G825" s="946"/>
      <c r="H825" s="946"/>
      <c r="I825" s="946"/>
      <c r="J825" s="946"/>
      <c r="K825" s="946"/>
      <c r="L825" s="946"/>
      <c r="M825" s="181"/>
      <c r="N825" s="183" t="s">
        <v>1149</v>
      </c>
    </row>
    <row r="826" spans="1:74">
      <c r="A826" s="245"/>
      <c r="B826" s="112"/>
      <c r="C826" s="112"/>
      <c r="D826" s="112"/>
      <c r="E826" s="112"/>
      <c r="F826" s="112"/>
      <c r="G826" s="112"/>
      <c r="H826" s="335"/>
      <c r="I826" s="112"/>
      <c r="J826" s="112"/>
      <c r="K826" s="112"/>
      <c r="L826" s="112"/>
      <c r="M826" s="112"/>
      <c r="N826" s="246"/>
      <c r="BT826" s="2" t="str">
        <f>CONCATENATE(BW826,BX826)</f>
        <v/>
      </c>
      <c r="BV826" s="47" t="s">
        <v>3</v>
      </c>
    </row>
    <row r="827" spans="1:74">
      <c r="A827" s="245"/>
      <c r="B827" s="112"/>
      <c r="C827" s="112"/>
      <c r="D827" s="112"/>
      <c r="E827" s="112"/>
      <c r="F827" s="112"/>
      <c r="G827" s="112"/>
      <c r="H827" s="335"/>
      <c r="I827" s="112"/>
      <c r="J827" s="112"/>
      <c r="K827" s="112"/>
      <c r="L827" s="112"/>
      <c r="M827" s="112"/>
      <c r="N827" s="246"/>
    </row>
    <row r="828" spans="1:74">
      <c r="A828" s="245"/>
      <c r="B828" s="112"/>
      <c r="C828" s="112"/>
      <c r="D828" s="112"/>
      <c r="E828" s="112"/>
      <c r="F828" s="112"/>
      <c r="G828" s="112"/>
      <c r="H828" s="335"/>
      <c r="I828" s="112"/>
      <c r="J828" s="112"/>
      <c r="K828" s="112"/>
      <c r="L828" s="112"/>
      <c r="M828" s="112"/>
      <c r="N828" s="246"/>
    </row>
    <row r="829" spans="1:74">
      <c r="A829" s="245"/>
      <c r="B829" s="112"/>
      <c r="C829" s="112"/>
      <c r="D829" s="112"/>
      <c r="E829" s="112"/>
      <c r="F829" s="112"/>
      <c r="G829" s="112"/>
      <c r="H829" s="335"/>
      <c r="I829" s="112"/>
      <c r="J829" s="112"/>
      <c r="K829" s="112"/>
      <c r="L829" s="112"/>
      <c r="M829" s="112"/>
      <c r="N829" s="246"/>
      <c r="BT829" s="2" t="str">
        <f>CONCATENATE(BW829,BX829)</f>
        <v/>
      </c>
      <c r="BV829" s="47" t="s">
        <v>3</v>
      </c>
    </row>
    <row r="830" spans="1:74">
      <c r="A830" s="245"/>
      <c r="B830" s="112"/>
      <c r="C830" s="112"/>
      <c r="D830" s="112"/>
      <c r="E830" s="112"/>
      <c r="F830" s="112"/>
      <c r="G830" s="112"/>
      <c r="H830" s="335"/>
      <c r="I830" s="112"/>
      <c r="J830" s="112"/>
      <c r="K830" s="112"/>
      <c r="L830" s="112"/>
      <c r="M830" s="112"/>
      <c r="N830" s="246"/>
    </row>
    <row r="831" spans="1:74">
      <c r="A831" s="245"/>
      <c r="B831" s="112"/>
      <c r="C831" s="112"/>
      <c r="D831" s="112"/>
      <c r="E831" s="112"/>
      <c r="F831" s="112"/>
      <c r="G831" s="112"/>
      <c r="H831" s="335"/>
      <c r="I831" s="112"/>
      <c r="J831" s="112"/>
      <c r="K831" s="112"/>
      <c r="L831" s="112"/>
      <c r="M831" s="112"/>
      <c r="N831" s="246"/>
    </row>
    <row r="832" spans="1:74">
      <c r="A832" s="245"/>
      <c r="B832" s="112"/>
      <c r="C832" s="112"/>
      <c r="D832" s="112"/>
      <c r="E832" s="112"/>
      <c r="F832" s="112"/>
      <c r="G832" s="112"/>
      <c r="H832" s="335"/>
      <c r="I832" s="112"/>
      <c r="J832" s="112"/>
      <c r="K832" s="112"/>
      <c r="L832" s="112"/>
      <c r="M832" s="112"/>
      <c r="N832" s="246"/>
      <c r="BV832" s="47" t="s">
        <v>3</v>
      </c>
    </row>
    <row r="833" spans="1:74">
      <c r="A833" s="245"/>
      <c r="B833" s="112"/>
      <c r="C833" s="112"/>
      <c r="D833" s="112"/>
      <c r="E833" s="112"/>
      <c r="F833" s="112"/>
      <c r="G833" s="112"/>
      <c r="H833" s="335"/>
      <c r="I833" s="112"/>
      <c r="J833" s="112"/>
      <c r="K833" s="112"/>
      <c r="L833" s="112"/>
      <c r="M833" s="112"/>
      <c r="N833" s="246"/>
    </row>
    <row r="834" spans="1:74">
      <c r="A834" s="245"/>
      <c r="B834" s="112"/>
      <c r="C834" s="112"/>
      <c r="D834" s="112"/>
      <c r="E834" s="112"/>
      <c r="F834" s="112"/>
      <c r="G834" s="112"/>
      <c r="H834" s="335"/>
      <c r="I834" s="112"/>
      <c r="J834" s="112"/>
      <c r="K834" s="112"/>
      <c r="L834" s="112"/>
      <c r="M834" s="112"/>
      <c r="N834" s="246"/>
    </row>
    <row r="835" spans="1:74">
      <c r="A835" s="242"/>
      <c r="B835" s="244"/>
      <c r="C835" s="244"/>
      <c r="D835" s="244"/>
      <c r="E835" s="244"/>
      <c r="F835" s="244"/>
      <c r="G835" s="244"/>
      <c r="H835" s="336"/>
      <c r="I835" s="244"/>
      <c r="J835" s="244"/>
      <c r="K835" s="244"/>
      <c r="L835" s="244"/>
      <c r="M835" s="244"/>
      <c r="N835" s="243"/>
    </row>
    <row r="836" spans="1:74">
      <c r="A836" s="242"/>
      <c r="B836" s="244"/>
      <c r="C836" s="244"/>
      <c r="D836" s="244"/>
      <c r="E836" s="244"/>
      <c r="F836" s="244"/>
      <c r="G836" s="244"/>
      <c r="H836" s="336"/>
      <c r="I836" s="244"/>
      <c r="J836" s="244"/>
      <c r="K836" s="244"/>
      <c r="L836" s="244"/>
      <c r="M836" s="244"/>
      <c r="N836" s="243"/>
      <c r="BV836" s="47" t="s">
        <v>3</v>
      </c>
    </row>
    <row r="837" spans="1:74">
      <c r="A837" s="242"/>
      <c r="B837" s="244"/>
      <c r="C837" s="244"/>
      <c r="D837" s="244"/>
      <c r="E837" s="244"/>
      <c r="F837" s="244"/>
      <c r="G837" s="244"/>
      <c r="H837" s="336"/>
      <c r="I837" s="244"/>
      <c r="J837" s="244"/>
      <c r="K837" s="244"/>
      <c r="L837" s="244"/>
      <c r="M837" s="244"/>
      <c r="N837" s="243"/>
    </row>
    <row r="838" spans="1:74">
      <c r="A838" s="242"/>
      <c r="B838" s="244"/>
      <c r="C838" s="244"/>
      <c r="D838" s="244"/>
      <c r="E838" s="244"/>
      <c r="F838" s="244"/>
      <c r="G838" s="244"/>
      <c r="H838" s="336"/>
      <c r="I838" s="244"/>
      <c r="J838" s="244"/>
      <c r="K838" s="244"/>
      <c r="L838" s="244"/>
      <c r="M838" s="244"/>
      <c r="N838" s="243"/>
    </row>
    <row r="839" spans="1:74">
      <c r="A839" s="242"/>
      <c r="B839" s="244"/>
      <c r="C839" s="244"/>
      <c r="D839" s="244"/>
      <c r="E839" s="244"/>
      <c r="F839" s="244"/>
      <c r="G839" s="244"/>
      <c r="H839" s="336"/>
      <c r="I839" s="244"/>
      <c r="J839" s="244"/>
      <c r="K839" s="244"/>
      <c r="L839" s="244"/>
      <c r="M839" s="244"/>
      <c r="N839" s="243"/>
      <c r="BV839" s="47" t="s">
        <v>3</v>
      </c>
    </row>
    <row r="840" spans="1:74">
      <c r="A840" s="242"/>
      <c r="B840" s="244"/>
      <c r="C840" s="244"/>
      <c r="D840" s="244"/>
      <c r="E840" s="244"/>
      <c r="F840" s="244"/>
      <c r="G840" s="244"/>
      <c r="H840" s="336"/>
      <c r="I840" s="244"/>
      <c r="J840" s="244"/>
      <c r="K840" s="244"/>
      <c r="L840" s="244"/>
      <c r="M840" s="244"/>
      <c r="N840" s="243"/>
    </row>
    <row r="841" spans="1:74">
      <c r="A841" s="242"/>
      <c r="B841" s="244"/>
      <c r="C841" s="244"/>
      <c r="D841" s="244"/>
      <c r="E841" s="244"/>
      <c r="F841" s="244"/>
      <c r="G841" s="244"/>
      <c r="H841" s="336"/>
      <c r="I841" s="244"/>
      <c r="J841" s="244"/>
      <c r="K841" s="244"/>
      <c r="L841" s="244"/>
      <c r="M841" s="244"/>
      <c r="N841" s="243"/>
    </row>
    <row r="842" spans="1:74">
      <c r="A842" s="242"/>
      <c r="B842" s="244"/>
      <c r="C842" s="244"/>
      <c r="D842" s="244"/>
      <c r="E842" s="244"/>
      <c r="F842" s="244"/>
      <c r="G842" s="244"/>
      <c r="H842" s="336"/>
      <c r="I842" s="244"/>
      <c r="J842" s="244"/>
      <c r="K842" s="244"/>
      <c r="L842" s="244"/>
      <c r="M842" s="244"/>
      <c r="N842" s="243"/>
      <c r="BV842" s="47" t="s">
        <v>3</v>
      </c>
    </row>
    <row r="843" spans="1:74">
      <c r="A843" s="242"/>
      <c r="B843" s="244"/>
      <c r="C843" s="244"/>
      <c r="D843" s="244"/>
      <c r="E843" s="244"/>
      <c r="F843" s="244"/>
      <c r="G843" s="244"/>
      <c r="H843" s="336"/>
      <c r="I843" s="244"/>
      <c r="J843" s="244"/>
      <c r="K843" s="244"/>
      <c r="L843" s="244"/>
      <c r="M843" s="244"/>
      <c r="N843" s="243"/>
    </row>
    <row r="844" spans="1:74">
      <c r="A844" s="253"/>
      <c r="B844" s="28"/>
      <c r="C844" s="28"/>
      <c r="D844" s="28"/>
      <c r="E844" s="28"/>
      <c r="F844" s="28"/>
      <c r="G844" s="28"/>
      <c r="H844" s="322"/>
      <c r="I844" s="28"/>
      <c r="J844" s="28"/>
      <c r="K844" s="28"/>
      <c r="L844" s="28"/>
      <c r="M844" s="28"/>
      <c r="N844" s="254"/>
    </row>
    <row r="845" spans="1:74">
      <c r="A845" s="253"/>
      <c r="B845" s="28"/>
      <c r="C845" s="28"/>
      <c r="D845" s="28"/>
      <c r="E845" s="28"/>
      <c r="F845" s="28"/>
      <c r="G845" s="28"/>
      <c r="H845" s="322"/>
      <c r="I845" s="28"/>
      <c r="J845" s="28"/>
      <c r="K845" s="28"/>
      <c r="L845" s="28"/>
      <c r="M845" s="28"/>
      <c r="N845" s="254"/>
      <c r="BV845" s="47" t="s">
        <v>3</v>
      </c>
    </row>
    <row r="846" spans="1:74">
      <c r="A846" s="253"/>
      <c r="B846" s="28"/>
      <c r="C846" s="28"/>
      <c r="D846" s="28"/>
      <c r="E846" s="28"/>
      <c r="F846" s="28"/>
      <c r="G846" s="28"/>
      <c r="H846" s="322"/>
      <c r="I846" s="28"/>
      <c r="J846" s="28"/>
      <c r="K846" s="28"/>
      <c r="L846" s="28"/>
      <c r="M846" s="28"/>
      <c r="N846" s="254"/>
    </row>
    <row r="847" spans="1:74">
      <c r="A847" s="253"/>
      <c r="B847" s="28"/>
      <c r="C847" s="28"/>
      <c r="D847" s="28"/>
      <c r="E847" s="28"/>
      <c r="F847" s="28"/>
      <c r="G847" s="28"/>
      <c r="H847" s="322"/>
      <c r="I847" s="28"/>
      <c r="J847" s="28"/>
      <c r="K847" s="28"/>
      <c r="L847" s="28"/>
      <c r="M847" s="28"/>
      <c r="N847" s="254"/>
    </row>
    <row r="848" spans="1:74">
      <c r="A848" s="253"/>
      <c r="B848" s="28"/>
      <c r="C848" s="28"/>
      <c r="D848" s="28"/>
      <c r="E848" s="28"/>
      <c r="F848" s="28"/>
      <c r="G848" s="28"/>
      <c r="H848" s="322"/>
      <c r="I848" s="28"/>
      <c r="J848" s="28"/>
      <c r="K848" s="28"/>
      <c r="L848" s="28"/>
      <c r="M848" s="28"/>
      <c r="N848" s="254"/>
    </row>
    <row r="849" spans="1:14">
      <c r="A849" s="245"/>
      <c r="B849" s="112"/>
      <c r="C849" s="112"/>
      <c r="D849" s="112"/>
      <c r="E849" s="112"/>
      <c r="F849" s="112"/>
      <c r="G849" s="112"/>
      <c r="H849" s="335"/>
      <c r="I849" s="112"/>
      <c r="J849" s="112"/>
      <c r="K849" s="112"/>
      <c r="L849" s="112"/>
      <c r="M849" s="112"/>
      <c r="N849" s="246"/>
    </row>
    <row r="850" spans="1:14">
      <c r="A850" s="245"/>
      <c r="B850" s="112"/>
      <c r="C850" s="112"/>
      <c r="D850" s="112"/>
      <c r="E850" s="112"/>
      <c r="F850" s="112"/>
      <c r="G850" s="112"/>
      <c r="H850" s="335"/>
      <c r="I850" s="112"/>
      <c r="J850" s="112"/>
      <c r="K850" s="112"/>
      <c r="L850" s="112"/>
      <c r="M850" s="112"/>
      <c r="N850" s="246"/>
    </row>
    <row r="851" spans="1:14">
      <c r="A851" s="245"/>
      <c r="B851" s="112"/>
      <c r="C851" s="112"/>
      <c r="D851" s="112"/>
      <c r="E851" s="112"/>
      <c r="F851" s="112"/>
      <c r="G851" s="112"/>
      <c r="H851" s="335"/>
      <c r="I851" s="112"/>
      <c r="J851" s="112"/>
      <c r="K851" s="112"/>
      <c r="L851" s="112"/>
      <c r="M851" s="112"/>
      <c r="N851" s="246"/>
    </row>
    <row r="852" spans="1:14">
      <c r="A852" s="245"/>
      <c r="B852" s="112"/>
      <c r="C852" s="112"/>
      <c r="D852" s="112"/>
      <c r="E852" s="112"/>
      <c r="F852" s="112"/>
      <c r="G852" s="112"/>
      <c r="H852" s="335"/>
      <c r="I852" s="112"/>
      <c r="J852" s="112"/>
      <c r="K852" s="112"/>
      <c r="L852" s="112"/>
      <c r="M852" s="112"/>
      <c r="N852" s="246"/>
    </row>
    <row r="853" spans="1:14">
      <c r="A853" s="245"/>
      <c r="B853" s="112"/>
      <c r="C853" s="112"/>
      <c r="D853" s="112"/>
      <c r="E853" s="112"/>
      <c r="F853" s="112"/>
      <c r="G853" s="112"/>
      <c r="H853" s="335"/>
      <c r="I853" s="112"/>
      <c r="J853" s="112"/>
      <c r="K853" s="112"/>
      <c r="L853" s="112"/>
      <c r="M853" s="112"/>
      <c r="N853" s="246"/>
    </row>
    <row r="854" spans="1:14">
      <c r="A854" s="245"/>
      <c r="B854" s="112"/>
      <c r="C854" s="112"/>
      <c r="D854" s="112"/>
      <c r="E854" s="112"/>
      <c r="F854" s="112"/>
      <c r="G854" s="112"/>
      <c r="H854" s="335"/>
      <c r="I854" s="112"/>
      <c r="J854" s="112"/>
      <c r="K854" s="112"/>
      <c r="L854" s="112"/>
      <c r="M854" s="112"/>
      <c r="N854" s="246"/>
    </row>
    <row r="855" spans="1:14">
      <c r="A855" s="245"/>
      <c r="B855" s="112"/>
      <c r="C855" s="112"/>
      <c r="D855" s="112"/>
      <c r="E855" s="112"/>
      <c r="F855" s="112"/>
      <c r="G855" s="112"/>
      <c r="H855" s="335"/>
      <c r="I855" s="112"/>
      <c r="J855" s="112"/>
      <c r="K855" s="112"/>
      <c r="L855" s="112"/>
      <c r="M855" s="112"/>
      <c r="N855" s="246"/>
    </row>
    <row r="856" spans="1:14">
      <c r="A856" s="245"/>
      <c r="B856" s="112"/>
      <c r="C856" s="112"/>
      <c r="D856" s="112"/>
      <c r="E856" s="112"/>
      <c r="F856" s="112"/>
      <c r="G856" s="112"/>
      <c r="H856" s="335"/>
      <c r="I856" s="112"/>
      <c r="J856" s="112"/>
      <c r="K856" s="112"/>
      <c r="L856" s="112"/>
      <c r="M856" s="112"/>
      <c r="N856" s="246"/>
    </row>
    <row r="857" spans="1:14">
      <c r="A857" s="245"/>
      <c r="B857" s="112"/>
      <c r="C857" s="112"/>
      <c r="D857" s="112"/>
      <c r="E857" s="112"/>
      <c r="F857" s="112"/>
      <c r="G857" s="112"/>
      <c r="H857" s="335"/>
      <c r="I857" s="112"/>
      <c r="J857" s="112"/>
      <c r="K857" s="112"/>
      <c r="L857" s="112"/>
      <c r="M857" s="112"/>
      <c r="N857" s="246"/>
    </row>
    <row r="858" spans="1:14">
      <c r="A858" s="245"/>
      <c r="B858" s="112"/>
      <c r="C858" s="112"/>
      <c r="D858" s="112"/>
      <c r="E858" s="112"/>
      <c r="F858" s="112"/>
      <c r="G858" s="112"/>
      <c r="H858" s="335"/>
      <c r="I858" s="112"/>
      <c r="J858" s="112"/>
      <c r="K858" s="112"/>
      <c r="L858" s="112"/>
      <c r="M858" s="112"/>
      <c r="N858" s="246"/>
    </row>
    <row r="859" spans="1:14">
      <c r="A859" s="245"/>
      <c r="B859" s="112"/>
      <c r="C859" s="112"/>
      <c r="D859" s="112"/>
      <c r="E859" s="112"/>
      <c r="F859" s="112"/>
      <c r="G859" s="112"/>
      <c r="H859" s="335"/>
      <c r="I859" s="112"/>
      <c r="J859" s="112"/>
      <c r="K859" s="112"/>
      <c r="L859" s="112"/>
      <c r="M859" s="112"/>
      <c r="N859" s="246"/>
    </row>
    <row r="860" spans="1:14">
      <c r="A860" s="245"/>
      <c r="B860" s="112"/>
      <c r="C860" s="112"/>
      <c r="D860" s="112"/>
      <c r="E860" s="112"/>
      <c r="F860" s="112"/>
      <c r="G860" s="112"/>
      <c r="H860" s="335"/>
      <c r="I860" s="112"/>
      <c r="J860" s="112"/>
      <c r="K860" s="112"/>
      <c r="L860" s="112"/>
      <c r="M860" s="112"/>
      <c r="N860" s="246"/>
    </row>
    <row r="861" spans="1:14">
      <c r="A861" s="245"/>
      <c r="B861" s="112"/>
      <c r="C861" s="112"/>
      <c r="D861" s="112"/>
      <c r="E861" s="112"/>
      <c r="F861" s="112"/>
      <c r="G861" s="112"/>
      <c r="H861" s="335"/>
      <c r="I861" s="112"/>
      <c r="J861" s="112"/>
      <c r="K861" s="112"/>
      <c r="L861" s="112"/>
      <c r="M861" s="112"/>
      <c r="N861" s="246"/>
    </row>
    <row r="862" spans="1:14">
      <c r="A862" s="245"/>
      <c r="B862" s="112"/>
      <c r="C862" s="112"/>
      <c r="D862" s="112"/>
      <c r="E862" s="112"/>
      <c r="F862" s="112"/>
      <c r="G862" s="112"/>
      <c r="H862" s="335"/>
      <c r="I862" s="112"/>
      <c r="J862" s="112"/>
      <c r="K862" s="112"/>
      <c r="L862" s="112"/>
      <c r="M862" s="112"/>
      <c r="N862" s="246"/>
    </row>
    <row r="863" spans="1:14">
      <c r="A863" s="245"/>
      <c r="B863" s="112"/>
      <c r="C863" s="112"/>
      <c r="D863" s="112"/>
      <c r="E863" s="112"/>
      <c r="F863" s="112"/>
      <c r="G863" s="112"/>
      <c r="H863" s="335"/>
      <c r="I863" s="112"/>
      <c r="J863" s="112"/>
      <c r="K863" s="112"/>
      <c r="L863" s="112"/>
      <c r="M863" s="112"/>
      <c r="N863" s="246"/>
    </row>
    <row r="864" spans="1:14">
      <c r="A864" s="242"/>
      <c r="B864" s="244"/>
      <c r="C864" s="244"/>
      <c r="D864" s="244"/>
      <c r="E864" s="244"/>
      <c r="F864" s="244"/>
      <c r="G864" s="244"/>
      <c r="H864" s="336"/>
      <c r="I864" s="244"/>
      <c r="J864" s="244"/>
      <c r="K864" s="244"/>
      <c r="L864" s="244"/>
      <c r="M864" s="244"/>
      <c r="N864" s="243"/>
    </row>
    <row r="865" spans="1:14">
      <c r="A865" s="242"/>
      <c r="B865" s="244"/>
      <c r="C865" s="244"/>
      <c r="D865" s="244"/>
      <c r="E865" s="244"/>
      <c r="F865" s="244"/>
      <c r="G865" s="244"/>
      <c r="H865" s="336"/>
      <c r="I865" s="244"/>
      <c r="J865" s="244"/>
      <c r="K865" s="244"/>
      <c r="L865" s="244"/>
      <c r="M865" s="244"/>
      <c r="N865" s="243"/>
    </row>
    <row r="866" spans="1:14">
      <c r="A866" s="242"/>
      <c r="B866" s="244"/>
      <c r="C866" s="244"/>
      <c r="D866" s="244"/>
      <c r="E866" s="244"/>
      <c r="F866" s="244"/>
      <c r="G866" s="244"/>
      <c r="H866" s="336"/>
      <c r="I866" s="244"/>
      <c r="J866" s="244"/>
      <c r="K866" s="244"/>
      <c r="L866" s="244"/>
      <c r="M866" s="244"/>
      <c r="N866" s="243"/>
    </row>
    <row r="867" spans="1:14">
      <c r="A867" s="242"/>
      <c r="B867" s="244"/>
      <c r="C867" s="244"/>
      <c r="D867" s="244"/>
      <c r="E867" s="244"/>
      <c r="F867" s="244"/>
      <c r="G867" s="244"/>
      <c r="H867" s="336"/>
      <c r="I867" s="244"/>
      <c r="J867" s="244"/>
      <c r="K867" s="244"/>
      <c r="L867" s="244"/>
      <c r="M867" s="244"/>
      <c r="N867" s="243"/>
    </row>
    <row r="868" spans="1:14">
      <c r="A868" s="242"/>
      <c r="B868" s="244"/>
      <c r="C868" s="244"/>
      <c r="D868" s="244"/>
      <c r="E868" s="244"/>
      <c r="F868" s="244"/>
      <c r="G868" s="244"/>
      <c r="H868" s="336"/>
      <c r="I868" s="244"/>
      <c r="J868" s="244"/>
      <c r="K868" s="244"/>
      <c r="L868" s="244"/>
      <c r="M868" s="244"/>
      <c r="N868" s="243"/>
    </row>
    <row r="869" spans="1:14">
      <c r="A869" s="242"/>
      <c r="B869" s="244"/>
      <c r="C869" s="244"/>
      <c r="D869" s="244"/>
      <c r="E869" s="244"/>
      <c r="F869" s="244"/>
      <c r="G869" s="244"/>
      <c r="H869" s="336"/>
      <c r="I869" s="244"/>
      <c r="J869" s="244"/>
      <c r="K869" s="244"/>
      <c r="L869" s="244"/>
      <c r="M869" s="244"/>
      <c r="N869" s="243"/>
    </row>
    <row r="870" spans="1:14">
      <c r="A870" s="242"/>
      <c r="B870" s="244"/>
      <c r="C870" s="244"/>
      <c r="D870" s="244"/>
      <c r="E870" s="244"/>
      <c r="F870" s="244"/>
      <c r="G870" s="244"/>
      <c r="H870" s="336"/>
      <c r="I870" s="244"/>
      <c r="J870" s="244"/>
      <c r="K870" s="244"/>
      <c r="L870" s="244"/>
      <c r="M870" s="244"/>
      <c r="N870" s="243"/>
    </row>
    <row r="871" spans="1:14">
      <c r="A871" s="261"/>
      <c r="B871" s="262"/>
      <c r="C871" s="262"/>
      <c r="D871" s="262"/>
      <c r="E871" s="262"/>
      <c r="F871" s="262"/>
      <c r="G871" s="262"/>
      <c r="H871" s="337"/>
      <c r="I871" s="262"/>
      <c r="J871" s="262"/>
      <c r="K871" s="262"/>
      <c r="L871" s="262"/>
      <c r="M871" s="262"/>
      <c r="N871" s="263"/>
    </row>
    <row r="872" spans="1:14" ht="30" customHeight="1">
      <c r="A872" s="258" t="s">
        <v>1148</v>
      </c>
      <c r="B872" s="946" t="s">
        <v>1133</v>
      </c>
      <c r="C872" s="946"/>
      <c r="D872" s="946"/>
      <c r="E872" s="946"/>
      <c r="F872" s="946"/>
      <c r="G872" s="946"/>
      <c r="H872" s="946"/>
      <c r="I872" s="946"/>
      <c r="J872" s="946"/>
      <c r="K872" s="946"/>
      <c r="L872" s="946"/>
      <c r="M872" s="259"/>
      <c r="N872" s="260" t="s">
        <v>1149</v>
      </c>
    </row>
    <row r="873" spans="1:14">
      <c r="A873" s="245"/>
      <c r="B873" s="112"/>
      <c r="C873" s="112"/>
      <c r="D873" s="112"/>
      <c r="E873" s="112"/>
      <c r="F873" s="112"/>
      <c r="G873" s="112"/>
      <c r="H873" s="335"/>
      <c r="I873" s="112"/>
      <c r="J873" s="112"/>
      <c r="K873" s="112"/>
      <c r="L873" s="112"/>
      <c r="M873" s="112"/>
      <c r="N873" s="246"/>
    </row>
    <row r="874" spans="1:14">
      <c r="A874" s="245"/>
      <c r="B874" s="112"/>
      <c r="C874" s="112"/>
      <c r="D874" s="112"/>
      <c r="E874" s="112"/>
      <c r="F874" s="112"/>
      <c r="G874" s="112"/>
      <c r="H874" s="335"/>
      <c r="I874" s="112"/>
      <c r="J874" s="112"/>
      <c r="K874" s="112"/>
      <c r="L874" s="112"/>
      <c r="M874" s="112"/>
      <c r="N874" s="246"/>
    </row>
    <row r="875" spans="1:14">
      <c r="A875" s="245"/>
      <c r="B875" s="112"/>
      <c r="C875" s="112"/>
      <c r="D875" s="112"/>
      <c r="E875" s="112"/>
      <c r="F875" s="112"/>
      <c r="G875" s="112"/>
      <c r="H875" s="335"/>
      <c r="I875" s="112"/>
      <c r="J875" s="112"/>
      <c r="K875" s="112"/>
      <c r="L875" s="112"/>
      <c r="M875" s="112"/>
      <c r="N875" s="246"/>
    </row>
    <row r="876" spans="1:14">
      <c r="A876" s="245"/>
      <c r="B876" s="112"/>
      <c r="C876" s="112"/>
      <c r="D876" s="244"/>
      <c r="E876" s="244"/>
      <c r="F876" s="244"/>
      <c r="G876" s="244"/>
      <c r="H876" s="336"/>
      <c r="I876" s="244"/>
      <c r="J876" s="244"/>
      <c r="K876" s="244"/>
      <c r="L876" s="112"/>
      <c r="M876" s="112"/>
      <c r="N876" s="246"/>
    </row>
    <row r="877" spans="1:14">
      <c r="A877" s="245"/>
      <c r="B877" s="112"/>
      <c r="C877" s="112"/>
      <c r="D877" s="244"/>
      <c r="E877" s="244"/>
      <c r="F877" s="244"/>
      <c r="G877" s="244"/>
      <c r="H877" s="336"/>
      <c r="I877" s="244"/>
      <c r="J877" s="244"/>
      <c r="K877" s="244"/>
      <c r="L877" s="112"/>
      <c r="M877" s="112"/>
      <c r="N877" s="246"/>
    </row>
    <row r="878" spans="1:14">
      <c r="A878" s="245"/>
      <c r="B878" s="112"/>
      <c r="C878" s="112"/>
      <c r="D878" s="112"/>
      <c r="E878" s="112"/>
      <c r="F878" s="112"/>
      <c r="G878" s="112"/>
      <c r="H878" s="335"/>
      <c r="I878" s="112"/>
      <c r="J878" s="112"/>
      <c r="K878" s="112"/>
      <c r="L878" s="112"/>
      <c r="M878" s="112"/>
      <c r="N878" s="246"/>
    </row>
    <row r="879" spans="1:14">
      <c r="A879" s="245"/>
      <c r="B879" s="112"/>
      <c r="C879" s="112"/>
      <c r="D879" s="112"/>
      <c r="E879" s="112"/>
      <c r="F879" s="112"/>
      <c r="G879" s="112"/>
      <c r="H879" s="335"/>
      <c r="I879" s="112"/>
      <c r="J879" s="112"/>
      <c r="K879" s="112"/>
      <c r="L879" s="112"/>
      <c r="M879" s="112"/>
      <c r="N879" s="246"/>
    </row>
    <row r="880" spans="1:14">
      <c r="A880" s="245"/>
      <c r="B880" s="112"/>
      <c r="C880" s="112"/>
      <c r="D880" s="112"/>
      <c r="E880" s="112"/>
      <c r="F880" s="112"/>
      <c r="G880" s="112"/>
      <c r="H880" s="335"/>
      <c r="I880" s="112"/>
      <c r="J880" s="112"/>
      <c r="K880" s="112"/>
      <c r="L880" s="112"/>
      <c r="M880" s="112"/>
      <c r="N880" s="246"/>
    </row>
    <row r="881" spans="1:14">
      <c r="A881" s="245"/>
      <c r="B881" s="112"/>
      <c r="C881" s="112"/>
      <c r="D881" s="112"/>
      <c r="E881" s="112"/>
      <c r="F881" s="112"/>
      <c r="G881" s="112"/>
      <c r="H881" s="335"/>
      <c r="I881" s="112"/>
      <c r="J881" s="112"/>
      <c r="K881" s="112"/>
      <c r="L881" s="112"/>
      <c r="M881" s="112"/>
      <c r="N881" s="246"/>
    </row>
    <row r="882" spans="1:14">
      <c r="A882" s="245"/>
      <c r="B882" s="112"/>
      <c r="C882" s="112"/>
      <c r="D882" s="112"/>
      <c r="E882" s="112"/>
      <c r="F882" s="112"/>
      <c r="G882" s="112"/>
      <c r="H882" s="335"/>
      <c r="I882" s="112"/>
      <c r="J882" s="112"/>
      <c r="K882" s="112"/>
      <c r="L882" s="112"/>
      <c r="M882" s="112"/>
      <c r="N882" s="246"/>
    </row>
    <row r="883" spans="1:14">
      <c r="A883" s="245"/>
      <c r="B883" s="112"/>
      <c r="C883" s="112"/>
      <c r="D883" s="112"/>
      <c r="E883" s="112"/>
      <c r="F883" s="112"/>
      <c r="G883" s="112"/>
      <c r="H883" s="335"/>
      <c r="I883" s="112"/>
      <c r="J883" s="112"/>
      <c r="K883" s="112"/>
      <c r="L883" s="112"/>
      <c r="M883" s="112"/>
      <c r="N883" s="246"/>
    </row>
    <row r="884" spans="1:14">
      <c r="A884" s="245"/>
      <c r="B884" s="112"/>
      <c r="C884" s="112"/>
      <c r="D884" s="112"/>
      <c r="E884" s="112"/>
      <c r="F884" s="112"/>
      <c r="G884" s="112"/>
      <c r="H884" s="335"/>
      <c r="I884" s="112"/>
      <c r="J884" s="112"/>
      <c r="K884" s="112"/>
      <c r="L884" s="112"/>
      <c r="M884" s="112"/>
      <c r="N884" s="246"/>
    </row>
    <row r="885" spans="1:14">
      <c r="A885" s="245"/>
      <c r="B885" s="112"/>
      <c r="C885" s="112"/>
      <c r="D885" s="112"/>
      <c r="E885" s="112"/>
      <c r="F885" s="112"/>
      <c r="G885" s="112"/>
      <c r="H885" s="335"/>
      <c r="I885" s="112"/>
      <c r="J885" s="112"/>
      <c r="K885" s="112"/>
      <c r="L885" s="112"/>
      <c r="M885" s="112"/>
      <c r="N885" s="246"/>
    </row>
    <row r="886" spans="1:14">
      <c r="A886" s="245"/>
      <c r="B886" s="112"/>
      <c r="C886" s="112"/>
      <c r="D886" s="112"/>
      <c r="E886" s="112"/>
      <c r="F886" s="112"/>
      <c r="G886" s="112"/>
      <c r="H886" s="335"/>
      <c r="I886" s="112"/>
      <c r="J886" s="112"/>
      <c r="K886" s="112"/>
      <c r="L886" s="112"/>
      <c r="M886" s="112"/>
      <c r="N886" s="246"/>
    </row>
    <row r="887" spans="1:14">
      <c r="A887" s="245"/>
      <c r="B887" s="112"/>
      <c r="C887" s="112"/>
      <c r="D887" s="112"/>
      <c r="E887" s="112"/>
      <c r="F887" s="112"/>
      <c r="G887" s="112"/>
      <c r="H887" s="335"/>
      <c r="I887" s="112"/>
      <c r="J887" s="112"/>
      <c r="K887" s="112"/>
      <c r="L887" s="112"/>
      <c r="M887" s="112"/>
      <c r="N887" s="246"/>
    </row>
    <row r="888" spans="1:14">
      <c r="A888" s="245"/>
      <c r="B888" s="112"/>
      <c r="C888" s="112"/>
      <c r="D888" s="112"/>
      <c r="E888" s="112"/>
      <c r="F888" s="112"/>
      <c r="G888" s="112"/>
      <c r="H888" s="335"/>
      <c r="I888" s="112"/>
      <c r="J888" s="112"/>
      <c r="K888" s="112"/>
      <c r="L888" s="112"/>
      <c r="M888" s="112"/>
      <c r="N888" s="246"/>
    </row>
    <row r="889" spans="1:14">
      <c r="A889" s="245"/>
      <c r="B889" s="112"/>
      <c r="C889" s="112"/>
      <c r="D889" s="112"/>
      <c r="E889" s="112"/>
      <c r="F889" s="112"/>
      <c r="G889" s="112"/>
      <c r="H889" s="335"/>
      <c r="I889" s="112"/>
      <c r="J889" s="112"/>
      <c r="K889" s="112"/>
      <c r="L889" s="112"/>
      <c r="M889" s="112"/>
      <c r="N889" s="246"/>
    </row>
    <row r="890" spans="1:14">
      <c r="A890" s="245"/>
      <c r="B890" s="112"/>
      <c r="C890" s="112"/>
      <c r="D890" s="112"/>
      <c r="E890" s="112"/>
      <c r="F890" s="112"/>
      <c r="G890" s="112"/>
      <c r="H890" s="335"/>
      <c r="I890" s="112"/>
      <c r="J890" s="112"/>
      <c r="K890" s="112"/>
      <c r="L890" s="112"/>
      <c r="M890" s="112"/>
      <c r="N890" s="246"/>
    </row>
    <row r="891" spans="1:14">
      <c r="A891" s="245"/>
      <c r="B891" s="112"/>
      <c r="C891" s="112"/>
      <c r="D891" s="112"/>
      <c r="E891" s="112"/>
      <c r="F891" s="112"/>
      <c r="G891" s="112"/>
      <c r="H891" s="335"/>
      <c r="I891" s="112"/>
      <c r="J891" s="112"/>
      <c r="K891" s="112"/>
      <c r="L891" s="112"/>
      <c r="M891" s="112"/>
      <c r="N891" s="246"/>
    </row>
    <row r="892" spans="1:14">
      <c r="A892" s="245"/>
      <c r="B892" s="112"/>
      <c r="C892" s="112"/>
      <c r="D892" s="112"/>
      <c r="E892" s="112"/>
      <c r="F892" s="112"/>
      <c r="G892" s="112"/>
      <c r="H892" s="335"/>
      <c r="I892" s="112"/>
      <c r="J892" s="112"/>
      <c r="K892" s="112"/>
      <c r="L892" s="112"/>
      <c r="M892" s="112"/>
      <c r="N892" s="246"/>
    </row>
    <row r="893" spans="1:14">
      <c r="A893" s="245"/>
      <c r="B893" s="112"/>
      <c r="C893" s="112"/>
      <c r="D893" s="112"/>
      <c r="E893" s="112"/>
      <c r="F893" s="112"/>
      <c r="G893" s="112"/>
      <c r="H893" s="335"/>
      <c r="I893" s="112"/>
      <c r="J893" s="112"/>
      <c r="K893" s="112"/>
      <c r="L893" s="112"/>
      <c r="M893" s="112"/>
      <c r="N893" s="246"/>
    </row>
    <row r="894" spans="1:14">
      <c r="A894" s="245"/>
      <c r="B894" s="112"/>
      <c r="C894" s="112"/>
      <c r="D894" s="112"/>
      <c r="E894" s="112"/>
      <c r="F894" s="112"/>
      <c r="G894" s="112"/>
      <c r="H894" s="335"/>
      <c r="I894" s="112"/>
      <c r="J894" s="112"/>
      <c r="K894" s="112"/>
      <c r="L894" s="112"/>
      <c r="M894" s="112"/>
      <c r="N894" s="246"/>
    </row>
    <row r="895" spans="1:14">
      <c r="A895" s="245"/>
      <c r="B895" s="112"/>
      <c r="C895" s="112"/>
      <c r="D895" s="112"/>
      <c r="E895" s="112"/>
      <c r="F895" s="112"/>
      <c r="G895" s="112"/>
      <c r="H895" s="335"/>
      <c r="I895" s="112"/>
      <c r="J895" s="112"/>
      <c r="K895" s="112"/>
      <c r="L895" s="112"/>
      <c r="M895" s="112"/>
      <c r="N895" s="246"/>
    </row>
    <row r="896" spans="1:14">
      <c r="A896" s="245"/>
      <c r="B896" s="112"/>
      <c r="C896" s="112"/>
      <c r="D896" s="112"/>
      <c r="E896" s="112"/>
      <c r="F896" s="112"/>
      <c r="G896" s="112"/>
      <c r="H896" s="335"/>
      <c r="I896" s="112"/>
      <c r="J896" s="112"/>
      <c r="K896" s="112"/>
      <c r="L896" s="112"/>
      <c r="M896" s="112"/>
      <c r="N896" s="246"/>
    </row>
    <row r="897" spans="1:14">
      <c r="A897" s="245"/>
      <c r="B897" s="112"/>
      <c r="C897" s="112"/>
      <c r="D897" s="112"/>
      <c r="E897" s="112"/>
      <c r="F897" s="112"/>
      <c r="G897" s="112"/>
      <c r="H897" s="335"/>
      <c r="I897" s="112"/>
      <c r="J897" s="112"/>
      <c r="K897" s="112"/>
      <c r="L897" s="112"/>
      <c r="M897" s="112"/>
      <c r="N897" s="246"/>
    </row>
    <row r="898" spans="1:14">
      <c r="A898" s="245"/>
      <c r="B898" s="112"/>
      <c r="C898" s="112"/>
      <c r="D898" s="112"/>
      <c r="E898" s="112"/>
      <c r="F898" s="112"/>
      <c r="G898" s="112"/>
      <c r="H898" s="335"/>
      <c r="I898" s="112"/>
      <c r="J898" s="112"/>
      <c r="K898" s="112"/>
      <c r="L898" s="112"/>
      <c r="M898" s="112"/>
      <c r="N898" s="246"/>
    </row>
    <row r="899" spans="1:14">
      <c r="A899" s="245"/>
      <c r="B899" s="112"/>
      <c r="C899" s="112"/>
      <c r="D899" s="112"/>
      <c r="E899" s="112"/>
      <c r="F899" s="112"/>
      <c r="G899" s="112"/>
      <c r="H899" s="335"/>
      <c r="I899" s="112"/>
      <c r="J899" s="112"/>
      <c r="K899" s="112"/>
      <c r="L899" s="112"/>
      <c r="M899" s="112"/>
      <c r="N899" s="246"/>
    </row>
    <row r="900" spans="1:14">
      <c r="A900" s="245"/>
      <c r="B900" s="112"/>
      <c r="C900" s="112"/>
      <c r="D900" s="112"/>
      <c r="E900" s="112"/>
      <c r="F900" s="112"/>
      <c r="G900" s="112"/>
      <c r="H900" s="335"/>
      <c r="I900" s="112"/>
      <c r="J900" s="112"/>
      <c r="K900" s="112"/>
      <c r="L900" s="112"/>
      <c r="M900" s="112"/>
      <c r="N900" s="246"/>
    </row>
    <row r="901" spans="1:14">
      <c r="A901" s="245"/>
      <c r="B901" s="112"/>
      <c r="C901" s="112"/>
      <c r="D901" s="112"/>
      <c r="E901" s="112"/>
      <c r="F901" s="112"/>
      <c r="G901" s="112"/>
      <c r="H901" s="335"/>
      <c r="I901" s="112"/>
      <c r="J901" s="112"/>
      <c r="K901" s="112"/>
      <c r="L901" s="112"/>
      <c r="M901" s="112"/>
      <c r="N901" s="246"/>
    </row>
    <row r="902" spans="1:14">
      <c r="A902" s="245"/>
      <c r="B902" s="112"/>
      <c r="C902" s="112"/>
      <c r="D902" s="112"/>
      <c r="E902" s="112"/>
      <c r="F902" s="112"/>
      <c r="G902" s="112"/>
      <c r="H902" s="335"/>
      <c r="I902" s="112"/>
      <c r="J902" s="112"/>
      <c r="K902" s="112"/>
      <c r="L902" s="112"/>
      <c r="M902" s="112"/>
      <c r="N902" s="246"/>
    </row>
    <row r="903" spans="1:14">
      <c r="A903" s="245"/>
      <c r="B903" s="112"/>
      <c r="C903" s="112"/>
      <c r="D903" s="112"/>
      <c r="E903" s="112"/>
      <c r="F903" s="112"/>
      <c r="G903" s="112"/>
      <c r="H903" s="335"/>
      <c r="I903" s="112"/>
      <c r="J903" s="112"/>
      <c r="K903" s="112"/>
      <c r="L903" s="112"/>
      <c r="M903" s="112"/>
      <c r="N903" s="246"/>
    </row>
    <row r="904" spans="1:14">
      <c r="A904" s="245"/>
      <c r="B904" s="112"/>
      <c r="C904" s="112"/>
      <c r="D904" s="112"/>
      <c r="E904" s="112"/>
      <c r="F904" s="112"/>
      <c r="G904" s="112"/>
      <c r="H904" s="335"/>
      <c r="I904" s="112"/>
      <c r="J904" s="112"/>
      <c r="K904" s="112"/>
      <c r="L904" s="112"/>
      <c r="M904" s="112"/>
      <c r="N904" s="246"/>
    </row>
    <row r="905" spans="1:14">
      <c r="A905" s="245"/>
      <c r="B905" s="112"/>
      <c r="C905" s="112"/>
      <c r="D905" s="112"/>
      <c r="E905" s="112"/>
      <c r="F905" s="112"/>
      <c r="G905" s="112"/>
      <c r="H905" s="335"/>
      <c r="I905" s="112"/>
      <c r="J905" s="112"/>
      <c r="K905" s="112"/>
      <c r="L905" s="112"/>
      <c r="M905" s="112"/>
      <c r="N905" s="246"/>
    </row>
    <row r="906" spans="1:14">
      <c r="A906" s="245"/>
      <c r="B906" s="112"/>
      <c r="C906" s="112"/>
      <c r="D906" s="112"/>
      <c r="E906" s="112"/>
      <c r="F906" s="112"/>
      <c r="G906" s="112"/>
      <c r="H906" s="335"/>
      <c r="I906" s="112"/>
      <c r="J906" s="112"/>
      <c r="K906" s="112"/>
      <c r="L906" s="112"/>
      <c r="M906" s="112"/>
      <c r="N906" s="246"/>
    </row>
    <row r="907" spans="1:14">
      <c r="A907" s="245"/>
      <c r="B907" s="112"/>
      <c r="C907" s="112"/>
      <c r="D907" s="112"/>
      <c r="E907" s="112"/>
      <c r="F907" s="112"/>
      <c r="G907" s="112"/>
      <c r="H907" s="335"/>
      <c r="I907" s="112"/>
      <c r="J907" s="112"/>
      <c r="K907" s="112"/>
      <c r="L907" s="112"/>
      <c r="M907" s="112"/>
      <c r="N907" s="246"/>
    </row>
    <row r="908" spans="1:14">
      <c r="A908" s="245"/>
      <c r="B908" s="112"/>
      <c r="C908" s="112"/>
      <c r="D908" s="112"/>
      <c r="E908" s="112"/>
      <c r="F908" s="112"/>
      <c r="G908" s="112"/>
      <c r="H908" s="335"/>
      <c r="I908" s="112"/>
      <c r="J908" s="112"/>
      <c r="K908" s="112"/>
      <c r="L908" s="112"/>
      <c r="M908" s="112"/>
      <c r="N908" s="246"/>
    </row>
    <row r="909" spans="1:14">
      <c r="A909" s="245"/>
      <c r="B909" s="112"/>
      <c r="C909" s="112"/>
      <c r="D909" s="112"/>
      <c r="E909" s="112"/>
      <c r="F909" s="112"/>
      <c r="G909" s="112"/>
      <c r="H909" s="335"/>
      <c r="I909" s="112"/>
      <c r="J909" s="112"/>
      <c r="K909" s="112"/>
      <c r="L909" s="112"/>
      <c r="M909" s="112"/>
      <c r="N909" s="246"/>
    </row>
    <row r="910" spans="1:14">
      <c r="A910" s="245"/>
      <c r="B910" s="112"/>
      <c r="C910" s="112"/>
      <c r="D910" s="112"/>
      <c r="E910" s="112"/>
      <c r="F910" s="112"/>
      <c r="G910" s="112"/>
      <c r="H910" s="335"/>
      <c r="I910" s="112"/>
      <c r="J910" s="112"/>
      <c r="K910" s="112"/>
      <c r="L910" s="112"/>
      <c r="M910" s="112"/>
      <c r="N910" s="246"/>
    </row>
    <row r="911" spans="1:14">
      <c r="A911" s="245"/>
      <c r="B911" s="112"/>
      <c r="C911" s="112"/>
      <c r="D911" s="112"/>
      <c r="E911" s="112"/>
      <c r="F911" s="112"/>
      <c r="G911" s="112"/>
      <c r="H911" s="335"/>
      <c r="I911" s="112"/>
      <c r="J911" s="112"/>
      <c r="K911" s="112"/>
      <c r="L911" s="112"/>
      <c r="M911" s="112"/>
      <c r="N911" s="246"/>
    </row>
    <row r="912" spans="1:14">
      <c r="A912" s="245"/>
      <c r="B912" s="112"/>
      <c r="C912" s="112"/>
      <c r="D912" s="112"/>
      <c r="E912" s="112"/>
      <c r="F912" s="112"/>
      <c r="G912" s="112"/>
      <c r="H912" s="335"/>
      <c r="I912" s="112"/>
      <c r="J912" s="112"/>
      <c r="K912" s="112"/>
      <c r="L912" s="112"/>
      <c r="M912" s="112"/>
      <c r="N912" s="246"/>
    </row>
    <row r="913" spans="1:14">
      <c r="A913" s="245"/>
      <c r="B913" s="112"/>
      <c r="C913" s="112"/>
      <c r="D913" s="112"/>
      <c r="E913" s="112"/>
      <c r="F913" s="112"/>
      <c r="G913" s="112"/>
      <c r="H913" s="335"/>
      <c r="I913" s="112"/>
      <c r="J913" s="112"/>
      <c r="K913" s="112"/>
      <c r="L913" s="112"/>
      <c r="M913" s="112"/>
      <c r="N913" s="246"/>
    </row>
    <row r="914" spans="1:14">
      <c r="A914" s="245"/>
      <c r="B914" s="112"/>
      <c r="C914" s="112"/>
      <c r="D914" s="112"/>
      <c r="E914" s="112"/>
      <c r="F914" s="112"/>
      <c r="G914" s="112"/>
      <c r="H914" s="335"/>
      <c r="I914" s="112"/>
      <c r="J914" s="112"/>
      <c r="K914" s="112"/>
      <c r="L914" s="112"/>
      <c r="M914" s="112"/>
      <c r="N914" s="246"/>
    </row>
    <row r="915" spans="1:14">
      <c r="A915" s="245"/>
      <c r="B915" s="112"/>
      <c r="C915" s="112"/>
      <c r="D915" s="112"/>
      <c r="E915" s="112"/>
      <c r="F915" s="112"/>
      <c r="G915" s="112"/>
      <c r="H915" s="335"/>
      <c r="I915" s="112"/>
      <c r="J915" s="112"/>
      <c r="K915" s="112"/>
      <c r="L915" s="112"/>
      <c r="M915" s="112"/>
      <c r="N915" s="246"/>
    </row>
    <row r="916" spans="1:14">
      <c r="A916" s="245"/>
      <c r="B916" s="112"/>
      <c r="C916" s="112"/>
      <c r="D916" s="112"/>
      <c r="E916" s="112"/>
      <c r="F916" s="112"/>
      <c r="G916" s="112"/>
      <c r="H916" s="335"/>
      <c r="I916" s="112"/>
      <c r="J916" s="112"/>
      <c r="K916" s="112"/>
      <c r="L916" s="112"/>
      <c r="M916" s="112"/>
      <c r="N916" s="246"/>
    </row>
    <row r="917" spans="1:14">
      <c r="A917" s="245"/>
      <c r="B917" s="112"/>
      <c r="C917" s="112"/>
      <c r="D917" s="112"/>
      <c r="E917" s="112"/>
      <c r="F917" s="112"/>
      <c r="G917" s="112"/>
      <c r="H917" s="335"/>
      <c r="I917" s="112"/>
      <c r="J917" s="112"/>
      <c r="K917" s="112"/>
      <c r="L917" s="112"/>
      <c r="M917" s="112"/>
      <c r="N917" s="246"/>
    </row>
    <row r="918" spans="1:14">
      <c r="A918" s="247"/>
      <c r="B918" s="248"/>
      <c r="C918" s="248"/>
      <c r="D918" s="248"/>
      <c r="E918" s="248"/>
      <c r="F918" s="248"/>
      <c r="G918" s="248"/>
      <c r="H918" s="338"/>
      <c r="I918" s="248"/>
      <c r="J918" s="248"/>
      <c r="K918" s="248"/>
      <c r="L918" s="248"/>
      <c r="M918" s="248"/>
      <c r="N918" s="249"/>
    </row>
    <row r="919" spans="1:14" ht="30" customHeight="1">
      <c r="A919" s="258" t="s">
        <v>1148</v>
      </c>
      <c r="B919" s="946" t="s">
        <v>1199</v>
      </c>
      <c r="C919" s="946"/>
      <c r="D919" s="946"/>
      <c r="E919" s="946"/>
      <c r="F919" s="946"/>
      <c r="G919" s="946"/>
      <c r="H919" s="946"/>
      <c r="I919" s="946"/>
      <c r="J919" s="946"/>
      <c r="K919" s="946"/>
      <c r="L919" s="946"/>
      <c r="M919" s="259"/>
      <c r="N919" s="260" t="s">
        <v>1149</v>
      </c>
    </row>
    <row r="920" spans="1:14">
      <c r="A920" s="253"/>
      <c r="B920" s="28"/>
      <c r="C920" s="28"/>
      <c r="D920" s="28"/>
      <c r="E920" s="28"/>
      <c r="F920" s="28"/>
      <c r="G920" s="28"/>
      <c r="H920" s="322"/>
      <c r="I920" s="28"/>
      <c r="J920" s="28"/>
      <c r="K920" s="28"/>
      <c r="L920" s="28"/>
      <c r="M920" s="28"/>
      <c r="N920" s="254"/>
    </row>
    <row r="921" spans="1:14">
      <c r="A921" s="253"/>
      <c r="B921" s="28"/>
      <c r="C921" s="28"/>
      <c r="D921" s="28"/>
      <c r="E921" s="28"/>
      <c r="F921" s="28"/>
      <c r="G921" s="28"/>
      <c r="H921" s="322"/>
      <c r="I921" s="28"/>
      <c r="J921" s="28"/>
      <c r="K921" s="28"/>
      <c r="L921" s="28"/>
      <c r="M921" s="28"/>
      <c r="N921" s="254"/>
    </row>
    <row r="922" spans="1:14">
      <c r="A922" s="253"/>
      <c r="B922" s="28"/>
      <c r="C922" s="28"/>
      <c r="D922" s="28"/>
      <c r="E922" s="28"/>
      <c r="F922" s="28"/>
      <c r="G922" s="28"/>
      <c r="H922" s="322"/>
      <c r="I922" s="28"/>
      <c r="J922" s="28"/>
      <c r="K922" s="28"/>
      <c r="L922" s="28"/>
      <c r="M922" s="28"/>
      <c r="N922" s="254"/>
    </row>
    <row r="923" spans="1:14">
      <c r="A923" s="253"/>
      <c r="B923" s="28"/>
      <c r="C923" s="28"/>
      <c r="D923" s="28"/>
      <c r="E923" s="28"/>
      <c r="F923" s="28"/>
      <c r="G923" s="28"/>
      <c r="H923" s="322"/>
      <c r="I923" s="28"/>
      <c r="J923" s="28"/>
      <c r="K923" s="28"/>
      <c r="L923" s="28"/>
      <c r="M923" s="28"/>
      <c r="N923" s="254"/>
    </row>
    <row r="924" spans="1:14">
      <c r="A924" s="253"/>
      <c r="B924" s="28"/>
      <c r="C924" s="28"/>
      <c r="D924" s="28"/>
      <c r="E924" s="28"/>
      <c r="F924" s="28"/>
      <c r="G924" s="28"/>
      <c r="H924" s="322"/>
      <c r="I924" s="28"/>
      <c r="J924" s="28"/>
      <c r="K924" s="28"/>
      <c r="L924" s="28"/>
      <c r="M924" s="28"/>
      <c r="N924" s="254"/>
    </row>
    <row r="925" spans="1:14">
      <c r="A925" s="253"/>
      <c r="B925" s="28"/>
      <c r="C925" s="28"/>
      <c r="D925" s="28"/>
      <c r="E925" s="28"/>
      <c r="F925" s="28"/>
      <c r="G925" s="28"/>
      <c r="H925" s="322"/>
      <c r="I925" s="28"/>
      <c r="J925" s="28"/>
      <c r="K925" s="28"/>
      <c r="L925" s="28"/>
      <c r="M925" s="28"/>
      <c r="N925" s="254"/>
    </row>
    <row r="926" spans="1:14">
      <c r="A926" s="253"/>
      <c r="B926" s="28"/>
      <c r="C926" s="28"/>
      <c r="D926" s="28"/>
      <c r="E926" s="28"/>
      <c r="F926" s="28"/>
      <c r="G926" s="28"/>
      <c r="H926" s="322"/>
      <c r="I926" s="28"/>
      <c r="J926" s="28"/>
      <c r="K926" s="28"/>
      <c r="L926" s="28"/>
      <c r="M926" s="28"/>
      <c r="N926" s="254"/>
    </row>
    <row r="927" spans="1:14">
      <c r="A927" s="253"/>
      <c r="B927" s="28"/>
      <c r="C927" s="28"/>
      <c r="D927" s="28"/>
      <c r="E927" s="28"/>
      <c r="F927" s="28"/>
      <c r="G927" s="28"/>
      <c r="H927" s="322"/>
      <c r="I927" s="28"/>
      <c r="J927" s="28"/>
      <c r="K927" s="28"/>
      <c r="L927" s="28"/>
      <c r="M927" s="28"/>
      <c r="N927" s="254"/>
    </row>
    <row r="928" spans="1:14">
      <c r="A928" s="253"/>
      <c r="B928" s="28"/>
      <c r="C928" s="28"/>
      <c r="D928" s="28"/>
      <c r="E928" s="28"/>
      <c r="F928" s="28"/>
      <c r="G928" s="28"/>
      <c r="H928" s="322"/>
      <c r="I928" s="28"/>
      <c r="J928" s="28"/>
      <c r="K928" s="28"/>
      <c r="L928" s="28"/>
      <c r="M928" s="28"/>
      <c r="N928" s="254"/>
    </row>
    <row r="929" spans="1:14">
      <c r="A929" s="253"/>
      <c r="B929" s="28"/>
      <c r="C929" s="28"/>
      <c r="D929" s="28"/>
      <c r="E929" s="28"/>
      <c r="F929" s="28"/>
      <c r="G929" s="28"/>
      <c r="H929" s="322"/>
      <c r="I929" s="28"/>
      <c r="J929" s="28"/>
      <c r="K929" s="28"/>
      <c r="L929" s="28"/>
      <c r="M929" s="28"/>
      <c r="N929" s="254"/>
    </row>
    <row r="930" spans="1:14">
      <c r="A930" s="253"/>
      <c r="B930" s="28"/>
      <c r="C930" s="28"/>
      <c r="D930" s="28"/>
      <c r="E930" s="28"/>
      <c r="F930" s="28"/>
      <c r="G930" s="28"/>
      <c r="H930" s="322"/>
      <c r="I930" s="28"/>
      <c r="J930" s="28"/>
      <c r="K930" s="28"/>
      <c r="L930" s="28"/>
      <c r="M930" s="28"/>
      <c r="N930" s="254"/>
    </row>
    <row r="931" spans="1:14">
      <c r="A931" s="253"/>
      <c r="B931" s="28"/>
      <c r="C931" s="28"/>
      <c r="D931" s="28"/>
      <c r="E931" s="28"/>
      <c r="F931" s="28"/>
      <c r="G931" s="28"/>
      <c r="H931" s="322"/>
      <c r="I931" s="28"/>
      <c r="J931" s="28"/>
      <c r="K931" s="28"/>
      <c r="L931" s="28"/>
      <c r="M931" s="28"/>
      <c r="N931" s="254"/>
    </row>
    <row r="932" spans="1:14">
      <c r="A932" s="253"/>
      <c r="B932" s="28"/>
      <c r="C932" s="28"/>
      <c r="D932" s="28"/>
      <c r="E932" s="28"/>
      <c r="F932" s="28"/>
      <c r="G932" s="28"/>
      <c r="H932" s="322"/>
      <c r="I932" s="28"/>
      <c r="J932" s="28"/>
      <c r="K932" s="28"/>
      <c r="L932" s="28"/>
      <c r="M932" s="28"/>
      <c r="N932" s="254"/>
    </row>
    <row r="933" spans="1:14">
      <c r="A933" s="253"/>
      <c r="B933" s="28"/>
      <c r="C933" s="28"/>
      <c r="D933" s="28"/>
      <c r="E933" s="28"/>
      <c r="F933" s="28"/>
      <c r="G933" s="28"/>
      <c r="H933" s="322"/>
      <c r="I933" s="28"/>
      <c r="J933" s="28"/>
      <c r="K933" s="28"/>
      <c r="L933" s="28"/>
      <c r="M933" s="28"/>
      <c r="N933" s="254"/>
    </row>
    <row r="934" spans="1:14">
      <c r="A934" s="253"/>
      <c r="B934" s="28"/>
      <c r="C934" s="28"/>
      <c r="D934" s="28"/>
      <c r="E934" s="28"/>
      <c r="F934" s="28"/>
      <c r="G934" s="28"/>
      <c r="H934" s="322"/>
      <c r="I934" s="28"/>
      <c r="J934" s="28"/>
      <c r="K934" s="28"/>
      <c r="L934" s="28"/>
      <c r="M934" s="28"/>
      <c r="N934" s="254"/>
    </row>
    <row r="935" spans="1:14">
      <c r="A935" s="253"/>
      <c r="B935" s="28"/>
      <c r="C935" s="28"/>
      <c r="D935" s="28"/>
      <c r="E935" s="28"/>
      <c r="F935" s="28"/>
      <c r="G935" s="28"/>
      <c r="H935" s="322"/>
      <c r="I935" s="28"/>
      <c r="J935" s="28"/>
      <c r="K935" s="28"/>
      <c r="L935" s="28"/>
      <c r="M935" s="28"/>
      <c r="N935" s="254"/>
    </row>
    <row r="936" spans="1:14">
      <c r="A936" s="253"/>
      <c r="B936" s="28"/>
      <c r="C936" s="28"/>
      <c r="D936" s="28"/>
      <c r="E936" s="28"/>
      <c r="F936" s="28"/>
      <c r="G936" s="28"/>
      <c r="H936" s="322"/>
      <c r="I936" s="28"/>
      <c r="J936" s="28"/>
      <c r="K936" s="28"/>
      <c r="L936" s="28"/>
      <c r="M936" s="28"/>
      <c r="N936" s="254"/>
    </row>
    <row r="937" spans="1:14">
      <c r="A937" s="253"/>
      <c r="B937" s="28"/>
      <c r="C937" s="28"/>
      <c r="D937" s="28"/>
      <c r="E937" s="28"/>
      <c r="F937" s="28"/>
      <c r="G937" s="28"/>
      <c r="H937" s="322"/>
      <c r="I937" s="28"/>
      <c r="J937" s="28"/>
      <c r="K937" s="28"/>
      <c r="L937" s="28"/>
      <c r="M937" s="28"/>
      <c r="N937" s="254"/>
    </row>
    <row r="938" spans="1:14">
      <c r="A938" s="253"/>
      <c r="B938" s="28"/>
      <c r="C938" s="28"/>
      <c r="D938" s="28"/>
      <c r="E938" s="28"/>
      <c r="F938" s="28"/>
      <c r="G938" s="28"/>
      <c r="H938" s="322"/>
      <c r="I938" s="28"/>
      <c r="J938" s="28"/>
      <c r="K938" s="28"/>
      <c r="L938" s="28"/>
      <c r="M938" s="28"/>
      <c r="N938" s="254"/>
    </row>
    <row r="939" spans="1:14">
      <c r="A939" s="253"/>
      <c r="B939" s="28"/>
      <c r="C939" s="28"/>
      <c r="D939" s="28"/>
      <c r="E939" s="28"/>
      <c r="F939" s="28"/>
      <c r="G939" s="28"/>
      <c r="H939" s="322"/>
      <c r="I939" s="28"/>
      <c r="J939" s="28"/>
      <c r="K939" s="28"/>
      <c r="L939" s="28"/>
      <c r="M939" s="28"/>
      <c r="N939" s="254"/>
    </row>
    <row r="940" spans="1:14">
      <c r="A940" s="253"/>
      <c r="B940" s="28"/>
      <c r="C940" s="28"/>
      <c r="D940" s="28"/>
      <c r="E940" s="28"/>
      <c r="F940" s="28"/>
      <c r="G940" s="28"/>
      <c r="H940" s="322"/>
      <c r="I940" s="28"/>
      <c r="J940" s="28"/>
      <c r="K940" s="28"/>
      <c r="L940" s="28"/>
      <c r="M940" s="28"/>
      <c r="N940" s="254"/>
    </row>
    <row r="941" spans="1:14">
      <c r="A941" s="253"/>
      <c r="B941" s="28"/>
      <c r="C941" s="28"/>
      <c r="D941" s="28"/>
      <c r="E941" s="28"/>
      <c r="F941" s="28"/>
      <c r="G941" s="28"/>
      <c r="H941" s="322"/>
      <c r="I941" s="28"/>
      <c r="J941" s="28"/>
      <c r="K941" s="28"/>
      <c r="L941" s="28"/>
      <c r="M941" s="28"/>
      <c r="N941" s="254"/>
    </row>
    <row r="942" spans="1:14">
      <c r="A942" s="253"/>
      <c r="B942" s="28"/>
      <c r="C942" s="28"/>
      <c r="D942" s="28"/>
      <c r="E942" s="28"/>
      <c r="F942" s="28"/>
      <c r="G942" s="28"/>
      <c r="H942" s="322"/>
      <c r="I942" s="28"/>
      <c r="J942" s="28"/>
      <c r="K942" s="28"/>
      <c r="L942" s="28"/>
      <c r="M942" s="28"/>
      <c r="N942" s="254"/>
    </row>
    <row r="943" spans="1:14">
      <c r="A943" s="253"/>
      <c r="B943" s="28"/>
      <c r="C943" s="28"/>
      <c r="D943" s="28"/>
      <c r="E943" s="28"/>
      <c r="F943" s="28"/>
      <c r="G943" s="28"/>
      <c r="H943" s="322"/>
      <c r="I943" s="28"/>
      <c r="J943" s="28"/>
      <c r="K943" s="28"/>
      <c r="L943" s="28"/>
      <c r="M943" s="28"/>
      <c r="N943" s="254"/>
    </row>
    <row r="944" spans="1:14">
      <c r="A944" s="253"/>
      <c r="B944" s="28"/>
      <c r="C944" s="28"/>
      <c r="D944" s="28"/>
      <c r="E944" s="28"/>
      <c r="F944" s="28"/>
      <c r="G944" s="28"/>
      <c r="H944" s="322"/>
      <c r="I944" s="28"/>
      <c r="J944" s="28"/>
      <c r="K944" s="28"/>
      <c r="L944" s="28"/>
      <c r="M944" s="28"/>
      <c r="N944" s="254"/>
    </row>
    <row r="945" spans="1:14">
      <c r="A945" s="253"/>
      <c r="B945" s="28"/>
      <c r="C945" s="28"/>
      <c r="D945" s="28"/>
      <c r="E945" s="28"/>
      <c r="F945" s="28"/>
      <c r="G945" s="28"/>
      <c r="H945" s="322"/>
      <c r="I945" s="28"/>
      <c r="J945" s="28"/>
      <c r="K945" s="28"/>
      <c r="L945" s="28"/>
      <c r="M945" s="28"/>
      <c r="N945" s="254"/>
    </row>
    <row r="946" spans="1:14">
      <c r="A946" s="253"/>
      <c r="B946" s="28"/>
      <c r="C946" s="28"/>
      <c r="D946" s="28"/>
      <c r="E946" s="28"/>
      <c r="F946" s="28"/>
      <c r="G946" s="28"/>
      <c r="H946" s="322"/>
      <c r="I946" s="28"/>
      <c r="J946" s="28"/>
      <c r="K946" s="28"/>
      <c r="L946" s="28"/>
      <c r="M946" s="28"/>
      <c r="N946" s="254"/>
    </row>
    <row r="947" spans="1:14">
      <c r="A947" s="253"/>
      <c r="B947" s="28"/>
      <c r="C947" s="28"/>
      <c r="D947" s="28"/>
      <c r="E947" s="28"/>
      <c r="F947" s="28"/>
      <c r="G947" s="28"/>
      <c r="H947" s="322"/>
      <c r="I947" s="28"/>
      <c r="J947" s="28"/>
      <c r="K947" s="28"/>
      <c r="L947" s="28"/>
      <c r="M947" s="28"/>
      <c r="N947" s="254"/>
    </row>
    <row r="948" spans="1:14">
      <c r="A948" s="253"/>
      <c r="B948" s="28"/>
      <c r="C948" s="28"/>
      <c r="D948" s="28"/>
      <c r="E948" s="28"/>
      <c r="F948" s="28"/>
      <c r="G948" s="28"/>
      <c r="H948" s="322"/>
      <c r="I948" s="28"/>
      <c r="J948" s="28"/>
      <c r="K948" s="28"/>
      <c r="L948" s="28"/>
      <c r="M948" s="28"/>
      <c r="N948" s="254"/>
    </row>
    <row r="949" spans="1:14">
      <c r="A949" s="253"/>
      <c r="B949" s="28"/>
      <c r="C949" s="28"/>
      <c r="D949" s="28"/>
      <c r="E949" s="28"/>
      <c r="F949" s="28"/>
      <c r="G949" s="28"/>
      <c r="H949" s="322"/>
      <c r="I949" s="28"/>
      <c r="J949" s="28"/>
      <c r="K949" s="28"/>
      <c r="L949" s="28"/>
      <c r="M949" s="28"/>
      <c r="N949" s="254"/>
    </row>
    <row r="950" spans="1:14">
      <c r="A950" s="253"/>
      <c r="B950" s="28"/>
      <c r="C950" s="28"/>
      <c r="D950" s="28"/>
      <c r="E950" s="28"/>
      <c r="F950" s="28"/>
      <c r="G950" s="28"/>
      <c r="H950" s="322"/>
      <c r="I950" s="28"/>
      <c r="J950" s="28"/>
      <c r="K950" s="28"/>
      <c r="L950" s="28"/>
      <c r="M950" s="28"/>
      <c r="N950" s="254"/>
    </row>
    <row r="951" spans="1:14">
      <c r="A951" s="253"/>
      <c r="B951" s="28"/>
      <c r="C951" s="28"/>
      <c r="D951" s="28"/>
      <c r="E951" s="28"/>
      <c r="F951" s="28"/>
      <c r="G951" s="28"/>
      <c r="H951" s="322"/>
      <c r="I951" s="28"/>
      <c r="J951" s="28"/>
      <c r="K951" s="28"/>
      <c r="L951" s="28"/>
      <c r="M951" s="28"/>
      <c r="N951" s="254"/>
    </row>
    <row r="952" spans="1:14">
      <c r="A952" s="253"/>
      <c r="B952" s="28"/>
      <c r="C952" s="28"/>
      <c r="D952" s="28"/>
      <c r="E952" s="28"/>
      <c r="F952" s="28"/>
      <c r="G952" s="28"/>
      <c r="H952" s="322"/>
      <c r="I952" s="28"/>
      <c r="J952" s="28"/>
      <c r="K952" s="28"/>
      <c r="L952" s="28"/>
      <c r="M952" s="28"/>
      <c r="N952" s="254"/>
    </row>
    <row r="953" spans="1:14">
      <c r="A953" s="253"/>
      <c r="B953" s="28"/>
      <c r="C953" s="28"/>
      <c r="D953" s="28"/>
      <c r="E953" s="28"/>
      <c r="F953" s="28"/>
      <c r="G953" s="28"/>
      <c r="H953" s="322"/>
      <c r="I953" s="28"/>
      <c r="J953" s="28"/>
      <c r="K953" s="28"/>
      <c r="L953" s="28"/>
      <c r="M953" s="28"/>
      <c r="N953" s="254"/>
    </row>
    <row r="954" spans="1:14">
      <c r="A954" s="253"/>
      <c r="B954" s="28"/>
      <c r="C954" s="28"/>
      <c r="D954" s="28"/>
      <c r="E954" s="28"/>
      <c r="F954" s="28"/>
      <c r="G954" s="28"/>
      <c r="H954" s="322"/>
      <c r="I954" s="28"/>
      <c r="J954" s="28"/>
      <c r="K954" s="28"/>
      <c r="L954" s="28"/>
      <c r="M954" s="28"/>
      <c r="N954" s="254"/>
    </row>
    <row r="955" spans="1:14">
      <c r="A955" s="253"/>
      <c r="B955" s="28"/>
      <c r="C955" s="28"/>
      <c r="D955" s="28"/>
      <c r="E955" s="28"/>
      <c r="F955" s="28"/>
      <c r="G955" s="28"/>
      <c r="H955" s="322"/>
      <c r="I955" s="28"/>
      <c r="J955" s="28"/>
      <c r="K955" s="28"/>
      <c r="L955" s="28"/>
      <c r="M955" s="28"/>
      <c r="N955" s="254"/>
    </row>
    <row r="956" spans="1:14">
      <c r="A956" s="253"/>
      <c r="B956" s="28"/>
      <c r="C956" s="28"/>
      <c r="D956" s="28"/>
      <c r="E956" s="28"/>
      <c r="F956" s="28"/>
      <c r="G956" s="28"/>
      <c r="H956" s="322"/>
      <c r="I956" s="28"/>
      <c r="J956" s="28"/>
      <c r="K956" s="28"/>
      <c r="L956" s="28"/>
      <c r="M956" s="28"/>
      <c r="N956" s="254"/>
    </row>
    <row r="957" spans="1:14">
      <c r="A957" s="253"/>
      <c r="B957" s="28"/>
      <c r="C957" s="28"/>
      <c r="D957" s="28"/>
      <c r="E957" s="28"/>
      <c r="F957" s="28"/>
      <c r="G957" s="28"/>
      <c r="H957" s="322"/>
      <c r="I957" s="28"/>
      <c r="J957" s="28"/>
      <c r="K957" s="28"/>
      <c r="L957" s="28"/>
      <c r="M957" s="28"/>
      <c r="N957" s="254"/>
    </row>
    <row r="958" spans="1:14">
      <c r="A958" s="253"/>
      <c r="B958" s="28"/>
      <c r="C958" s="28"/>
      <c r="D958" s="28"/>
      <c r="E958" s="28"/>
      <c r="F958" s="28"/>
      <c r="G958" s="28"/>
      <c r="H958" s="322"/>
      <c r="I958" s="28"/>
      <c r="J958" s="28"/>
      <c r="K958" s="28"/>
      <c r="L958" s="28"/>
      <c r="M958" s="28"/>
      <c r="N958" s="254"/>
    </row>
    <row r="959" spans="1:14">
      <c r="A959" s="253"/>
      <c r="B959" s="28"/>
      <c r="C959" s="28"/>
      <c r="D959" s="28"/>
      <c r="E959" s="28"/>
      <c r="F959" s="28"/>
      <c r="G959" s="28"/>
      <c r="H959" s="322"/>
      <c r="I959" s="28"/>
      <c r="J959" s="28"/>
      <c r="K959" s="28"/>
      <c r="L959" s="28"/>
      <c r="M959" s="28"/>
      <c r="N959" s="254"/>
    </row>
    <row r="960" spans="1:14">
      <c r="A960" s="253"/>
      <c r="B960" s="28"/>
      <c r="C960" s="28"/>
      <c r="D960" s="28"/>
      <c r="E960" s="28"/>
      <c r="F960" s="28"/>
      <c r="G960" s="28"/>
      <c r="H960" s="322"/>
      <c r="I960" s="28"/>
      <c r="J960" s="28"/>
      <c r="K960" s="28"/>
      <c r="L960" s="28"/>
      <c r="M960" s="28"/>
      <c r="N960" s="254"/>
    </row>
    <row r="961" spans="1:54">
      <c r="A961" s="253"/>
      <c r="B961" s="28"/>
      <c r="C961" s="28"/>
      <c r="D961" s="28"/>
      <c r="E961" s="28"/>
      <c r="F961" s="28"/>
      <c r="G961" s="28"/>
      <c r="H961" s="322"/>
      <c r="I961" s="28"/>
      <c r="J961" s="28"/>
      <c r="K961" s="28"/>
      <c r="L961" s="28"/>
      <c r="M961" s="28"/>
      <c r="N961" s="254"/>
    </row>
    <row r="962" spans="1:54">
      <c r="A962" s="253"/>
      <c r="B962" s="28"/>
      <c r="C962" s="28"/>
      <c r="D962" s="28"/>
      <c r="E962" s="28"/>
      <c r="F962" s="28"/>
      <c r="G962" s="28"/>
      <c r="H962" s="322"/>
      <c r="I962" s="28"/>
      <c r="J962" s="28"/>
      <c r="K962" s="28"/>
      <c r="L962" s="28"/>
      <c r="M962" s="28"/>
      <c r="N962" s="254"/>
    </row>
    <row r="963" spans="1:54">
      <c r="A963" s="253"/>
      <c r="B963" s="28"/>
      <c r="C963" s="28"/>
      <c r="D963" s="28"/>
      <c r="E963" s="28"/>
      <c r="F963" s="28"/>
      <c r="G963" s="28"/>
      <c r="H963" s="322"/>
      <c r="I963" s="28"/>
      <c r="J963" s="28"/>
      <c r="K963" s="28"/>
      <c r="L963" s="28"/>
      <c r="M963" s="28"/>
      <c r="N963" s="254"/>
    </row>
    <row r="964" spans="1:54">
      <c r="A964" s="253"/>
      <c r="B964" s="28"/>
      <c r="C964" s="28"/>
      <c r="D964" s="28"/>
      <c r="E964" s="28"/>
      <c r="F964" s="28"/>
      <c r="G964" s="28"/>
      <c r="H964" s="322"/>
      <c r="I964" s="28"/>
      <c r="J964" s="28"/>
      <c r="K964" s="28"/>
      <c r="L964" s="28"/>
      <c r="M964" s="28"/>
      <c r="N964" s="254"/>
    </row>
    <row r="965" spans="1:54">
      <c r="A965" s="255"/>
      <c r="B965" s="256"/>
      <c r="C965" s="256"/>
      <c r="D965" s="256"/>
      <c r="E965" s="256"/>
      <c r="F965" s="256"/>
      <c r="G965" s="256"/>
      <c r="H965" s="323"/>
      <c r="I965" s="256"/>
      <c r="J965" s="256"/>
      <c r="K965" s="256"/>
      <c r="L965" s="256"/>
      <c r="M965" s="256"/>
      <c r="N965" s="257"/>
    </row>
    <row r="966" spans="1:54" ht="30" customHeight="1">
      <c r="A966" s="250" t="s">
        <v>1148</v>
      </c>
      <c r="B966" s="944" t="s">
        <v>1210</v>
      </c>
      <c r="C966" s="944"/>
      <c r="D966" s="944"/>
      <c r="E966" s="944"/>
      <c r="F966" s="944"/>
      <c r="G966" s="944"/>
      <c r="H966" s="944"/>
      <c r="I966" s="944"/>
      <c r="J966" s="944"/>
      <c r="K966" s="944"/>
      <c r="L966" s="944"/>
      <c r="M966" s="251"/>
      <c r="N966" s="252" t="s">
        <v>1149</v>
      </c>
    </row>
    <row r="967" spans="1:54" ht="24.6" customHeight="1">
      <c r="A967" s="253"/>
      <c r="B967" s="28"/>
      <c r="C967" s="28"/>
      <c r="D967" s="28"/>
      <c r="E967" s="28"/>
      <c r="F967" s="28"/>
      <c r="G967" s="28"/>
      <c r="H967" s="322"/>
      <c r="I967" s="28"/>
      <c r="J967" s="28"/>
      <c r="K967" s="28"/>
      <c r="L967" s="28"/>
      <c r="M967" s="28"/>
      <c r="N967" s="254"/>
    </row>
    <row r="968" spans="1:54">
      <c r="A968" s="253"/>
      <c r="B968" s="28"/>
      <c r="C968" s="28"/>
      <c r="D968" s="28"/>
      <c r="E968" s="28"/>
      <c r="F968" s="28"/>
      <c r="G968" s="28"/>
      <c r="H968" s="322"/>
      <c r="I968" s="28"/>
      <c r="J968" s="28"/>
      <c r="K968" s="28"/>
      <c r="L968" s="28"/>
      <c r="M968" s="28"/>
      <c r="N968" s="254"/>
    </row>
    <row r="969" spans="1:54" ht="25.2" customHeight="1">
      <c r="A969" s="253"/>
      <c r="B969" s="28"/>
      <c r="C969" s="28"/>
      <c r="D969" s="28"/>
      <c r="E969" s="28"/>
      <c r="F969" s="28"/>
      <c r="G969" s="28"/>
      <c r="H969" s="322"/>
      <c r="I969" s="28"/>
      <c r="J969" s="28"/>
      <c r="K969" s="28"/>
      <c r="L969" s="28"/>
      <c r="M969" s="28"/>
      <c r="N969" s="254"/>
    </row>
    <row r="970" spans="1:54" ht="19.95" customHeight="1">
      <c r="A970" s="253"/>
      <c r="B970" s="28"/>
      <c r="C970" s="28"/>
      <c r="D970" s="28"/>
      <c r="E970" s="28"/>
      <c r="F970" s="28"/>
      <c r="G970" s="28"/>
      <c r="H970" s="322"/>
      <c r="I970" s="28"/>
      <c r="J970" s="28"/>
      <c r="K970" s="28"/>
      <c r="L970" s="28"/>
      <c r="M970" s="28"/>
      <c r="N970" s="254"/>
    </row>
    <row r="971" spans="1:54" ht="19.95" customHeight="1">
      <c r="A971" s="253"/>
      <c r="B971" s="28"/>
      <c r="C971" s="28"/>
      <c r="D971" s="28"/>
      <c r="E971" s="28"/>
      <c r="F971" s="28"/>
      <c r="G971" s="28"/>
      <c r="H971" s="322"/>
      <c r="I971" s="28"/>
      <c r="J971" s="28"/>
      <c r="K971" s="28"/>
      <c r="L971" s="28"/>
      <c r="M971" s="28"/>
      <c r="N971" s="254"/>
      <c r="BB971" s="136" t="s">
        <v>1107</v>
      </c>
    </row>
    <row r="972" spans="1:54" ht="19.95" customHeight="1">
      <c r="A972" s="253"/>
      <c r="B972" s="28"/>
      <c r="C972" s="28"/>
      <c r="D972" s="28"/>
      <c r="E972" s="28"/>
      <c r="F972" s="28"/>
      <c r="G972" s="28"/>
      <c r="H972" s="322"/>
      <c r="I972" s="28"/>
      <c r="J972" s="28"/>
      <c r="K972" s="28"/>
      <c r="L972" s="28"/>
      <c r="M972" s="28"/>
      <c r="N972" s="254"/>
      <c r="BB972" s="136" t="s">
        <v>1108</v>
      </c>
    </row>
    <row r="973" spans="1:54" ht="19.95" customHeight="1">
      <c r="A973" s="253"/>
      <c r="B973" s="28"/>
      <c r="C973" s="28"/>
      <c r="D973" s="28"/>
      <c r="E973" s="28"/>
      <c r="F973" s="28"/>
      <c r="G973" s="28"/>
      <c r="H973" s="322"/>
      <c r="I973" s="28"/>
      <c r="J973" s="28"/>
      <c r="K973" s="28"/>
      <c r="L973" s="28"/>
      <c r="M973" s="28"/>
      <c r="N973" s="254"/>
      <c r="BB973" s="136" t="s">
        <v>1109</v>
      </c>
    </row>
    <row r="974" spans="1:54" ht="19.95" customHeight="1">
      <c r="A974" s="253"/>
      <c r="B974" s="28"/>
      <c r="C974" s="28"/>
      <c r="D974" s="28"/>
      <c r="E974" s="28"/>
      <c r="F974" s="28"/>
      <c r="G974" s="28"/>
      <c r="H974" s="322"/>
      <c r="I974" s="28"/>
      <c r="J974" s="28"/>
      <c r="K974" s="28"/>
      <c r="L974" s="28"/>
      <c r="M974" s="28"/>
      <c r="N974" s="254"/>
      <c r="BB974" s="136" t="s">
        <v>1110</v>
      </c>
    </row>
    <row r="975" spans="1:54" ht="19.95" customHeight="1">
      <c r="A975" s="253"/>
      <c r="B975" s="28"/>
      <c r="C975" s="28"/>
      <c r="D975" s="28"/>
      <c r="E975" s="28"/>
      <c r="F975" s="28"/>
      <c r="G975" s="28"/>
      <c r="H975" s="322"/>
      <c r="I975" s="28"/>
      <c r="J975" s="28"/>
      <c r="K975" s="28"/>
      <c r="L975" s="28"/>
      <c r="M975" s="28"/>
      <c r="N975" s="254"/>
      <c r="BB975" s="136" t="s">
        <v>1111</v>
      </c>
    </row>
    <row r="976" spans="1:54" ht="19.95" customHeight="1">
      <c r="A976" s="253"/>
      <c r="B976" s="28"/>
      <c r="C976" s="28"/>
      <c r="D976" s="28"/>
      <c r="E976" s="28"/>
      <c r="F976" s="28"/>
      <c r="G976" s="28"/>
      <c r="H976" s="322"/>
      <c r="I976" s="28"/>
      <c r="J976" s="28"/>
      <c r="K976" s="28"/>
      <c r="L976" s="28"/>
      <c r="M976" s="28"/>
      <c r="N976" s="254"/>
    </row>
    <row r="977" spans="1:62" ht="19.95" customHeight="1" thickBot="1">
      <c r="A977" s="253"/>
      <c r="B977" s="28"/>
      <c r="C977" s="28"/>
      <c r="D977" s="28"/>
      <c r="E977" s="28"/>
      <c r="F977" s="28"/>
      <c r="G977" s="28"/>
      <c r="H977" s="322"/>
      <c r="I977" s="28"/>
      <c r="J977" s="28"/>
      <c r="K977" s="28"/>
      <c r="L977" s="28"/>
      <c r="M977" s="28"/>
      <c r="N977" s="254"/>
    </row>
    <row r="978" spans="1:62" ht="19.95" customHeight="1">
      <c r="A978" s="253"/>
      <c r="B978" s="28"/>
      <c r="C978" s="28"/>
      <c r="D978" s="28"/>
      <c r="E978" s="28"/>
      <c r="F978" s="28"/>
      <c r="G978" s="1044"/>
      <c r="H978" s="1045"/>
      <c r="I978" s="1045"/>
      <c r="J978" s="1045"/>
      <c r="K978" s="1045"/>
      <c r="L978" s="1045"/>
      <c r="M978" s="1046"/>
      <c r="N978" s="254"/>
    </row>
    <row r="979" spans="1:62" ht="19.95" customHeight="1" thickBot="1">
      <c r="A979" s="253"/>
      <c r="B979" s="28"/>
      <c r="C979" s="28"/>
      <c r="D979" s="28"/>
      <c r="E979" s="28"/>
      <c r="F979" s="28"/>
      <c r="G979" s="1047"/>
      <c r="H979" s="1048"/>
      <c r="I979" s="1048"/>
      <c r="J979" s="1048"/>
      <c r="K979" s="1048"/>
      <c r="L979" s="1048"/>
      <c r="M979" s="1049"/>
      <c r="N979" s="254"/>
    </row>
    <row r="980" spans="1:62" ht="10.199999999999999" customHeight="1">
      <c r="A980" s="253"/>
      <c r="B980" s="28"/>
      <c r="C980" s="28"/>
      <c r="D980" s="28"/>
      <c r="E980" s="28"/>
      <c r="F980" s="28"/>
      <c r="G980" s="28"/>
      <c r="H980" s="322"/>
      <c r="I980" s="28"/>
      <c r="J980" s="28"/>
      <c r="K980" s="28"/>
      <c r="L980" s="28"/>
      <c r="M980" s="28"/>
      <c r="N980" s="254"/>
    </row>
    <row r="981" spans="1:62" ht="19.95" customHeight="1">
      <c r="A981" s="253"/>
      <c r="B981" s="998" t="str">
        <f>BB981</f>
        <v>SELECT FROM THE DROPDOWN LIST HOW READY YOU ARE TO TRY THIS</v>
      </c>
      <c r="C981" s="998"/>
      <c r="D981" s="998"/>
      <c r="E981" s="998"/>
      <c r="F981" s="998"/>
      <c r="G981" s="998"/>
      <c r="H981" s="998"/>
      <c r="I981" s="998"/>
      <c r="J981" s="998"/>
      <c r="K981" s="998"/>
      <c r="L981" s="998"/>
      <c r="M981" s="998"/>
      <c r="N981" s="254"/>
      <c r="BB981" s="2" t="str">
        <f>IF($G$978=BB$971,BD981,IF($G$978=BB$972,BE981,IF($G$978=BB$973,BF981,IF($G$978=BB$974,BG981,IF($G$978=BB$975,BH981,BJ981)))))</f>
        <v>SELECT FROM THE DROPDOWN LIST HOW READY YOU ARE TO TRY THIS</v>
      </c>
      <c r="BD981" s="2" t="s">
        <v>1228</v>
      </c>
      <c r="BE981" s="2" t="s">
        <v>1229</v>
      </c>
      <c r="BF981" s="2" t="s">
        <v>1122</v>
      </c>
      <c r="BG981" s="2" t="s">
        <v>1123</v>
      </c>
      <c r="BH981" s="2" t="s">
        <v>1124</v>
      </c>
      <c r="BI981" s="2" t="s">
        <v>553</v>
      </c>
      <c r="BJ981" s="2" t="s">
        <v>1125</v>
      </c>
    </row>
    <row r="982" spans="1:62" ht="19.95" customHeight="1">
      <c r="A982" s="253"/>
      <c r="B982" s="998"/>
      <c r="C982" s="998"/>
      <c r="D982" s="998"/>
      <c r="E982" s="998"/>
      <c r="F982" s="998"/>
      <c r="G982" s="998"/>
      <c r="H982" s="998"/>
      <c r="I982" s="998"/>
      <c r="J982" s="998"/>
      <c r="K982" s="998"/>
      <c r="L982" s="998"/>
      <c r="M982" s="998"/>
      <c r="N982" s="254"/>
      <c r="BB982" s="2" t="str">
        <f>IF($G$978=BB$971,BD982,IF($G$978=BB$972,BE982,IF($G$978=BB$973,BF982,IF($G$978=BB$974,BG982,IF($G$978=BB$975,BH982,BJ982)))))</f>
        <v xml:space="preserve">According to anankelogy, a need cannot exist without prior experience of being fully resolved. You can never be thirsty, for example, without the prior experience of fully satisfying that thirst with water. Likewise, every politicized need stems from some barrier to fully resolve that public facing need, as it naturally exists. Politics misses the mark wherever a politicized need fails to fully resolve on all sides. </v>
      </c>
      <c r="BD982" s="2" t="s">
        <v>1112</v>
      </c>
      <c r="BE982" s="2" t="s">
        <v>1112</v>
      </c>
      <c r="BF982" s="2" t="s">
        <v>1112</v>
      </c>
      <c r="BG982" s="2" t="s">
        <v>1112</v>
      </c>
      <c r="BH982" s="2" t="s">
        <v>1112</v>
      </c>
      <c r="BI982" s="2" t="s">
        <v>553</v>
      </c>
      <c r="BJ982" s="2" t="s">
        <v>1126</v>
      </c>
    </row>
    <row r="983" spans="1:62" ht="19.95" customHeight="1">
      <c r="A983" s="253"/>
      <c r="B983" s="998"/>
      <c r="C983" s="998"/>
      <c r="D983" s="998"/>
      <c r="E983" s="998"/>
      <c r="F983" s="998"/>
      <c r="G983" s="998"/>
      <c r="H983" s="998"/>
      <c r="I983" s="998"/>
      <c r="J983" s="998"/>
      <c r="K983" s="998"/>
      <c r="L983" s="998"/>
      <c r="M983" s="998"/>
      <c r="N983" s="254"/>
      <c r="BB983" s="2" t="str">
        <f>IF($G$978=BB$971,BD983,IF($G$978=BB$972,BE983,IF($G$978=BB$973,BF983,IF($G$978=BB$974,BG983,IF($G$978=BB$975,BH983,BJ983)))))</f>
        <v>Politics lack legitimacy where it fails to enable full resolution of needs. Opposing the needs themselves enables pathology. Legit opposition starts with how we address the needs, after affirming the needs themselves. The best politics results in each side being able to fully resolve each other's needs in their own spaces. Harmony Politics raises the bar by insisting our politicized needs become fully resolved.</v>
      </c>
      <c r="BD983" s="2" t="s">
        <v>1118</v>
      </c>
      <c r="BE983" s="2" t="s">
        <v>1119</v>
      </c>
      <c r="BF983" s="2" t="s">
        <v>1129</v>
      </c>
      <c r="BG983" s="2" t="s">
        <v>1120</v>
      </c>
      <c r="BH983" s="2" t="s">
        <v>1121</v>
      </c>
      <c r="BI983" s="2" t="s">
        <v>553</v>
      </c>
      <c r="BJ983" s="2" t="s">
        <v>1227</v>
      </c>
    </row>
    <row r="984" spans="1:62" ht="19.95" customHeight="1">
      <c r="A984" s="253"/>
      <c r="B984" s="998" t="str">
        <f>BB982</f>
        <v xml:space="preserve">According to anankelogy, a need cannot exist without prior experience of being fully resolved. You can never be thirsty, for example, without the prior experience of fully satisfying that thirst with water. Likewise, every politicized need stems from some barrier to fully resolve that public facing need, as it naturally exists. Politics misses the mark wherever a politicized need fails to fully resolve on all sides. </v>
      </c>
      <c r="C984" s="998"/>
      <c r="D984" s="998"/>
      <c r="E984" s="998"/>
      <c r="F984" s="998"/>
      <c r="G984" s="998"/>
      <c r="H984" s="998"/>
      <c r="I984" s="998"/>
      <c r="J984" s="998"/>
      <c r="K984" s="998"/>
      <c r="L984" s="998"/>
      <c r="M984" s="998"/>
      <c r="N984" s="254"/>
      <c r="BB984" s="2" t="str">
        <f>IF($G$978=BB$971,BD984,IF($G$978=BB$972,BE984,IF($G$978=BB$973,BF984,IF($G$978=BB$974,BG984,IF($G$978=BB$975,BH984,BJ984)))))</f>
        <v>Politics exist to guide our behavior to serve needs, namely to shape laws. While no one sits above the law, no law sits above the needs it exists to serve. Whose needs are best served in how our laws are formed, interpreted, enforced, and politicized?</v>
      </c>
      <c r="BD984" s="2" t="s">
        <v>1113</v>
      </c>
      <c r="BE984" s="2" t="s">
        <v>1114</v>
      </c>
      <c r="BF984" s="2" t="s">
        <v>1115</v>
      </c>
      <c r="BG984" s="2" t="s">
        <v>1116</v>
      </c>
      <c r="BH984" s="2" t="s">
        <v>1117</v>
      </c>
      <c r="BI984" s="2" t="s">
        <v>553</v>
      </c>
      <c r="BJ984" s="2" t="s">
        <v>1128</v>
      </c>
    </row>
    <row r="985" spans="1:62" ht="19.95" customHeight="1">
      <c r="A985" s="253"/>
      <c r="B985" s="998"/>
      <c r="C985" s="998"/>
      <c r="D985" s="998"/>
      <c r="E985" s="998"/>
      <c r="F985" s="998"/>
      <c r="G985" s="998"/>
      <c r="H985" s="998"/>
      <c r="I985" s="998"/>
      <c r="J985" s="998"/>
      <c r="K985" s="998"/>
      <c r="L985" s="998"/>
      <c r="M985" s="998"/>
      <c r="N985" s="254"/>
      <c r="BB985" s="2" t="str">
        <f>IF($G$978=BB$971,BD985,IF($G$978=BB$972,BE985,IF($G$978=BB$973,BF985,IF($G$978=BB$974,BG985,IF($G$978=BB$975,BH985,BJ985)))))</f>
        <v>Widespread anxiety and depression suggest our politics and our system of laws fail to properly serve our many specific needs. Such anxiety and depression arise from unmet needs, so let's look at particular pain points on both sides of eight key political issues.</v>
      </c>
      <c r="BD985" s="2" t="s">
        <v>1127</v>
      </c>
      <c r="BE985" s="2" t="s">
        <v>1127</v>
      </c>
      <c r="BF985" s="2" t="s">
        <v>1127</v>
      </c>
      <c r="BG985" s="2" t="s">
        <v>1127</v>
      </c>
      <c r="BH985" s="2" t="s">
        <v>1127</v>
      </c>
      <c r="BI985" s="2" t="s">
        <v>553</v>
      </c>
      <c r="BJ985" s="2" t="s">
        <v>1130</v>
      </c>
    </row>
    <row r="986" spans="1:62" ht="19.95" customHeight="1">
      <c r="A986" s="253"/>
      <c r="B986" s="998"/>
      <c r="C986" s="998"/>
      <c r="D986" s="998"/>
      <c r="E986" s="998"/>
      <c r="F986" s="998"/>
      <c r="G986" s="998"/>
      <c r="H986" s="998"/>
      <c r="I986" s="998"/>
      <c r="J986" s="998"/>
      <c r="K986" s="998"/>
      <c r="L986" s="998"/>
      <c r="M986" s="998"/>
      <c r="N986" s="254"/>
    </row>
    <row r="987" spans="1:62" ht="19.95" customHeight="1">
      <c r="A987" s="253"/>
      <c r="B987" s="998"/>
      <c r="C987" s="998"/>
      <c r="D987" s="998"/>
      <c r="E987" s="998"/>
      <c r="F987" s="998"/>
      <c r="G987" s="998"/>
      <c r="H987" s="998"/>
      <c r="I987" s="998"/>
      <c r="J987" s="998"/>
      <c r="K987" s="998"/>
      <c r="L987" s="998"/>
      <c r="M987" s="998"/>
      <c r="N987" s="254"/>
    </row>
    <row r="988" spans="1:62" ht="19.95" customHeight="1">
      <c r="A988" s="253"/>
      <c r="B988" s="998"/>
      <c r="C988" s="998"/>
      <c r="D988" s="998"/>
      <c r="E988" s="998"/>
      <c r="F988" s="998"/>
      <c r="G988" s="998"/>
      <c r="H988" s="998"/>
      <c r="I988" s="998"/>
      <c r="J988" s="998"/>
      <c r="K988" s="998"/>
      <c r="L988" s="998"/>
      <c r="M988" s="998"/>
      <c r="N988" s="254"/>
    </row>
    <row r="989" spans="1:62" ht="19.95" customHeight="1">
      <c r="A989" s="253"/>
      <c r="B989" s="998" t="str">
        <f>BB983</f>
        <v>Politics lack legitimacy where it fails to enable full resolution of needs. Opposing the needs themselves enables pathology. Legit opposition starts with how we address the needs, after affirming the needs themselves. The best politics results in each side being able to fully resolve each other's needs in their own spaces. Harmony Politics raises the bar by insisting our politicized needs become fully resolved.</v>
      </c>
      <c r="C989" s="998"/>
      <c r="D989" s="998"/>
      <c r="E989" s="998"/>
      <c r="F989" s="998"/>
      <c r="G989" s="998"/>
      <c r="H989" s="998"/>
      <c r="I989" s="998"/>
      <c r="J989" s="998"/>
      <c r="K989" s="998"/>
      <c r="L989" s="998"/>
      <c r="M989" s="998"/>
      <c r="N989" s="254"/>
    </row>
    <row r="990" spans="1:62" ht="19.95" customHeight="1">
      <c r="A990" s="253"/>
      <c r="B990" s="998"/>
      <c r="C990" s="998"/>
      <c r="D990" s="998"/>
      <c r="E990" s="998"/>
      <c r="F990" s="998"/>
      <c r="G990" s="998"/>
      <c r="H990" s="998"/>
      <c r="I990" s="998"/>
      <c r="J990" s="998"/>
      <c r="K990" s="998"/>
      <c r="L990" s="998"/>
      <c r="M990" s="998"/>
      <c r="N990" s="254"/>
    </row>
    <row r="991" spans="1:62" ht="19.95" customHeight="1">
      <c r="A991" s="253"/>
      <c r="B991" s="998"/>
      <c r="C991" s="998"/>
      <c r="D991" s="998"/>
      <c r="E991" s="998"/>
      <c r="F991" s="998"/>
      <c r="G991" s="998"/>
      <c r="H991" s="998"/>
      <c r="I991" s="998"/>
      <c r="J991" s="998"/>
      <c r="K991" s="998"/>
      <c r="L991" s="998"/>
      <c r="M991" s="998"/>
      <c r="N991" s="254"/>
    </row>
    <row r="992" spans="1:62" ht="19.95" customHeight="1">
      <c r="A992" s="253"/>
      <c r="B992" s="998"/>
      <c r="C992" s="998"/>
      <c r="D992" s="998"/>
      <c r="E992" s="998"/>
      <c r="F992" s="998"/>
      <c r="G992" s="998"/>
      <c r="H992" s="998"/>
      <c r="I992" s="998"/>
      <c r="J992" s="998"/>
      <c r="K992" s="998"/>
      <c r="L992" s="998"/>
      <c r="M992" s="998"/>
      <c r="N992" s="254"/>
    </row>
    <row r="993" spans="1:14" ht="19.95" customHeight="1">
      <c r="A993" s="253"/>
      <c r="B993" s="998" t="str">
        <f>BB984</f>
        <v>Politics exist to guide our behavior to serve needs, namely to shape laws. While no one sits above the law, no law sits above the needs it exists to serve. Whose needs are best served in how our laws are formed, interpreted, enforced, and politicized?</v>
      </c>
      <c r="C993" s="998"/>
      <c r="D993" s="998"/>
      <c r="E993" s="998"/>
      <c r="F993" s="998"/>
      <c r="G993" s="998"/>
      <c r="H993" s="998"/>
      <c r="I993" s="998"/>
      <c r="J993" s="998"/>
      <c r="K993" s="998"/>
      <c r="L993" s="998"/>
      <c r="M993" s="998"/>
      <c r="N993" s="254"/>
    </row>
    <row r="994" spans="1:14" ht="19.95" customHeight="1">
      <c r="A994" s="253"/>
      <c r="B994" s="998"/>
      <c r="C994" s="998"/>
      <c r="D994" s="998"/>
      <c r="E994" s="998"/>
      <c r="F994" s="998"/>
      <c r="G994" s="998"/>
      <c r="H994" s="998"/>
      <c r="I994" s="998"/>
      <c r="J994" s="998"/>
      <c r="K994" s="998"/>
      <c r="L994" s="998"/>
      <c r="M994" s="998"/>
      <c r="N994" s="254"/>
    </row>
    <row r="995" spans="1:14" ht="19.95" customHeight="1">
      <c r="A995" s="253"/>
      <c r="B995" s="998"/>
      <c r="C995" s="998"/>
      <c r="D995" s="998"/>
      <c r="E995" s="998"/>
      <c r="F995" s="998"/>
      <c r="G995" s="998"/>
      <c r="H995" s="998"/>
      <c r="I995" s="998"/>
      <c r="J995" s="998"/>
      <c r="K995" s="998"/>
      <c r="L995" s="998"/>
      <c r="M995" s="998"/>
      <c r="N995" s="254"/>
    </row>
    <row r="996" spans="1:14" ht="19.95" customHeight="1">
      <c r="A996" s="253"/>
      <c r="B996" s="1042" t="str">
        <f>BB985</f>
        <v>Widespread anxiety and depression suggest our politics and our system of laws fail to properly serve our many specific needs. Such anxiety and depression arise from unmet needs, so let's look at particular pain points on both sides of eight key political issues.</v>
      </c>
      <c r="C996" s="1042"/>
      <c r="D996" s="1042"/>
      <c r="E996" s="1042"/>
      <c r="F996" s="1042"/>
      <c r="G996" s="1042"/>
      <c r="H996" s="1042"/>
      <c r="I996" s="1042"/>
      <c r="J996" s="1042"/>
      <c r="K996" s="1042"/>
      <c r="L996" s="1042"/>
      <c r="M996" s="1042"/>
      <c r="N996" s="254"/>
    </row>
    <row r="997" spans="1:14" ht="19.95" customHeight="1">
      <c r="A997" s="253"/>
      <c r="B997" s="1042"/>
      <c r="C997" s="1042"/>
      <c r="D997" s="1042"/>
      <c r="E997" s="1042"/>
      <c r="F997" s="1042"/>
      <c r="G997" s="1042"/>
      <c r="H997" s="1042"/>
      <c r="I997" s="1042"/>
      <c r="J997" s="1042"/>
      <c r="K997" s="1042"/>
      <c r="L997" s="1042"/>
      <c r="M997" s="1042"/>
      <c r="N997" s="254"/>
    </row>
    <row r="998" spans="1:14" ht="19.95" customHeight="1">
      <c r="A998" s="253"/>
      <c r="B998" s="1042"/>
      <c r="C998" s="1042"/>
      <c r="D998" s="1042"/>
      <c r="E998" s="1042"/>
      <c r="F998" s="1042"/>
      <c r="G998" s="1042"/>
      <c r="H998" s="1042"/>
      <c r="I998" s="1042"/>
      <c r="J998" s="1042"/>
      <c r="K998" s="1042"/>
      <c r="L998" s="1042"/>
      <c r="M998" s="1042"/>
      <c r="N998" s="254"/>
    </row>
    <row r="999" spans="1:14">
      <c r="A999" s="255"/>
      <c r="B999" s="256"/>
      <c r="C999" s="256"/>
      <c r="D999" s="256"/>
      <c r="E999" s="256"/>
      <c r="F999" s="256"/>
      <c r="G999" s="256"/>
      <c r="H999" s="323"/>
      <c r="I999" s="256"/>
      <c r="J999" s="256"/>
      <c r="K999" s="256"/>
      <c r="L999" s="256"/>
      <c r="M999" s="256"/>
      <c r="N999" s="257"/>
    </row>
    <row r="1000" spans="1:14" ht="30" customHeight="1">
      <c r="A1000" s="238" t="s">
        <v>1148</v>
      </c>
      <c r="B1000" s="912" t="s">
        <v>1143</v>
      </c>
      <c r="C1000" s="912"/>
      <c r="D1000" s="912"/>
      <c r="E1000" s="912"/>
      <c r="F1000" s="912"/>
      <c r="G1000" s="912"/>
      <c r="H1000" s="912"/>
      <c r="I1000" s="912"/>
      <c r="J1000" s="912"/>
      <c r="K1000" s="912"/>
      <c r="L1000" s="912"/>
      <c r="M1000" s="912"/>
      <c r="N1000" s="239" t="s">
        <v>1149</v>
      </c>
    </row>
    <row r="1001" spans="1:14" ht="34.950000000000003" customHeight="1">
      <c r="A1001" s="240"/>
      <c r="B1001" s="962" t="s">
        <v>1106</v>
      </c>
      <c r="C1001" s="962"/>
      <c r="D1001" s="962"/>
      <c r="E1001" s="962"/>
      <c r="F1001" s="962"/>
      <c r="G1001" s="962"/>
      <c r="H1001" s="962"/>
      <c r="I1001" s="962"/>
      <c r="J1001" s="962"/>
      <c r="K1001" s="962"/>
      <c r="L1001" s="962"/>
      <c r="M1001" s="962"/>
      <c r="N1001" s="241"/>
    </row>
    <row r="1002" spans="1:14" ht="37.200000000000003" customHeight="1">
      <c r="A1002" s="242"/>
      <c r="B1002" s="963" t="s">
        <v>1237</v>
      </c>
      <c r="C1002" s="963"/>
      <c r="D1002" s="963"/>
      <c r="E1002" s="963"/>
      <c r="F1002" s="963"/>
      <c r="G1002" s="963"/>
      <c r="H1002" s="963"/>
      <c r="I1002" s="963"/>
      <c r="J1002" s="963"/>
      <c r="K1002" s="963"/>
      <c r="L1002" s="963"/>
      <c r="M1002" s="963"/>
      <c r="N1002" s="243"/>
    </row>
    <row r="1003" spans="1:14" ht="37.200000000000003" customHeight="1">
      <c r="A1003" s="242"/>
      <c r="B1003" s="963"/>
      <c r="C1003" s="963"/>
      <c r="D1003" s="963"/>
      <c r="E1003" s="963"/>
      <c r="F1003" s="963"/>
      <c r="G1003" s="963"/>
      <c r="H1003" s="963"/>
      <c r="I1003" s="963"/>
      <c r="J1003" s="963"/>
      <c r="K1003" s="963"/>
      <c r="L1003" s="963"/>
      <c r="M1003" s="963"/>
      <c r="N1003" s="243"/>
    </row>
    <row r="1004" spans="1:14" ht="4.95" customHeight="1">
      <c r="A1004" s="242"/>
      <c r="B1004" s="244"/>
      <c r="C1004" s="244"/>
      <c r="D1004" s="244"/>
      <c r="E1004" s="244"/>
      <c r="F1004" s="244"/>
      <c r="G1004" s="244"/>
      <c r="H1004" s="336"/>
      <c r="I1004" s="244"/>
      <c r="J1004" s="244"/>
      <c r="K1004" s="244"/>
      <c r="L1004" s="244"/>
      <c r="M1004" s="244"/>
      <c r="N1004" s="243"/>
    </row>
    <row r="1005" spans="1:14" ht="30" customHeight="1">
      <c r="A1005" s="242"/>
      <c r="B1005" s="109" t="s">
        <v>420</v>
      </c>
      <c r="C1005" s="107"/>
      <c r="D1005" s="107"/>
      <c r="E1005" s="107"/>
      <c r="F1005" s="107"/>
      <c r="G1005" s="107"/>
      <c r="H1005" s="339"/>
      <c r="I1005" s="108"/>
      <c r="J1005" s="108"/>
      <c r="K1005" s="108"/>
      <c r="L1005" s="108"/>
      <c r="M1005" s="110" t="s">
        <v>421</v>
      </c>
      <c r="N1005" s="243"/>
    </row>
    <row r="1006" spans="1:14" ht="15" customHeight="1">
      <c r="A1006" s="242"/>
      <c r="B1006" s="115" t="s">
        <v>423</v>
      </c>
      <c r="C1006" s="102"/>
      <c r="D1006" s="102"/>
      <c r="E1006" s="102"/>
      <c r="F1006" s="102"/>
      <c r="G1006" s="102"/>
      <c r="H1006" s="339"/>
      <c r="I1006" s="103"/>
      <c r="J1006" s="103"/>
      <c r="K1006" s="103"/>
      <c r="L1006" s="103"/>
      <c r="M1006" s="116" t="s">
        <v>422</v>
      </c>
      <c r="N1006" s="243"/>
    </row>
    <row r="1007" spans="1:14" ht="4.95" customHeight="1">
      <c r="A1007" s="242"/>
      <c r="B1007" s="244"/>
      <c r="C1007" s="244"/>
      <c r="D1007" s="244"/>
      <c r="E1007" s="244"/>
      <c r="F1007" s="244"/>
      <c r="G1007" s="244"/>
      <c r="H1007" s="336"/>
      <c r="I1007" s="244"/>
      <c r="J1007" s="244"/>
      <c r="K1007" s="244"/>
      <c r="L1007" s="244"/>
      <c r="M1007" s="244"/>
      <c r="N1007" s="243"/>
    </row>
    <row r="1008" spans="1:14" ht="10.199999999999999" customHeight="1">
      <c r="A1008" s="245"/>
      <c r="B1008" s="112"/>
      <c r="C1008" s="112"/>
      <c r="D1008" s="112"/>
      <c r="E1008" s="112"/>
      <c r="F1008" s="112"/>
      <c r="G1008" s="112"/>
      <c r="H1008" s="335"/>
      <c r="I1008" s="112"/>
      <c r="J1008" s="112"/>
      <c r="K1008" s="112"/>
      <c r="L1008" s="112"/>
      <c r="M1008" s="112"/>
      <c r="N1008" s="246"/>
    </row>
    <row r="1009" spans="1:14" ht="15" customHeight="1">
      <c r="A1009" s="245"/>
      <c r="B1009" s="113" t="s">
        <v>426</v>
      </c>
      <c r="C1009" s="112"/>
      <c r="D1009" s="112"/>
      <c r="E1009" s="961" t="s">
        <v>53</v>
      </c>
      <c r="F1009" s="961"/>
      <c r="G1009" s="961"/>
      <c r="H1009" s="961"/>
      <c r="I1009" s="961"/>
      <c r="J1009" s="961"/>
      <c r="K1009" s="112"/>
      <c r="L1009" s="112"/>
      <c r="M1009" s="114" t="s">
        <v>426</v>
      </c>
      <c r="N1009" s="246"/>
    </row>
    <row r="1010" spans="1:14" ht="15" customHeight="1">
      <c r="A1010" s="245"/>
      <c r="B1010" s="101" t="s">
        <v>427</v>
      </c>
      <c r="C1010" s="102"/>
      <c r="D1010" s="102"/>
      <c r="E1010" s="102"/>
      <c r="F1010" s="102"/>
      <c r="G1010" s="102"/>
      <c r="H1010" s="339"/>
      <c r="I1010" s="103"/>
      <c r="J1010" s="103"/>
      <c r="K1010" s="103"/>
      <c r="L1010" s="103"/>
      <c r="M1010" s="104" t="s">
        <v>428</v>
      </c>
      <c r="N1010" s="246"/>
    </row>
    <row r="1011" spans="1:14" ht="15" customHeight="1">
      <c r="A1011" s="245"/>
      <c r="B1011" s="105" t="s">
        <v>430</v>
      </c>
      <c r="C1011" s="102"/>
      <c r="D1011" s="102"/>
      <c r="E1011" s="102"/>
      <c r="F1011" s="102"/>
      <c r="G1011" s="102"/>
      <c r="H1011" s="339"/>
      <c r="I1011" s="103"/>
      <c r="J1011" s="103"/>
      <c r="K1011" s="103"/>
      <c r="L1011" s="103"/>
      <c r="M1011" s="106" t="s">
        <v>429</v>
      </c>
      <c r="N1011" s="246"/>
    </row>
    <row r="1012" spans="1:14" ht="10.199999999999999" customHeight="1">
      <c r="A1012" s="245"/>
      <c r="B1012" s="112"/>
      <c r="C1012" s="112"/>
      <c r="D1012" s="112"/>
      <c r="E1012" s="112"/>
      <c r="F1012" s="112"/>
      <c r="G1012" s="112"/>
      <c r="H1012" s="335"/>
      <c r="I1012" s="112"/>
      <c r="J1012" s="112"/>
      <c r="K1012" s="112"/>
      <c r="L1012" s="112"/>
      <c r="M1012" s="112"/>
      <c r="N1012" s="246"/>
    </row>
    <row r="1013" spans="1:14" ht="15" customHeight="1">
      <c r="A1013" s="245"/>
      <c r="B1013" s="113" t="s">
        <v>426</v>
      </c>
      <c r="C1013" s="112"/>
      <c r="D1013" s="112"/>
      <c r="E1013" s="961" t="s">
        <v>81</v>
      </c>
      <c r="F1013" s="961"/>
      <c r="G1013" s="961"/>
      <c r="H1013" s="961"/>
      <c r="I1013" s="961"/>
      <c r="J1013" s="961"/>
      <c r="K1013" s="112"/>
      <c r="L1013" s="112"/>
      <c r="M1013" s="114" t="s">
        <v>426</v>
      </c>
      <c r="N1013" s="246"/>
    </row>
    <row r="1014" spans="1:14" ht="15" customHeight="1">
      <c r="A1014" s="245"/>
      <c r="B1014" s="101" t="s">
        <v>433</v>
      </c>
      <c r="C1014" s="102"/>
      <c r="D1014" s="102"/>
      <c r="E1014" s="102"/>
      <c r="F1014" s="102"/>
      <c r="G1014" s="102"/>
      <c r="H1014" s="339"/>
      <c r="I1014" s="103"/>
      <c r="J1014" s="103"/>
      <c r="K1014" s="103"/>
      <c r="L1014" s="103"/>
      <c r="M1014" s="104" t="s">
        <v>445</v>
      </c>
      <c r="N1014" s="246"/>
    </row>
    <row r="1015" spans="1:14" ht="15" customHeight="1">
      <c r="A1015" s="245"/>
      <c r="B1015" s="105" t="s">
        <v>434</v>
      </c>
      <c r="C1015" s="102"/>
      <c r="D1015" s="102"/>
      <c r="E1015" s="102"/>
      <c r="F1015" s="102"/>
      <c r="G1015" s="102"/>
      <c r="H1015" s="339"/>
      <c r="I1015" s="103"/>
      <c r="J1015" s="103"/>
      <c r="K1015" s="103"/>
      <c r="L1015" s="103"/>
      <c r="M1015" s="106" t="s">
        <v>446</v>
      </c>
      <c r="N1015" s="246"/>
    </row>
    <row r="1016" spans="1:14" ht="10.199999999999999" customHeight="1">
      <c r="A1016" s="245"/>
      <c r="B1016" s="112"/>
      <c r="C1016" s="112"/>
      <c r="D1016" s="112"/>
      <c r="E1016" s="112"/>
      <c r="F1016" s="112"/>
      <c r="G1016" s="112"/>
      <c r="H1016" s="335"/>
      <c r="I1016" s="112"/>
      <c r="J1016" s="112"/>
      <c r="K1016" s="112"/>
      <c r="L1016" s="112"/>
      <c r="M1016" s="112"/>
      <c r="N1016" s="246"/>
    </row>
    <row r="1017" spans="1:14" ht="15" customHeight="1">
      <c r="A1017" s="245"/>
      <c r="B1017" s="113" t="s">
        <v>426</v>
      </c>
      <c r="C1017" s="112"/>
      <c r="D1017" s="112"/>
      <c r="E1017" s="961" t="s">
        <v>82</v>
      </c>
      <c r="F1017" s="961"/>
      <c r="G1017" s="961"/>
      <c r="H1017" s="961"/>
      <c r="I1017" s="961"/>
      <c r="J1017" s="961"/>
      <c r="K1017" s="112"/>
      <c r="L1017" s="112"/>
      <c r="M1017" s="114" t="s">
        <v>426</v>
      </c>
      <c r="N1017" s="246"/>
    </row>
    <row r="1018" spans="1:14" ht="15" customHeight="1">
      <c r="A1018" s="245"/>
      <c r="B1018" s="101" t="s">
        <v>435</v>
      </c>
      <c r="C1018" s="102"/>
      <c r="D1018" s="102"/>
      <c r="E1018" s="102"/>
      <c r="F1018" s="102"/>
      <c r="G1018" s="102"/>
      <c r="H1018" s="339"/>
      <c r="I1018" s="103"/>
      <c r="J1018" s="103"/>
      <c r="K1018" s="103"/>
      <c r="L1018" s="103"/>
      <c r="M1018" s="104" t="s">
        <v>447</v>
      </c>
      <c r="N1018" s="246"/>
    </row>
    <row r="1019" spans="1:14" ht="15" customHeight="1">
      <c r="A1019" s="245"/>
      <c r="B1019" s="105" t="s">
        <v>436</v>
      </c>
      <c r="C1019" s="102"/>
      <c r="D1019" s="102"/>
      <c r="E1019" s="102"/>
      <c r="F1019" s="102"/>
      <c r="G1019" s="102"/>
      <c r="H1019" s="339"/>
      <c r="I1019" s="103"/>
      <c r="J1019" s="103"/>
      <c r="K1019" s="103"/>
      <c r="L1019" s="103"/>
      <c r="M1019" s="106" t="s">
        <v>448</v>
      </c>
      <c r="N1019" s="246"/>
    </row>
    <row r="1020" spans="1:14" ht="10.199999999999999" customHeight="1">
      <c r="A1020" s="245"/>
      <c r="B1020" s="112"/>
      <c r="C1020" s="112"/>
      <c r="D1020" s="112"/>
      <c r="E1020" s="112"/>
      <c r="F1020" s="112"/>
      <c r="G1020" s="112"/>
      <c r="H1020" s="335"/>
      <c r="I1020" s="112"/>
      <c r="J1020" s="112"/>
      <c r="K1020" s="112"/>
      <c r="L1020" s="112"/>
      <c r="M1020" s="112"/>
      <c r="N1020" s="246"/>
    </row>
    <row r="1021" spans="1:14" ht="15" customHeight="1">
      <c r="A1021" s="245"/>
      <c r="B1021" s="113" t="s">
        <v>426</v>
      </c>
      <c r="C1021" s="112"/>
      <c r="D1021" s="112"/>
      <c r="E1021" s="961" t="s">
        <v>83</v>
      </c>
      <c r="F1021" s="961"/>
      <c r="G1021" s="961"/>
      <c r="H1021" s="961"/>
      <c r="I1021" s="961"/>
      <c r="J1021" s="961"/>
      <c r="K1021" s="112"/>
      <c r="L1021" s="112"/>
      <c r="M1021" s="114" t="s">
        <v>426</v>
      </c>
      <c r="N1021" s="246"/>
    </row>
    <row r="1022" spans="1:14" ht="15" customHeight="1">
      <c r="A1022" s="245"/>
      <c r="B1022" s="101" t="s">
        <v>437</v>
      </c>
      <c r="C1022" s="102"/>
      <c r="D1022" s="102"/>
      <c r="E1022" s="102"/>
      <c r="F1022" s="102"/>
      <c r="G1022" s="102"/>
      <c r="H1022" s="339"/>
      <c r="I1022" s="103"/>
      <c r="J1022" s="103"/>
      <c r="K1022" s="103"/>
      <c r="L1022" s="103"/>
      <c r="M1022" s="104" t="s">
        <v>449</v>
      </c>
      <c r="N1022" s="246"/>
    </row>
    <row r="1023" spans="1:14" ht="15" customHeight="1">
      <c r="A1023" s="245"/>
      <c r="B1023" s="105" t="s">
        <v>438</v>
      </c>
      <c r="C1023" s="102"/>
      <c r="D1023" s="102"/>
      <c r="E1023" s="102"/>
      <c r="F1023" s="102"/>
      <c r="G1023" s="102"/>
      <c r="H1023" s="339"/>
      <c r="I1023" s="103"/>
      <c r="J1023" s="103"/>
      <c r="K1023" s="103"/>
      <c r="L1023" s="103"/>
      <c r="M1023" s="106" t="s">
        <v>450</v>
      </c>
      <c r="N1023" s="246"/>
    </row>
    <row r="1024" spans="1:14" ht="10.199999999999999" customHeight="1">
      <c r="A1024" s="245"/>
      <c r="B1024" s="112"/>
      <c r="C1024" s="112"/>
      <c r="D1024" s="112"/>
      <c r="E1024" s="112"/>
      <c r="F1024" s="112"/>
      <c r="G1024" s="112"/>
      <c r="H1024" s="335"/>
      <c r="I1024" s="112"/>
      <c r="J1024" s="112"/>
      <c r="K1024" s="112"/>
      <c r="L1024" s="112"/>
      <c r="M1024" s="112"/>
      <c r="N1024" s="246"/>
    </row>
    <row r="1025" spans="1:14" ht="15" customHeight="1">
      <c r="A1025" s="245"/>
      <c r="B1025" s="113" t="s">
        <v>426</v>
      </c>
      <c r="C1025" s="112"/>
      <c r="D1025" s="112"/>
      <c r="E1025" s="961" t="s">
        <v>84</v>
      </c>
      <c r="F1025" s="961"/>
      <c r="G1025" s="961"/>
      <c r="H1025" s="961"/>
      <c r="I1025" s="961"/>
      <c r="J1025" s="961"/>
      <c r="K1025" s="112"/>
      <c r="L1025" s="112"/>
      <c r="M1025" s="114" t="s">
        <v>426</v>
      </c>
      <c r="N1025" s="246"/>
    </row>
    <row r="1026" spans="1:14" ht="15" customHeight="1">
      <c r="A1026" s="245"/>
      <c r="B1026" s="101" t="s">
        <v>439</v>
      </c>
      <c r="C1026" s="102"/>
      <c r="D1026" s="102"/>
      <c r="E1026" s="102"/>
      <c r="F1026" s="102"/>
      <c r="G1026" s="102"/>
      <c r="H1026" s="339"/>
      <c r="I1026" s="103"/>
      <c r="J1026" s="103"/>
      <c r="K1026" s="103"/>
      <c r="L1026" s="103"/>
      <c r="M1026" s="104" t="s">
        <v>451</v>
      </c>
      <c r="N1026" s="246"/>
    </row>
    <row r="1027" spans="1:14" ht="15" customHeight="1">
      <c r="A1027" s="245"/>
      <c r="B1027" s="105" t="s">
        <v>440</v>
      </c>
      <c r="C1027" s="102"/>
      <c r="D1027" s="102"/>
      <c r="E1027" s="102"/>
      <c r="F1027" s="102"/>
      <c r="G1027" s="102"/>
      <c r="H1027" s="339"/>
      <c r="I1027" s="103"/>
      <c r="J1027" s="103"/>
      <c r="K1027" s="103"/>
      <c r="L1027" s="103"/>
      <c r="M1027" s="106" t="s">
        <v>452</v>
      </c>
      <c r="N1027" s="246"/>
    </row>
    <row r="1028" spans="1:14" ht="10.199999999999999" customHeight="1">
      <c r="A1028" s="245"/>
      <c r="B1028" s="112"/>
      <c r="C1028" s="112"/>
      <c r="D1028" s="112"/>
      <c r="E1028" s="112"/>
      <c r="F1028" s="112"/>
      <c r="G1028" s="112"/>
      <c r="H1028" s="335"/>
      <c r="I1028" s="112"/>
      <c r="J1028" s="112"/>
      <c r="K1028" s="112"/>
      <c r="L1028" s="112"/>
      <c r="M1028" s="112"/>
      <c r="N1028" s="246"/>
    </row>
    <row r="1029" spans="1:14" ht="15" customHeight="1">
      <c r="A1029" s="245"/>
      <c r="B1029" s="113" t="s">
        <v>426</v>
      </c>
      <c r="C1029" s="112"/>
      <c r="D1029" s="112"/>
      <c r="E1029" s="961" t="s">
        <v>85</v>
      </c>
      <c r="F1029" s="961"/>
      <c r="G1029" s="961"/>
      <c r="H1029" s="961"/>
      <c r="I1029" s="961"/>
      <c r="J1029" s="961"/>
      <c r="K1029" s="112"/>
      <c r="L1029" s="112"/>
      <c r="M1029" s="114" t="s">
        <v>426</v>
      </c>
      <c r="N1029" s="246"/>
    </row>
    <row r="1030" spans="1:14" ht="15" customHeight="1">
      <c r="A1030" s="245"/>
      <c r="B1030" s="101" t="s">
        <v>441</v>
      </c>
      <c r="C1030" s="102"/>
      <c r="D1030" s="102"/>
      <c r="E1030" s="102"/>
      <c r="F1030" s="102"/>
      <c r="G1030" s="102"/>
      <c r="H1030" s="339"/>
      <c r="I1030" s="103"/>
      <c r="J1030" s="103"/>
      <c r="K1030" s="103"/>
      <c r="L1030" s="103"/>
      <c r="M1030" s="104" t="s">
        <v>453</v>
      </c>
      <c r="N1030" s="246"/>
    </row>
    <row r="1031" spans="1:14" ht="15" customHeight="1">
      <c r="A1031" s="245"/>
      <c r="B1031" s="105" t="s">
        <v>442</v>
      </c>
      <c r="C1031" s="102"/>
      <c r="D1031" s="102"/>
      <c r="E1031" s="102"/>
      <c r="F1031" s="102"/>
      <c r="G1031" s="102"/>
      <c r="H1031" s="339"/>
      <c r="I1031" s="103"/>
      <c r="J1031" s="103"/>
      <c r="K1031" s="103"/>
      <c r="L1031" s="103"/>
      <c r="M1031" s="106" t="s">
        <v>454</v>
      </c>
      <c r="N1031" s="246"/>
    </row>
    <row r="1032" spans="1:14" ht="10.199999999999999" customHeight="1">
      <c r="A1032" s="245"/>
      <c r="B1032" s="112"/>
      <c r="C1032" s="112"/>
      <c r="D1032" s="112"/>
      <c r="E1032" s="112"/>
      <c r="F1032" s="112"/>
      <c r="G1032" s="112"/>
      <c r="H1032" s="335"/>
      <c r="I1032" s="112"/>
      <c r="J1032" s="112"/>
      <c r="K1032" s="112"/>
      <c r="L1032" s="112"/>
      <c r="M1032" s="112"/>
      <c r="N1032" s="246"/>
    </row>
    <row r="1033" spans="1:14" ht="15" customHeight="1">
      <c r="A1033" s="245"/>
      <c r="B1033" s="113" t="s">
        <v>426</v>
      </c>
      <c r="C1033" s="112"/>
      <c r="D1033" s="112"/>
      <c r="E1033" s="961" t="s">
        <v>86</v>
      </c>
      <c r="F1033" s="961"/>
      <c r="G1033" s="961"/>
      <c r="H1033" s="961"/>
      <c r="I1033" s="961"/>
      <c r="J1033" s="961"/>
      <c r="K1033" s="112"/>
      <c r="L1033" s="112"/>
      <c r="M1033" s="114" t="s">
        <v>426</v>
      </c>
      <c r="N1033" s="246"/>
    </row>
    <row r="1034" spans="1:14" ht="15" customHeight="1">
      <c r="A1034" s="245"/>
      <c r="B1034" s="101" t="s">
        <v>443</v>
      </c>
      <c r="C1034" s="102"/>
      <c r="D1034" s="102"/>
      <c r="E1034" s="102"/>
      <c r="F1034" s="102"/>
      <c r="G1034" s="102"/>
      <c r="H1034" s="339"/>
      <c r="I1034" s="103"/>
      <c r="J1034" s="103"/>
      <c r="K1034" s="103"/>
      <c r="L1034" s="103"/>
      <c r="M1034" s="104" t="s">
        <v>455</v>
      </c>
      <c r="N1034" s="246"/>
    </row>
    <row r="1035" spans="1:14" ht="15" customHeight="1">
      <c r="A1035" s="245"/>
      <c r="B1035" s="105" t="s">
        <v>444</v>
      </c>
      <c r="C1035" s="102"/>
      <c r="D1035" s="102"/>
      <c r="E1035" s="102"/>
      <c r="F1035" s="102"/>
      <c r="G1035" s="102"/>
      <c r="H1035" s="339"/>
      <c r="I1035" s="103"/>
      <c r="J1035" s="103"/>
      <c r="K1035" s="103"/>
      <c r="L1035" s="103"/>
      <c r="M1035" s="106" t="s">
        <v>456</v>
      </c>
      <c r="N1035" s="246"/>
    </row>
    <row r="1036" spans="1:14" ht="10.199999999999999" customHeight="1">
      <c r="A1036" s="245"/>
      <c r="B1036" s="112"/>
      <c r="C1036" s="112"/>
      <c r="D1036" s="112"/>
      <c r="E1036" s="112"/>
      <c r="F1036" s="112"/>
      <c r="G1036" s="112"/>
      <c r="H1036" s="335"/>
      <c r="I1036" s="112"/>
      <c r="J1036" s="112"/>
      <c r="K1036" s="112"/>
      <c r="L1036" s="112"/>
      <c r="M1036" s="112"/>
      <c r="N1036" s="246"/>
    </row>
    <row r="1037" spans="1:14" ht="15" customHeight="1">
      <c r="A1037" s="245"/>
      <c r="B1037" s="113" t="s">
        <v>426</v>
      </c>
      <c r="C1037" s="112"/>
      <c r="D1037" s="112"/>
      <c r="E1037" s="961" t="s">
        <v>639</v>
      </c>
      <c r="F1037" s="961"/>
      <c r="G1037" s="961"/>
      <c r="H1037" s="961"/>
      <c r="I1037" s="961"/>
      <c r="J1037" s="961"/>
      <c r="K1037" s="112"/>
      <c r="L1037" s="112"/>
      <c r="M1037" s="114" t="s">
        <v>426</v>
      </c>
      <c r="N1037" s="246"/>
    </row>
    <row r="1038" spans="1:14" ht="15" customHeight="1">
      <c r="A1038" s="245"/>
      <c r="B1038" s="101" t="s">
        <v>416</v>
      </c>
      <c r="C1038" s="102"/>
      <c r="D1038" s="102"/>
      <c r="E1038" s="102"/>
      <c r="F1038" s="102"/>
      <c r="G1038" s="102"/>
      <c r="H1038" s="339"/>
      <c r="I1038" s="103"/>
      <c r="J1038" s="103"/>
      <c r="K1038" s="103"/>
      <c r="L1038" s="103"/>
      <c r="M1038" s="104" t="s">
        <v>418</v>
      </c>
      <c r="N1038" s="246"/>
    </row>
    <row r="1039" spans="1:14" ht="15" customHeight="1">
      <c r="A1039" s="245"/>
      <c r="B1039" s="105" t="s">
        <v>417</v>
      </c>
      <c r="C1039" s="102"/>
      <c r="D1039" s="102"/>
      <c r="E1039" s="102"/>
      <c r="F1039" s="102"/>
      <c r="G1039" s="102"/>
      <c r="H1039" s="339"/>
      <c r="I1039" s="103"/>
      <c r="J1039" s="103"/>
      <c r="K1039" s="103"/>
      <c r="L1039" s="103"/>
      <c r="M1039" s="106" t="s">
        <v>419</v>
      </c>
      <c r="N1039" s="246"/>
    </row>
    <row r="1040" spans="1:14" ht="4.95" customHeight="1">
      <c r="A1040" s="245"/>
      <c r="B1040" s="112"/>
      <c r="C1040" s="112"/>
      <c r="D1040" s="112"/>
      <c r="E1040" s="112"/>
      <c r="F1040" s="112"/>
      <c r="G1040" s="112"/>
      <c r="H1040" s="335"/>
      <c r="I1040" s="112"/>
      <c r="J1040" s="112"/>
      <c r="K1040" s="112"/>
      <c r="L1040" s="112"/>
      <c r="M1040" s="112"/>
      <c r="N1040" s="246"/>
    </row>
    <row r="1041" spans="1:79" ht="15" customHeight="1">
      <c r="A1041" s="245"/>
      <c r="B1041" s="1174" t="s">
        <v>457</v>
      </c>
      <c r="C1041" s="1174"/>
      <c r="D1041" s="1174"/>
      <c r="E1041" s="1174"/>
      <c r="F1041" s="1174"/>
      <c r="G1041" s="1174"/>
      <c r="H1041" s="1175" t="s">
        <v>458</v>
      </c>
      <c r="I1041" s="1175"/>
      <c r="J1041" s="1175"/>
      <c r="K1041" s="1175"/>
      <c r="L1041" s="1175"/>
      <c r="M1041" s="1175"/>
      <c r="N1041" s="246"/>
    </row>
    <row r="1042" spans="1:79" ht="15" customHeight="1">
      <c r="A1042" s="245"/>
      <c r="B1042" s="1174"/>
      <c r="C1042" s="1174"/>
      <c r="D1042" s="1174"/>
      <c r="E1042" s="1174"/>
      <c r="F1042" s="1174"/>
      <c r="G1042" s="1174"/>
      <c r="H1042" s="1175"/>
      <c r="I1042" s="1175"/>
      <c r="J1042" s="1175"/>
      <c r="K1042" s="1175"/>
      <c r="L1042" s="1175"/>
      <c r="M1042" s="1175"/>
      <c r="N1042" s="246"/>
    </row>
    <row r="1043" spans="1:79" ht="4.95" customHeight="1">
      <c r="A1043" s="247"/>
      <c r="B1043" s="248"/>
      <c r="C1043" s="248"/>
      <c r="D1043" s="248"/>
      <c r="E1043" s="248"/>
      <c r="F1043" s="248"/>
      <c r="G1043" s="248"/>
      <c r="H1043" s="338"/>
      <c r="I1043" s="248"/>
      <c r="J1043" s="248"/>
      <c r="K1043" s="248"/>
      <c r="L1043" s="248"/>
      <c r="M1043" s="248"/>
      <c r="N1043" s="249"/>
    </row>
    <row r="1044" spans="1:79" ht="30" customHeight="1">
      <c r="A1044" s="220" t="s">
        <v>1148</v>
      </c>
      <c r="B1044" s="913" t="s">
        <v>61</v>
      </c>
      <c r="C1044" s="913"/>
      <c r="D1044" s="913"/>
      <c r="E1044" s="913"/>
      <c r="F1044" s="913"/>
      <c r="G1044" s="913"/>
      <c r="H1044" s="913"/>
      <c r="I1044" s="913"/>
      <c r="J1044" s="913"/>
      <c r="K1044" s="913"/>
      <c r="L1044" s="913"/>
      <c r="M1044" s="222"/>
      <c r="N1044" s="223" t="s">
        <v>1149</v>
      </c>
      <c r="AC1044" s="1"/>
    </row>
    <row r="1045" spans="1:79">
      <c r="A1045" s="224"/>
      <c r="B1045" s="24"/>
      <c r="C1045" s="24"/>
      <c r="D1045" s="24"/>
      <c r="E1045" s="24"/>
      <c r="F1045" s="24"/>
      <c r="G1045" s="24"/>
      <c r="H1045" s="340"/>
      <c r="I1045" s="41"/>
      <c r="J1045" s="24"/>
      <c r="K1045" s="24"/>
      <c r="L1045" s="24"/>
      <c r="M1045" s="24"/>
      <c r="N1045" s="225"/>
      <c r="AC1045" s="1"/>
    </row>
    <row r="1046" spans="1:79" ht="14.4" thickBot="1">
      <c r="A1046" s="224"/>
      <c r="B1046" s="24"/>
      <c r="C1046" s="24"/>
      <c r="D1046" s="24"/>
      <c r="E1046" s="24"/>
      <c r="F1046" s="24"/>
      <c r="G1046" s="24"/>
      <c r="H1046" s="340"/>
      <c r="I1046" s="24"/>
      <c r="J1046" s="24"/>
      <c r="K1046" s="24"/>
      <c r="L1046" s="24"/>
      <c r="M1046" s="24"/>
      <c r="N1046" s="225"/>
      <c r="AC1046" s="1"/>
    </row>
    <row r="1047" spans="1:79" ht="45" customHeight="1" thickTop="1" thickBot="1">
      <c r="A1047" s="224"/>
      <c r="B1047" s="24"/>
      <c r="C1047" s="1176" t="s">
        <v>53</v>
      </c>
      <c r="D1047" s="1177"/>
      <c r="E1047" s="1177"/>
      <c r="F1047" s="1177"/>
      <c r="G1047" s="1177"/>
      <c r="H1047" s="1177"/>
      <c r="I1047" s="1177"/>
      <c r="J1047" s="1177"/>
      <c r="K1047" s="1177"/>
      <c r="L1047" s="1178"/>
      <c r="M1047" s="24"/>
      <c r="N1047" s="225"/>
      <c r="AC1047" s="1"/>
      <c r="BB1047" s="37" t="s">
        <v>53</v>
      </c>
      <c r="BD1047" s="37" t="s">
        <v>73</v>
      </c>
      <c r="BF1047" s="2" t="s">
        <v>991</v>
      </c>
      <c r="BH1047" s="2" t="s">
        <v>1093</v>
      </c>
    </row>
    <row r="1048" spans="1:79" ht="14.4" thickTop="1">
      <c r="A1048" s="224"/>
      <c r="B1048" s="24"/>
      <c r="C1048" s="24"/>
      <c r="D1048" s="24"/>
      <c r="E1048" s="24"/>
      <c r="F1048" s="24"/>
      <c r="G1048" s="24"/>
      <c r="H1048" s="340"/>
      <c r="I1048" s="24"/>
      <c r="J1048" s="24"/>
      <c r="K1048" s="24"/>
      <c r="L1048" s="24"/>
      <c r="M1048" s="111"/>
      <c r="N1048" s="225"/>
      <c r="AC1048" s="1"/>
      <c r="BB1048" s="37" t="s">
        <v>81</v>
      </c>
      <c r="BD1048" s="37" t="s">
        <v>74</v>
      </c>
      <c r="BF1048" s="2" t="s">
        <v>992</v>
      </c>
      <c r="BH1048" s="2" t="s">
        <v>1094</v>
      </c>
    </row>
    <row r="1049" spans="1:79" ht="30" customHeight="1">
      <c r="A1049" s="224"/>
      <c r="B1049" s="1179" t="s">
        <v>424</v>
      </c>
      <c r="C1049" s="1179"/>
      <c r="D1049" s="1112" t="s">
        <v>4</v>
      </c>
      <c r="E1049" s="1112"/>
      <c r="F1049" s="1112"/>
      <c r="G1049" s="1113" t="s">
        <v>5</v>
      </c>
      <c r="H1049" s="1113"/>
      <c r="I1049" s="1043" t="s">
        <v>6</v>
      </c>
      <c r="J1049" s="1043"/>
      <c r="K1049" s="1043"/>
      <c r="L1049" s="1111" t="s">
        <v>425</v>
      </c>
      <c r="M1049" s="1111"/>
      <c r="N1049" s="225"/>
      <c r="AC1049" s="1"/>
      <c r="AD1049" s="45"/>
      <c r="BB1049" s="37" t="s">
        <v>82</v>
      </c>
      <c r="BD1049" s="37" t="s">
        <v>75</v>
      </c>
      <c r="BF1049" s="2" t="s">
        <v>993</v>
      </c>
      <c r="BH1049" s="2" t="s">
        <v>1095</v>
      </c>
    </row>
    <row r="1050" spans="1:79" ht="30" customHeight="1">
      <c r="A1050" s="224"/>
      <c r="B1050" s="1179"/>
      <c r="C1050" s="1179"/>
      <c r="D1050" s="1112" t="s">
        <v>7</v>
      </c>
      <c r="E1050" s="1112"/>
      <c r="F1050" s="1112"/>
      <c r="G1050" s="1113" t="s">
        <v>5</v>
      </c>
      <c r="H1050" s="1113"/>
      <c r="I1050" s="1043" t="s">
        <v>8</v>
      </c>
      <c r="J1050" s="1043"/>
      <c r="K1050" s="1043"/>
      <c r="L1050" s="1111"/>
      <c r="M1050" s="1111"/>
      <c r="N1050" s="225"/>
      <c r="AC1050" s="1"/>
      <c r="BB1050" s="37" t="s">
        <v>83</v>
      </c>
      <c r="BD1050" s="37" t="s">
        <v>76</v>
      </c>
      <c r="BF1050" s="2" t="s">
        <v>994</v>
      </c>
      <c r="BH1050" s="2" t="s">
        <v>1096</v>
      </c>
    </row>
    <row r="1051" spans="1:79" ht="30" customHeight="1">
      <c r="A1051" s="224"/>
      <c r="B1051" s="1179"/>
      <c r="C1051" s="1179"/>
      <c r="D1051" s="1112" t="s">
        <v>9</v>
      </c>
      <c r="E1051" s="1112"/>
      <c r="F1051" s="1112"/>
      <c r="G1051" s="1113" t="s">
        <v>5</v>
      </c>
      <c r="H1051" s="1113"/>
      <c r="I1051" s="1043" t="s">
        <v>10</v>
      </c>
      <c r="J1051" s="1043"/>
      <c r="K1051" s="1043"/>
      <c r="L1051" s="1111"/>
      <c r="M1051" s="1111"/>
      <c r="N1051" s="225"/>
      <c r="AC1051" s="1"/>
      <c r="BB1051" s="37" t="s">
        <v>84</v>
      </c>
      <c r="BD1051" s="37" t="s">
        <v>77</v>
      </c>
      <c r="BF1051" s="2" t="s">
        <v>995</v>
      </c>
      <c r="BH1051" s="2" t="s">
        <v>1097</v>
      </c>
    </row>
    <row r="1052" spans="1:79">
      <c r="A1052" s="224"/>
      <c r="B1052" s="24"/>
      <c r="C1052" s="24"/>
      <c r="D1052" s="24"/>
      <c r="E1052" s="24"/>
      <c r="F1052" s="24"/>
      <c r="G1052" s="24"/>
      <c r="H1052" s="340"/>
      <c r="I1052" s="24"/>
      <c r="J1052" s="24"/>
      <c r="K1052" s="24"/>
      <c r="L1052" s="24"/>
      <c r="M1052" s="24"/>
      <c r="N1052" s="225"/>
      <c r="AC1052" s="1"/>
      <c r="BB1052" s="37" t="s">
        <v>85</v>
      </c>
      <c r="BD1052" s="37" t="s">
        <v>78</v>
      </c>
      <c r="BF1052" s="2" t="s">
        <v>996</v>
      </c>
      <c r="BH1052" s="2" t="s">
        <v>1098</v>
      </c>
    </row>
    <row r="1053" spans="1:79" ht="14.4" thickBot="1">
      <c r="A1053" s="224"/>
      <c r="B1053" s="24"/>
      <c r="C1053" s="24"/>
      <c r="D1053" s="24"/>
      <c r="E1053" s="24"/>
      <c r="F1053" s="24"/>
      <c r="G1053" s="24"/>
      <c r="H1053" s="340"/>
      <c r="I1053" s="24"/>
      <c r="J1053" s="24"/>
      <c r="K1053" s="24"/>
      <c r="L1053" s="24"/>
      <c r="M1053" s="24"/>
      <c r="N1053" s="225"/>
      <c r="AC1053" s="1"/>
      <c r="BB1053" s="37" t="s">
        <v>86</v>
      </c>
      <c r="BD1053" s="37" t="s">
        <v>79</v>
      </c>
      <c r="BF1053" s="2" t="s">
        <v>997</v>
      </c>
      <c r="BH1053" s="2" t="s">
        <v>1099</v>
      </c>
    </row>
    <row r="1054" spans="1:79" ht="30" customHeight="1" thickTop="1">
      <c r="A1054" s="224"/>
      <c r="B1054" s="1026" t="s">
        <v>948</v>
      </c>
      <c r="C1054" s="1027"/>
      <c r="D1054" s="1027"/>
      <c r="E1054" s="1027"/>
      <c r="F1054" s="1027"/>
      <c r="G1054" s="1028"/>
      <c r="H1054" s="1249" t="s">
        <v>949</v>
      </c>
      <c r="I1054" s="1250"/>
      <c r="J1054" s="1250"/>
      <c r="K1054" s="1250"/>
      <c r="L1054" s="1250"/>
      <c r="M1054" s="1251"/>
      <c r="N1054" s="225"/>
      <c r="AC1054" s="1"/>
      <c r="BB1054" s="37" t="s">
        <v>1207</v>
      </c>
      <c r="BD1054" s="37" t="s">
        <v>80</v>
      </c>
      <c r="BF1054" s="2" t="s">
        <v>998</v>
      </c>
      <c r="BH1054" s="2" t="s">
        <v>1100</v>
      </c>
    </row>
    <row r="1055" spans="1:79" ht="30" customHeight="1" thickBot="1">
      <c r="A1055" s="224"/>
      <c r="B1055" s="1029" t="str">
        <f>BB1055</f>
        <v>EASY ENTRY</v>
      </c>
      <c r="C1055" s="1030"/>
      <c r="D1055" s="1030"/>
      <c r="E1055" s="1030"/>
      <c r="F1055" s="1030"/>
      <c r="G1055" s="1031"/>
      <c r="H1055" s="1252" t="str">
        <f>BB1056</f>
        <v>VETTED ENTRY</v>
      </c>
      <c r="I1055" s="1253"/>
      <c r="J1055" s="1253"/>
      <c r="K1055" s="1253"/>
      <c r="L1055" s="1253"/>
      <c r="M1055" s="1254"/>
      <c r="N1055" s="225"/>
      <c r="AC1055" s="1"/>
      <c r="BB1055" s="2" t="str">
        <f>IF($C$1047=BB$1047,BE1055,IF($C$1047=BB$1048,BF1055,IF($C$1047=BB$1049,BG1055,IF($C$1047=BB$1050,BH1055,IF($C$1047=BB$1051,BI1055,IF($C$1047=BB$1052,BJ1055,IF($C$1047=BB$1053,BK1055,IF($C$1047=BB$1054,BL1055,""))))))))</f>
        <v>EASY ENTRY</v>
      </c>
      <c r="BD1055" s="48" t="s">
        <v>133</v>
      </c>
      <c r="BE1055" s="2" t="s">
        <v>135</v>
      </c>
      <c r="BF1055" s="2" t="s">
        <v>137</v>
      </c>
      <c r="BG1055" s="2" t="s">
        <v>138</v>
      </c>
      <c r="BH1055" s="2" t="s">
        <v>141</v>
      </c>
      <c r="BI1055" s="2" t="s">
        <v>142</v>
      </c>
      <c r="BJ1055" s="2" t="s">
        <v>144</v>
      </c>
      <c r="BK1055" s="2" t="s">
        <v>146</v>
      </c>
      <c r="BL1055" s="2" t="s">
        <v>148</v>
      </c>
      <c r="BT1055" s="37" t="s">
        <v>66</v>
      </c>
      <c r="BU1055" s="37" t="s">
        <v>67</v>
      </c>
    </row>
    <row r="1056" spans="1:79" ht="16.8" thickTop="1">
      <c r="A1056" s="224"/>
      <c r="B1056" s="24"/>
      <c r="C1056" s="24"/>
      <c r="D1056" s="24"/>
      <c r="E1056" s="24"/>
      <c r="F1056" s="24"/>
      <c r="G1056" s="24"/>
      <c r="H1056" s="340"/>
      <c r="I1056" s="24"/>
      <c r="J1056" s="24"/>
      <c r="K1056" s="24"/>
      <c r="L1056" s="24"/>
      <c r="M1056" s="24"/>
      <c r="N1056" s="225"/>
      <c r="AC1056" s="1"/>
      <c r="BB1056" s="2" t="str">
        <f>IF($C$1047=BB$1047,BE1056,IF($C$1047=BB$1048,BF1056,IF($C$1047=BB$1049,BG1056,IF($C$1047=BB$1050,BH1056,IF($C$1047=BB$1051,BI1056,IF($C$1047=BB$1052,BJ1056,IF($C$1047=BB$1053,BK1056,IF($C$1047=BB$1054,BL1056,""))))))))</f>
        <v>VETTED ENTRY</v>
      </c>
      <c r="BD1056" s="48" t="s">
        <v>134</v>
      </c>
      <c r="BE1056" s="2" t="s">
        <v>136</v>
      </c>
      <c r="BF1056" s="2" t="s">
        <v>976</v>
      </c>
      <c r="BG1056" s="2" t="s">
        <v>139</v>
      </c>
      <c r="BH1056" s="2" t="s">
        <v>140</v>
      </c>
      <c r="BI1056" s="2" t="s">
        <v>143</v>
      </c>
      <c r="BJ1056" s="2" t="s">
        <v>145</v>
      </c>
      <c r="BK1056" s="2" t="s">
        <v>147</v>
      </c>
      <c r="BL1056" s="2" t="s">
        <v>149</v>
      </c>
      <c r="BT1056" s="39" t="s">
        <v>557</v>
      </c>
      <c r="BU1056" s="38" t="s">
        <v>571</v>
      </c>
      <c r="BV1056" s="2" t="str">
        <f>CONCATENATE(BW1056,BX1056,BY1056,CA1056)</f>
        <v>Resolving 0 more than resolving 0</v>
      </c>
      <c r="BW1056" s="2" t="s">
        <v>555</v>
      </c>
      <c r="BX1056" s="2">
        <f>$B$173</f>
        <v>0</v>
      </c>
      <c r="BY1056" s="2" t="s">
        <v>556</v>
      </c>
      <c r="CA1056" s="2">
        <f>$H$173</f>
        <v>0</v>
      </c>
    </row>
    <row r="1057" spans="1:79">
      <c r="A1057" s="224"/>
      <c r="B1057" s="24"/>
      <c r="C1057" s="24"/>
      <c r="D1057" s="24"/>
      <c r="E1057" s="24"/>
      <c r="F1057" s="24"/>
      <c r="G1057" s="24"/>
      <c r="H1057" s="340"/>
      <c r="I1057" s="24"/>
      <c r="J1057" s="24"/>
      <c r="K1057" s="24"/>
      <c r="L1057" s="24"/>
      <c r="M1057" s="24"/>
      <c r="N1057" s="225"/>
      <c r="AC1057" s="1"/>
      <c r="BT1057" s="39" t="s">
        <v>558</v>
      </c>
      <c r="BU1057" s="38" t="s">
        <v>572</v>
      </c>
      <c r="BV1057" s="2" t="str">
        <f>CONCATENATE(BW1057,CA1057,BY1057,BX1057)</f>
        <v>Resolving 0 more than resolving 0</v>
      </c>
      <c r="BW1057" s="2" t="s">
        <v>555</v>
      </c>
      <c r="BX1057" s="2">
        <f>$B$173</f>
        <v>0</v>
      </c>
      <c r="BY1057" s="2" t="s">
        <v>556</v>
      </c>
      <c r="CA1057" s="2">
        <f>$H$173</f>
        <v>0</v>
      </c>
    </row>
    <row r="1058" spans="1:79" ht="19.95" customHeight="1" thickBot="1">
      <c r="A1058" s="224"/>
      <c r="B1058" s="160" t="s">
        <v>4</v>
      </c>
      <c r="C1058" s="161"/>
      <c r="D1058" s="161"/>
      <c r="E1058" s="161"/>
      <c r="F1058" s="161"/>
      <c r="G1058" s="161"/>
      <c r="H1058" s="341"/>
      <c r="I1058" s="161"/>
      <c r="J1058" s="161"/>
      <c r="K1058" s="161"/>
      <c r="L1058" s="161"/>
      <c r="M1058" s="162" t="str">
        <f>B1058</f>
        <v>ARGUE</v>
      </c>
      <c r="N1058" s="225"/>
      <c r="AC1058" s="1"/>
      <c r="BE1058" s="49" t="str">
        <f>BD1047</f>
        <v>IMM</v>
      </c>
      <c r="BF1058" s="49" t="str">
        <f>BD1048</f>
        <v>CLI</v>
      </c>
      <c r="BG1058" s="49" t="str">
        <f>BD1049</f>
        <v>GUN</v>
      </c>
      <c r="BH1058" s="49" t="str">
        <f>BD1050</f>
        <v>ABO</v>
      </c>
      <c r="BI1058" s="49" t="str">
        <f>BD1051</f>
        <v>HEA</v>
      </c>
      <c r="BJ1058" s="49" t="str">
        <f>BD1052</f>
        <v>CRI</v>
      </c>
      <c r="BK1058" s="49" t="str">
        <f>BD1053</f>
        <v>ECO</v>
      </c>
      <c r="BL1058" s="49" t="str">
        <f>BD1054</f>
        <v>RAC</v>
      </c>
      <c r="BM1058" s="47" t="s">
        <v>3</v>
      </c>
      <c r="BT1058" s="39" t="s">
        <v>559</v>
      </c>
      <c r="BU1058" s="38" t="s">
        <v>573</v>
      </c>
    </row>
    <row r="1059" spans="1:79" ht="19.95" customHeight="1">
      <c r="A1059" s="224"/>
      <c r="B1059" s="1242" t="str">
        <f>BB1059</f>
        <v>No one is “illegal” and national borders reinforce discriminatory systems like racism and classism, usually against people exploited by US foreign interventions.</v>
      </c>
      <c r="C1059" s="1243"/>
      <c r="D1059" s="1243"/>
      <c r="E1059" s="1243"/>
      <c r="F1059" s="1243"/>
      <c r="G1059" s="1243"/>
      <c r="H1059" s="1105" t="str">
        <f>BB1060</f>
        <v xml:space="preserve">Migrants exploit loopholes in our outmoded immigration laws, or evade the law entirely, often with violent results and other harmful consequences. </v>
      </c>
      <c r="I1059" s="1105"/>
      <c r="J1059" s="1105"/>
      <c r="K1059" s="1105"/>
      <c r="L1059" s="1105"/>
      <c r="M1059" s="1106"/>
      <c r="N1059" s="225"/>
      <c r="AC1059" s="1"/>
      <c r="BB1059" s="2" t="str">
        <f>IF($C$1047=$BB$1047,BE1059,IF($C$1047=$BB$1048,BF1059,IF($C$1047=$BB$1049,BG1059,IF($C$1047=$BB$1050,BH1059,IF($C$1047=$BB$1051,BI1059,IF($C$1047=$BB$1052,BJ1059,IF($C$1047=$BB$1053,BK1059,IF($C$1047=$BB$1054,BL1059,""))))))))</f>
        <v>No one is “illegal” and national borders reinforce discriminatory systems like racism and classism, usually against people exploited by US foreign interventions.</v>
      </c>
      <c r="BD1059" s="48" t="s">
        <v>89</v>
      </c>
      <c r="BE1059" s="2" t="s">
        <v>88</v>
      </c>
      <c r="BF1059" s="2" t="s">
        <v>101</v>
      </c>
      <c r="BG1059" s="2" t="s">
        <v>102</v>
      </c>
      <c r="BH1059" s="2" t="s">
        <v>103</v>
      </c>
      <c r="BI1059" s="2" t="s">
        <v>104</v>
      </c>
      <c r="BJ1059" s="2" t="s">
        <v>105</v>
      </c>
      <c r="BK1059" s="2" t="s">
        <v>106</v>
      </c>
      <c r="BL1059" s="2" t="s">
        <v>107</v>
      </c>
      <c r="BM1059" s="47" t="s">
        <v>3</v>
      </c>
      <c r="BT1059" s="39" t="s">
        <v>560</v>
      </c>
      <c r="BU1059" s="38" t="s">
        <v>574</v>
      </c>
    </row>
    <row r="1060" spans="1:79" ht="19.95" customHeight="1">
      <c r="A1060" s="224"/>
      <c r="B1060" s="1244"/>
      <c r="C1060" s="1245"/>
      <c r="D1060" s="1245"/>
      <c r="E1060" s="1245"/>
      <c r="F1060" s="1245"/>
      <c r="G1060" s="1245"/>
      <c r="H1060" s="1107"/>
      <c r="I1060" s="1107"/>
      <c r="J1060" s="1107"/>
      <c r="K1060" s="1107"/>
      <c r="L1060" s="1107"/>
      <c r="M1060" s="1108"/>
      <c r="N1060" s="225"/>
      <c r="AC1060" s="1"/>
      <c r="BB1060" s="2" t="str">
        <f>IF($C$1047=$BB$1047,BE1060,IF($C$1047=$BB$1048,BF1060,IF($C$1047=$BB$1049,BG1060,IF($C$1047=$BB$1050,BH1060,IF($C$1047=$BB$1051,BI1060,IF($C$1047=$BB$1052,BJ1060,IF($C$1047=$BB$1053,BK1060,IF($C$1047=$BB$1054,BL1060,""))))))))</f>
        <v xml:space="preserve">Migrants exploit loopholes in our outmoded immigration laws, or evade the law entirely, often with violent results and other harmful consequences. </v>
      </c>
      <c r="BD1060" s="48" t="s">
        <v>90</v>
      </c>
      <c r="BE1060" s="2" t="s">
        <v>87</v>
      </c>
      <c r="BF1060" s="2" t="s">
        <v>108</v>
      </c>
      <c r="BG1060" s="2" t="s">
        <v>109</v>
      </c>
      <c r="BH1060" s="2" t="s">
        <v>110</v>
      </c>
      <c r="BI1060" s="2" t="s">
        <v>111</v>
      </c>
      <c r="BJ1060" s="2" t="s">
        <v>112</v>
      </c>
      <c r="BK1060" s="2" t="s">
        <v>113</v>
      </c>
      <c r="BL1060" s="2" t="s">
        <v>114</v>
      </c>
      <c r="BM1060" s="47" t="s">
        <v>3</v>
      </c>
      <c r="BT1060" s="39" t="s">
        <v>561</v>
      </c>
      <c r="BU1060" s="38" t="s">
        <v>575</v>
      </c>
    </row>
    <row r="1061" spans="1:79" ht="19.95" customHeight="1">
      <c r="A1061" s="224"/>
      <c r="B1061" s="1244"/>
      <c r="C1061" s="1245"/>
      <c r="D1061" s="1245"/>
      <c r="E1061" s="1245"/>
      <c r="F1061" s="1245"/>
      <c r="G1061" s="1245"/>
      <c r="H1061" s="1107"/>
      <c r="I1061" s="1107"/>
      <c r="J1061" s="1107"/>
      <c r="K1061" s="1107"/>
      <c r="L1061" s="1107"/>
      <c r="M1061" s="1108"/>
      <c r="N1061" s="225"/>
      <c r="AC1061" s="1"/>
      <c r="BM1061" s="47" t="s">
        <v>3</v>
      </c>
      <c r="BT1061" s="39" t="s">
        <v>562</v>
      </c>
      <c r="BU1061" s="130" t="s">
        <v>181</v>
      </c>
      <c r="BW1061" s="2" t="str">
        <f>IF($B$176=BV1056,BX1064,BX1068)</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062" spans="1:79" ht="19.95" customHeight="1">
      <c r="A1062" s="224"/>
      <c r="B1062" s="1244"/>
      <c r="C1062" s="1245"/>
      <c r="D1062" s="1245"/>
      <c r="E1062" s="1245"/>
      <c r="F1062" s="1245"/>
      <c r="G1062" s="1245"/>
      <c r="H1062" s="1107"/>
      <c r="I1062" s="1107"/>
      <c r="J1062" s="1107"/>
      <c r="K1062" s="1107"/>
      <c r="L1062" s="1107"/>
      <c r="M1062" s="1108"/>
      <c r="N1062" s="225"/>
      <c r="AC1062" s="1"/>
      <c r="BM1062" s="47" t="s">
        <v>3</v>
      </c>
      <c r="BT1062" s="39" t="s">
        <v>563</v>
      </c>
      <c r="BU1062" s="38" t="s">
        <v>576</v>
      </c>
      <c r="BW1062" s="2" t="str">
        <f>IF($B$176=BV1057,BX1068,BX1064)</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063" spans="1:79" ht="19.95" customHeight="1" thickBot="1">
      <c r="A1063" s="224"/>
      <c r="B1063" s="1255"/>
      <c r="C1063" s="1256"/>
      <c r="D1063" s="1256"/>
      <c r="E1063" s="1256"/>
      <c r="F1063" s="1256"/>
      <c r="G1063" s="1256"/>
      <c r="H1063" s="1109"/>
      <c r="I1063" s="1109"/>
      <c r="J1063" s="1109"/>
      <c r="K1063" s="1109"/>
      <c r="L1063" s="1109"/>
      <c r="M1063" s="1110"/>
      <c r="N1063" s="225"/>
      <c r="AC1063" s="1"/>
      <c r="BM1063" s="47" t="s">
        <v>3</v>
      </c>
      <c r="BT1063" s="39" t="s">
        <v>564</v>
      </c>
      <c r="BU1063" s="38" t="s">
        <v>577</v>
      </c>
    </row>
    <row r="1064" spans="1:79" ht="19.95" customHeight="1" thickBot="1">
      <c r="A1064" s="224"/>
      <c r="B1064" s="160" t="s">
        <v>7</v>
      </c>
      <c r="C1064" s="161"/>
      <c r="D1064" s="161"/>
      <c r="E1064" s="161"/>
      <c r="F1064" s="161"/>
      <c r="G1064" s="161"/>
      <c r="H1064" s="341"/>
      <c r="I1064" s="161"/>
      <c r="J1064" s="161"/>
      <c r="K1064" s="161"/>
      <c r="L1064" s="161"/>
      <c r="M1064" s="162" t="str">
        <f>B1064</f>
        <v>REJECT</v>
      </c>
      <c r="N1064" s="225"/>
      <c r="AC1064" s="1"/>
      <c r="BE1064" s="49" t="str">
        <f>BE1058</f>
        <v>IMM</v>
      </c>
      <c r="BF1064" s="49" t="str">
        <f t="shared" ref="BF1064:BL1064" si="7">BF1058</f>
        <v>CLI</v>
      </c>
      <c r="BG1064" s="49" t="str">
        <f t="shared" si="7"/>
        <v>GUN</v>
      </c>
      <c r="BH1064" s="49" t="str">
        <f t="shared" si="7"/>
        <v>ABO</v>
      </c>
      <c r="BI1064" s="49" t="str">
        <f t="shared" si="7"/>
        <v>HEA</v>
      </c>
      <c r="BJ1064" s="49" t="str">
        <f t="shared" si="7"/>
        <v>CRI</v>
      </c>
      <c r="BK1064" s="49" t="str">
        <f t="shared" si="7"/>
        <v>ECO</v>
      </c>
      <c r="BL1064" s="49" t="str">
        <f t="shared" si="7"/>
        <v>RAC</v>
      </c>
      <c r="BM1064" s="47" t="s">
        <v>3</v>
      </c>
      <c r="BT1064" s="39" t="s">
        <v>565</v>
      </c>
      <c r="BU1064" s="38" t="s">
        <v>578</v>
      </c>
      <c r="BX1064" s="2" t="str">
        <f>CONCATENATE(BY1065,BY1066,BY1067)</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065" spans="1:79" ht="19.95" customHeight="1">
      <c r="A1065" s="224"/>
      <c r="B1065" s="1242" t="str">
        <f>BB1065</f>
        <v>Republicans who oppose undocumented migrants are essentially racist.</v>
      </c>
      <c r="C1065" s="1243"/>
      <c r="D1065" s="1243"/>
      <c r="E1065" s="1243"/>
      <c r="F1065" s="1243"/>
      <c r="G1065" s="1243"/>
      <c r="H1065" s="1105" t="str">
        <f>BB1066</f>
        <v>Democrats who actively protect illegal aliens are essentially lawless.</v>
      </c>
      <c r="I1065" s="1105"/>
      <c r="J1065" s="1105"/>
      <c r="K1065" s="1105"/>
      <c r="L1065" s="1105"/>
      <c r="M1065" s="1106"/>
      <c r="N1065" s="225"/>
      <c r="AC1065" s="1"/>
      <c r="BB1065" s="2" t="str">
        <f>IF($C$1047=$BB$1047,BE1065,IF($C$1047=$BB$1048,BF1065,IF($C$1047=$BB$1049,BG1065,IF($C$1047=$BB$1050,BH1065,IF($C$1047=$BB$1051,BI1065,IF($C$1047=$BB$1052,BJ1065,IF($C$1047=$BB$1053,BK1065,IF($C$1047=$BB$1054,BL1065,""))))))))</f>
        <v>Republicans who oppose undocumented migrants are essentially racist.</v>
      </c>
      <c r="BD1065" s="48" t="s">
        <v>91</v>
      </c>
      <c r="BE1065" s="2" t="s">
        <v>131</v>
      </c>
      <c r="BF1065" s="2" t="s">
        <v>157</v>
      </c>
      <c r="BG1065" s="2" t="s">
        <v>160</v>
      </c>
      <c r="BH1065" s="46" t="s">
        <v>263</v>
      </c>
      <c r="BI1065" s="2" t="s">
        <v>150</v>
      </c>
      <c r="BJ1065" s="2" t="s">
        <v>152</v>
      </c>
      <c r="BK1065" s="2" t="s">
        <v>154</v>
      </c>
      <c r="BL1065" s="2" t="s">
        <v>156</v>
      </c>
      <c r="BM1065" s="47" t="s">
        <v>3</v>
      </c>
      <c r="BT1065" s="39" t="s">
        <v>200</v>
      </c>
      <c r="BU1065" s="38" t="s">
        <v>579</v>
      </c>
      <c r="BY1065" s="2" t="s">
        <v>746</v>
      </c>
    </row>
    <row r="1066" spans="1:79" ht="19.95" customHeight="1">
      <c r="A1066" s="224"/>
      <c r="B1066" s="1244"/>
      <c r="C1066" s="1245"/>
      <c r="D1066" s="1245"/>
      <c r="E1066" s="1245"/>
      <c r="F1066" s="1245"/>
      <c r="G1066" s="1245"/>
      <c r="H1066" s="1107"/>
      <c r="I1066" s="1107"/>
      <c r="J1066" s="1107"/>
      <c r="K1066" s="1107"/>
      <c r="L1066" s="1107"/>
      <c r="M1066" s="1108"/>
      <c r="N1066" s="225"/>
      <c r="AC1066" s="1"/>
      <c r="BB1066" s="2" t="str">
        <f>IF($C$1047=$BB$1047,BE1066,IF($C$1047=$BB$1048,BF1066,IF($C$1047=$BB$1049,BG1066,IF($C$1047=$BB$1050,BH1066,IF($C$1047=$BB$1051,BI1066,IF($C$1047=$BB$1052,BJ1066,IF($C$1047=$BB$1053,BK1066,IF($C$1047=$BB$1054,BL1066,""))))))))</f>
        <v>Democrats who actively protect illegal aliens are essentially lawless.</v>
      </c>
      <c r="BD1066" s="48" t="s">
        <v>92</v>
      </c>
      <c r="BE1066" s="2" t="s">
        <v>132</v>
      </c>
      <c r="BF1066" s="2" t="s">
        <v>158</v>
      </c>
      <c r="BG1066" s="2" t="s">
        <v>161</v>
      </c>
      <c r="BH1066" s="46" t="s">
        <v>264</v>
      </c>
      <c r="BI1066" s="2" t="s">
        <v>151</v>
      </c>
      <c r="BJ1066" s="2" t="s">
        <v>153</v>
      </c>
      <c r="BK1066" s="2" t="s">
        <v>155</v>
      </c>
      <c r="BL1066" s="2" t="s">
        <v>162</v>
      </c>
      <c r="BM1066" s="47" t="s">
        <v>3</v>
      </c>
      <c r="BT1066" s="39" t="s">
        <v>566</v>
      </c>
      <c r="BU1066" s="38" t="s">
        <v>580</v>
      </c>
      <c r="BY1066" s="2" t="s">
        <v>748</v>
      </c>
    </row>
    <row r="1067" spans="1:79" ht="19.95" customHeight="1" thickBot="1">
      <c r="A1067" s="224"/>
      <c r="B1067" s="1246"/>
      <c r="C1067" s="1247"/>
      <c r="D1067" s="1247"/>
      <c r="E1067" s="1247"/>
      <c r="F1067" s="1247"/>
      <c r="G1067" s="1247"/>
      <c r="H1067" s="1109"/>
      <c r="I1067" s="1109"/>
      <c r="J1067" s="1109"/>
      <c r="K1067" s="1109"/>
      <c r="L1067" s="1109"/>
      <c r="M1067" s="1110"/>
      <c r="N1067" s="225"/>
      <c r="AC1067" s="1"/>
      <c r="BM1067" s="47" t="s">
        <v>3</v>
      </c>
      <c r="BT1067" s="39" t="s">
        <v>567</v>
      </c>
      <c r="BU1067" s="38" t="s">
        <v>179</v>
      </c>
      <c r="BY1067" s="2" t="s">
        <v>751</v>
      </c>
    </row>
    <row r="1068" spans="1:79" ht="19.95" customHeight="1" thickBot="1">
      <c r="A1068" s="224"/>
      <c r="B1068" s="160" t="s">
        <v>9</v>
      </c>
      <c r="C1068" s="161"/>
      <c r="D1068" s="161"/>
      <c r="E1068" s="161"/>
      <c r="F1068" s="161"/>
      <c r="G1068" s="161"/>
      <c r="H1068" s="341"/>
      <c r="I1068" s="161"/>
      <c r="J1068" s="161"/>
      <c r="K1068" s="161"/>
      <c r="L1068" s="161"/>
      <c r="M1068" s="162" t="str">
        <f>B1068</f>
        <v>DEMAND</v>
      </c>
      <c r="N1068" s="225"/>
      <c r="AC1068" s="1"/>
      <c r="BE1068" s="49" t="str">
        <f>BE1064</f>
        <v>IMM</v>
      </c>
      <c r="BF1068" s="49" t="str">
        <f t="shared" ref="BF1068:BL1068" si="8">BF1064</f>
        <v>CLI</v>
      </c>
      <c r="BG1068" s="49" t="str">
        <f t="shared" si="8"/>
        <v>GUN</v>
      </c>
      <c r="BH1068" s="49" t="str">
        <f t="shared" si="8"/>
        <v>ABO</v>
      </c>
      <c r="BI1068" s="49" t="str">
        <f t="shared" si="8"/>
        <v>HEA</v>
      </c>
      <c r="BJ1068" s="49" t="str">
        <f t="shared" si="8"/>
        <v>CRI</v>
      </c>
      <c r="BK1068" s="49" t="str">
        <f t="shared" si="8"/>
        <v>ECO</v>
      </c>
      <c r="BL1068" s="49" t="str">
        <f t="shared" si="8"/>
        <v>RAC</v>
      </c>
      <c r="BM1068" s="47" t="s">
        <v>3</v>
      </c>
      <c r="BT1068" s="39" t="s">
        <v>568</v>
      </c>
      <c r="BU1068" s="38" t="s">
        <v>581</v>
      </c>
      <c r="BX1068" s="2" t="str">
        <f>CONCATENATE(BY1069,BY1070,BY1071)</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069" spans="1:79" ht="19.95" customHeight="1">
      <c r="A1069" s="224"/>
      <c r="B1069" s="1165" t="str">
        <f>BB1069</f>
        <v>Shut down ICE! Stop building the wall. End racism at the border. Stop separating families &amp; caging children. Stop criminalizing being born elsewhere.</v>
      </c>
      <c r="C1069" s="1166"/>
      <c r="D1069" s="1166"/>
      <c r="E1069" s="1166"/>
      <c r="F1069" s="1166"/>
      <c r="G1069" s="1167"/>
      <c r="H1069" s="1082" t="str">
        <f>BB1070</f>
        <v>Build the wall! Stem the tide of migrants, especially those who evade the law others dutifully follow. Then vet entry based on merit. MAGA!</v>
      </c>
      <c r="I1069" s="1082"/>
      <c r="J1069" s="1082"/>
      <c r="K1069" s="1082"/>
      <c r="L1069" s="1082"/>
      <c r="M1069" s="1083"/>
      <c r="N1069" s="225"/>
      <c r="AC1069" s="1"/>
      <c r="BB1069" s="2" t="str">
        <f>IF($C$1047=$BB$1047,BE1069,IF($C$1047=$BB$1048,BF1069,IF($C$1047=$BB$1049,BG1069,IF($C$1047=$BB$1050,BH1069,IF($C$1047=$BB$1051,BI1069,IF($C$1047=$BB$1052,BJ1069,IF($C$1047=$BB$1053,BK1069,IF($C$1047=$BB$1054,BL1069,""))))))))</f>
        <v>Shut down ICE! Stop building the wall. End racism at the border. Stop separating families &amp; caging children. Stop criminalizing being born elsewhere.</v>
      </c>
      <c r="BD1069" s="48" t="s">
        <v>93</v>
      </c>
      <c r="BE1069" s="2" t="s">
        <v>163</v>
      </c>
      <c r="BF1069" s="2" t="s">
        <v>159</v>
      </c>
      <c r="BG1069" s="2" t="s">
        <v>165</v>
      </c>
      <c r="BH1069" s="2" t="s">
        <v>167</v>
      </c>
      <c r="BI1069" s="2" t="s">
        <v>169</v>
      </c>
      <c r="BJ1069" s="2" t="s">
        <v>171</v>
      </c>
      <c r="BK1069" s="2" t="s">
        <v>173</v>
      </c>
      <c r="BL1069" s="2" t="s">
        <v>175</v>
      </c>
      <c r="BM1069" s="47" t="s">
        <v>3</v>
      </c>
      <c r="BT1069" s="39" t="s">
        <v>198</v>
      </c>
      <c r="BU1069" s="38" t="s">
        <v>582</v>
      </c>
      <c r="BY1069" s="2" t="s">
        <v>747</v>
      </c>
    </row>
    <row r="1070" spans="1:79" ht="19.95" customHeight="1">
      <c r="A1070" s="224"/>
      <c r="B1070" s="1168"/>
      <c r="C1070" s="1169"/>
      <c r="D1070" s="1169"/>
      <c r="E1070" s="1169"/>
      <c r="F1070" s="1169"/>
      <c r="G1070" s="1170"/>
      <c r="H1070" s="1084"/>
      <c r="I1070" s="1084"/>
      <c r="J1070" s="1084"/>
      <c r="K1070" s="1084"/>
      <c r="L1070" s="1084"/>
      <c r="M1070" s="1085"/>
      <c r="N1070" s="225"/>
      <c r="AC1070" s="1"/>
      <c r="BB1070" s="2" t="str">
        <f>IF($C$1047=$BB$1047,BE1070,IF($C$1047=$BB$1048,BF1070,IF($C$1047=$BB$1049,BG1070,IF($C$1047=$BB$1050,BH1070,IF($C$1047=$BB$1051,BI1070,IF($C$1047=$BB$1052,BJ1070,IF($C$1047=$BB$1053,BK1070,IF($C$1047=$BB$1054,BL1070,""))))))))</f>
        <v>Build the wall! Stem the tide of migrants, especially those who evade the law others dutifully follow. Then vet entry based on merit. MAGA!</v>
      </c>
      <c r="BD1070" s="48" t="s">
        <v>94</v>
      </c>
      <c r="BE1070" s="2" t="s">
        <v>164</v>
      </c>
      <c r="BF1070" s="2" t="s">
        <v>1037</v>
      </c>
      <c r="BG1070" s="2" t="s">
        <v>166</v>
      </c>
      <c r="BH1070" s="2" t="s">
        <v>168</v>
      </c>
      <c r="BI1070" s="2" t="s">
        <v>170</v>
      </c>
      <c r="BJ1070" s="2" t="s">
        <v>172</v>
      </c>
      <c r="BK1070" s="2" t="s">
        <v>174</v>
      </c>
      <c r="BL1070" s="2" t="s">
        <v>176</v>
      </c>
      <c r="BM1070" s="47" t="s">
        <v>3</v>
      </c>
      <c r="BT1070" s="39" t="s">
        <v>569</v>
      </c>
      <c r="BU1070" s="38" t="s">
        <v>583</v>
      </c>
      <c r="BY1070" s="2" t="s">
        <v>749</v>
      </c>
    </row>
    <row r="1071" spans="1:79" ht="19.95" customHeight="1">
      <c r="A1071" s="224"/>
      <c r="B1071" s="1168"/>
      <c r="C1071" s="1169"/>
      <c r="D1071" s="1169"/>
      <c r="E1071" s="1169"/>
      <c r="F1071" s="1169"/>
      <c r="G1071" s="1170"/>
      <c r="H1071" s="1084"/>
      <c r="I1071" s="1084"/>
      <c r="J1071" s="1084"/>
      <c r="K1071" s="1084"/>
      <c r="L1071" s="1084"/>
      <c r="M1071" s="1085"/>
      <c r="N1071" s="225"/>
      <c r="AC1071" s="1"/>
      <c r="BT1071" s="39" t="s">
        <v>570</v>
      </c>
      <c r="BU1071" s="38" t="s">
        <v>197</v>
      </c>
      <c r="BY1071" s="2" t="s">
        <v>750</v>
      </c>
    </row>
    <row r="1072" spans="1:79" ht="19.95" customHeight="1">
      <c r="A1072" s="224"/>
      <c r="B1072" s="1168"/>
      <c r="C1072" s="1169"/>
      <c r="D1072" s="1169"/>
      <c r="E1072" s="1169"/>
      <c r="F1072" s="1169"/>
      <c r="G1072" s="1170"/>
      <c r="H1072" s="1084"/>
      <c r="I1072" s="1084"/>
      <c r="J1072" s="1084"/>
      <c r="K1072" s="1084"/>
      <c r="L1072" s="1084"/>
      <c r="M1072" s="1085"/>
      <c r="N1072" s="225"/>
      <c r="AC1072" s="1"/>
    </row>
    <row r="1073" spans="1:65" ht="19.95" customHeight="1" thickBot="1">
      <c r="A1073" s="224"/>
      <c r="B1073" s="1171"/>
      <c r="C1073" s="1172"/>
      <c r="D1073" s="1172"/>
      <c r="E1073" s="1172"/>
      <c r="F1073" s="1172"/>
      <c r="G1073" s="1173"/>
      <c r="H1073" s="1086"/>
      <c r="I1073" s="1086"/>
      <c r="J1073" s="1086"/>
      <c r="K1073" s="1086"/>
      <c r="L1073" s="1086"/>
      <c r="M1073" s="1087"/>
      <c r="N1073" s="225"/>
      <c r="AC1073" s="1"/>
    </row>
    <row r="1074" spans="1:65">
      <c r="A1074" s="224"/>
      <c r="B1074" s="24"/>
      <c r="C1074" s="24"/>
      <c r="D1074" s="24"/>
      <c r="E1074" s="24"/>
      <c r="F1074" s="24"/>
      <c r="G1074" s="24"/>
      <c r="H1074" s="340"/>
      <c r="I1074" s="24"/>
      <c r="J1074" s="24"/>
      <c r="K1074" s="24"/>
      <c r="L1074" s="24"/>
      <c r="M1074" s="24"/>
      <c r="N1074" s="225"/>
      <c r="AC1074" s="1"/>
    </row>
    <row r="1075" spans="1:65">
      <c r="A1075" s="226"/>
      <c r="B1075" s="231"/>
      <c r="C1075" s="231"/>
      <c r="D1075" s="231"/>
      <c r="E1075" s="231"/>
      <c r="F1075" s="231"/>
      <c r="G1075" s="231"/>
      <c r="H1075" s="342"/>
      <c r="I1075" s="231"/>
      <c r="J1075" s="231"/>
      <c r="K1075" s="231"/>
      <c r="L1075" s="231"/>
      <c r="M1075" s="231"/>
      <c r="N1075" s="228"/>
      <c r="AC1075" s="1"/>
    </row>
    <row r="1076" spans="1:65" ht="30" customHeight="1">
      <c r="A1076" s="220" t="s">
        <v>1148</v>
      </c>
      <c r="B1076" s="914" t="s">
        <v>1156</v>
      </c>
      <c r="C1076" s="914"/>
      <c r="D1076" s="914"/>
      <c r="E1076" s="914"/>
      <c r="F1076" s="914"/>
      <c r="G1076" s="914"/>
      <c r="H1076" s="914"/>
      <c r="I1076" s="914"/>
      <c r="J1076" s="914"/>
      <c r="K1076" s="914"/>
      <c r="L1076" s="914"/>
      <c r="M1076" s="222"/>
      <c r="N1076" s="223" t="s">
        <v>1149</v>
      </c>
      <c r="AC1076" s="1"/>
    </row>
    <row r="1077" spans="1:65" ht="16.95" customHeight="1">
      <c r="A1077" s="224"/>
      <c r="B1077" s="236"/>
      <c r="C1077" s="236"/>
      <c r="D1077" s="236"/>
      <c r="E1077" s="236"/>
      <c r="F1077" s="236"/>
      <c r="G1077" s="236"/>
      <c r="H1077" s="343" t="str">
        <f>BB1077</f>
        <v xml:space="preserve"> for the politicized issue of immigration. </v>
      </c>
      <c r="I1077" s="236"/>
      <c r="J1077" s="236"/>
      <c r="K1077" s="236"/>
      <c r="L1077" s="236"/>
      <c r="M1077" s="236"/>
      <c r="N1077" s="225"/>
      <c r="AC1077" s="1"/>
      <c r="BB1077" s="2" t="str">
        <f>CONCATENATE(BD1077,BE1077,BF1077)</f>
        <v xml:space="preserve"> for the politicized issue of immigration. </v>
      </c>
      <c r="BD1077" s="2" t="s">
        <v>1047</v>
      </c>
      <c r="BE1077" s="2" t="str">
        <f>IF(C1047=BB1047,BF1047,IF(C1047=BB1048,BF1048,IF(C1047=BB1049,BF1049,IF(C1047=BB1050,BF1050,IF(C1047=BB1051,BF1051,IF(C1047=BB1052,BF1052,IF(1007=BB1053,BF1053,IF(C1047=BB1054,BF1054))))))))</f>
        <v>immigration</v>
      </c>
      <c r="BF1077" s="2" t="s">
        <v>1022</v>
      </c>
    </row>
    <row r="1078" spans="1:65" ht="19.95" customHeight="1">
      <c r="A1078" s="224"/>
      <c r="B1078" s="42" t="s">
        <v>6</v>
      </c>
      <c r="C1078" s="43"/>
      <c r="D1078" s="43"/>
      <c r="E1078" s="43"/>
      <c r="F1078" s="43"/>
      <c r="G1078" s="43"/>
      <c r="H1078" s="344"/>
      <c r="I1078" s="43"/>
      <c r="J1078" s="43"/>
      <c r="K1078" s="43"/>
      <c r="L1078" s="43"/>
      <c r="M1078" s="44" t="str">
        <f>B1078</f>
        <v>LISTEN</v>
      </c>
      <c r="N1078" s="225"/>
      <c r="AC1078" s="1"/>
      <c r="BE1078" s="49" t="str">
        <f t="shared" ref="BE1078:BL1078" si="9">BE1068</f>
        <v>IMM</v>
      </c>
      <c r="BF1078" s="49" t="str">
        <f t="shared" si="9"/>
        <v>CLI</v>
      </c>
      <c r="BG1078" s="49" t="str">
        <f t="shared" si="9"/>
        <v>GUN</v>
      </c>
      <c r="BH1078" s="49" t="str">
        <f t="shared" si="9"/>
        <v>ABO</v>
      </c>
      <c r="BI1078" s="49" t="str">
        <f t="shared" si="9"/>
        <v>HEA</v>
      </c>
      <c r="BJ1078" s="49" t="str">
        <f t="shared" si="9"/>
        <v>CRI</v>
      </c>
      <c r="BK1078" s="49" t="str">
        <f t="shared" si="9"/>
        <v>ECO</v>
      </c>
      <c r="BL1078" s="49" t="str">
        <f t="shared" si="9"/>
        <v>RAC</v>
      </c>
    </row>
    <row r="1079" spans="1:65" ht="19.95" customHeight="1">
      <c r="A1079" s="224"/>
      <c r="B1079" s="1169" t="str">
        <f>BB1079</f>
        <v>“I need to support others like me to move away from threats created by systemic inequities, and toward inclusive opportunities respecting our unique qualities.”</v>
      </c>
      <c r="C1079" s="1169"/>
      <c r="D1079" s="1169"/>
      <c r="E1079" s="1169"/>
      <c r="F1079" s="1169"/>
      <c r="G1079" s="1169"/>
      <c r="H1079" s="1248" t="str">
        <f>BB1080</f>
        <v>“I need to be freer from threats of personal violence from outsiders, including foreign threats against the cohesion of my family and close-knit communities.”</v>
      </c>
      <c r="I1079" s="1248"/>
      <c r="J1079" s="1248"/>
      <c r="K1079" s="1248"/>
      <c r="L1079" s="1248"/>
      <c r="M1079" s="1248"/>
      <c r="N1079" s="225"/>
      <c r="AC1079" s="1"/>
      <c r="BB1079" s="2" t="str">
        <f>IF($C$1047=BB$1047,BE1079,IF($C$1047=BB$1048,BF1079,IF($C$1047=BB$1049,BG1079,IF($C$1047=BB$1050,BH1079,IF($C$1047=BB$1051,BI1079,IF($C$1047=BB$1052,BJ1079,IF($C$1047=BB$1053,BK1079,IF($C$1047=BB$1054,BL1079,""))))))))</f>
        <v>“I need to support others like me to move away from threats created by systemic inequities, and toward inclusive opportunities respecting our unique qualities.”</v>
      </c>
      <c r="BD1079" s="48" t="s">
        <v>95</v>
      </c>
      <c r="BE1079" s="2" t="s">
        <v>177</v>
      </c>
      <c r="BF1079" s="2" t="s">
        <v>195</v>
      </c>
      <c r="BG1079" s="2" t="s">
        <v>205</v>
      </c>
      <c r="BH1079" s="2" t="s">
        <v>215</v>
      </c>
      <c r="BI1079" s="2" t="s">
        <v>224</v>
      </c>
      <c r="BJ1079" s="2" t="s">
        <v>234</v>
      </c>
      <c r="BK1079" s="2" t="s">
        <v>244</v>
      </c>
      <c r="BL1079" s="2" t="s">
        <v>253</v>
      </c>
      <c r="BM1079" s="47" t="s">
        <v>3</v>
      </c>
    </row>
    <row r="1080" spans="1:65" ht="19.95" customHeight="1">
      <c r="A1080" s="224"/>
      <c r="B1080" s="1169"/>
      <c r="C1080" s="1169"/>
      <c r="D1080" s="1169"/>
      <c r="E1080" s="1169"/>
      <c r="F1080" s="1169"/>
      <c r="G1080" s="1169"/>
      <c r="H1080" s="1248"/>
      <c r="I1080" s="1248"/>
      <c r="J1080" s="1248"/>
      <c r="K1080" s="1248"/>
      <c r="L1080" s="1248"/>
      <c r="M1080" s="1248"/>
      <c r="N1080" s="225"/>
      <c r="AC1080" s="1"/>
      <c r="BB1080" s="2" t="str">
        <f>IF($C$1047=BB$1047,BE1080,IF($C$1047=BB$1048,BF1080,IF($C$1047=BB$1049,BG1080,IF($C$1047=BB$1050,BH1080,IF($C$1047=BB$1051,BI1080,IF($C$1047=BB$1052,BJ1080,IF($C$1047=BB$1053,BK1080,IF($C$1047=BB$1054,BL1080,""))))))))</f>
        <v>“I need to be freer from threats of personal violence from outsiders, including foreign threats against the cohesion of my family and close-knit communities.”</v>
      </c>
      <c r="BD1080" s="48" t="s">
        <v>96</v>
      </c>
      <c r="BE1080" s="2" t="s">
        <v>178</v>
      </c>
      <c r="BF1080" s="2" t="s">
        <v>196</v>
      </c>
      <c r="BG1080" s="2" t="s">
        <v>206</v>
      </c>
      <c r="BH1080" s="2" t="s">
        <v>216</v>
      </c>
      <c r="BI1080" s="2" t="s">
        <v>225</v>
      </c>
      <c r="BJ1080" s="2" t="s">
        <v>235</v>
      </c>
      <c r="BK1080" s="2" t="s">
        <v>245</v>
      </c>
      <c r="BL1080" s="2" t="s">
        <v>254</v>
      </c>
      <c r="BM1080" s="47" t="s">
        <v>3</v>
      </c>
    </row>
    <row r="1081" spans="1:65" ht="19.95" customHeight="1">
      <c r="A1081" s="224"/>
      <c r="B1081" s="1169"/>
      <c r="C1081" s="1169"/>
      <c r="D1081" s="1169"/>
      <c r="E1081" s="1169"/>
      <c r="F1081" s="1169"/>
      <c r="G1081" s="1169"/>
      <c r="H1081" s="1248"/>
      <c r="I1081" s="1248"/>
      <c r="J1081" s="1248"/>
      <c r="K1081" s="1248"/>
      <c r="L1081" s="1248"/>
      <c r="M1081" s="1248"/>
      <c r="N1081" s="225"/>
      <c r="AC1081" s="1"/>
    </row>
    <row r="1082" spans="1:65" ht="19.95" customHeight="1">
      <c r="A1082" s="224"/>
      <c r="B1082" s="1169"/>
      <c r="C1082" s="1169"/>
      <c r="D1082" s="1169"/>
      <c r="E1082" s="1169"/>
      <c r="F1082" s="1169"/>
      <c r="G1082" s="1169"/>
      <c r="H1082" s="1248"/>
      <c r="I1082" s="1248"/>
      <c r="J1082" s="1248"/>
      <c r="K1082" s="1248"/>
      <c r="L1082" s="1248"/>
      <c r="M1082" s="1248"/>
      <c r="N1082" s="225"/>
      <c r="AC1082" s="1"/>
    </row>
    <row r="1083" spans="1:65" ht="19.95" customHeight="1">
      <c r="A1083" s="224"/>
      <c r="B1083" s="1169"/>
      <c r="C1083" s="1169"/>
      <c r="D1083" s="1169"/>
      <c r="E1083" s="1169"/>
      <c r="F1083" s="1169"/>
      <c r="G1083" s="1169"/>
      <c r="H1083" s="1248"/>
      <c r="I1083" s="1248"/>
      <c r="J1083" s="1248"/>
      <c r="K1083" s="1248"/>
      <c r="L1083" s="1248"/>
      <c r="M1083" s="1248"/>
      <c r="N1083" s="225"/>
      <c r="AC1083" s="1"/>
    </row>
    <row r="1084" spans="1:65" ht="19.95" customHeight="1">
      <c r="A1084" s="224"/>
      <c r="B1084" s="25"/>
      <c r="C1084" s="25"/>
      <c r="D1084" s="25"/>
      <c r="E1084" s="25"/>
      <c r="F1084" s="25"/>
      <c r="G1084" s="25"/>
      <c r="H1084" s="345"/>
      <c r="I1084" s="25"/>
      <c r="J1084" s="25"/>
      <c r="K1084" s="25"/>
      <c r="L1084" s="25"/>
      <c r="M1084" s="25"/>
      <c r="N1084" s="225"/>
      <c r="AC1084" s="1"/>
    </row>
    <row r="1085" spans="1:65" ht="19.95" customHeight="1" thickBot="1">
      <c r="A1085" s="224"/>
      <c r="B1085" s="42" t="s">
        <v>8</v>
      </c>
      <c r="C1085" s="43"/>
      <c r="D1085" s="43"/>
      <c r="E1085" s="43"/>
      <c r="F1085" s="43"/>
      <c r="G1085" s="43"/>
      <c r="H1085" s="344"/>
      <c r="I1085" s="43"/>
      <c r="J1085" s="43"/>
      <c r="K1085" s="43"/>
      <c r="L1085" s="43"/>
      <c r="M1085" s="44" t="str">
        <f>B1085</f>
        <v>AFFIRM</v>
      </c>
      <c r="N1085" s="225"/>
      <c r="AC1085" s="1"/>
      <c r="BE1085" s="49" t="str">
        <f>BE1078</f>
        <v>IMM</v>
      </c>
      <c r="BF1085" s="49" t="str">
        <f t="shared" ref="BF1085:BL1085" si="10">BF1078</f>
        <v>CLI</v>
      </c>
      <c r="BG1085" s="49" t="str">
        <f t="shared" si="10"/>
        <v>GUN</v>
      </c>
      <c r="BH1085" s="49" t="str">
        <f t="shared" si="10"/>
        <v>ABO</v>
      </c>
      <c r="BI1085" s="49" t="str">
        <f t="shared" si="10"/>
        <v>HEA</v>
      </c>
      <c r="BJ1085" s="49" t="str">
        <f t="shared" si="10"/>
        <v>CRI</v>
      </c>
      <c r="BK1085" s="49" t="str">
        <f t="shared" si="10"/>
        <v>ECO</v>
      </c>
      <c r="BL1085" s="49" t="str">
        <f t="shared" si="10"/>
        <v>RAC</v>
      </c>
      <c r="BM1085" s="47" t="s">
        <v>3</v>
      </c>
    </row>
    <row r="1086" spans="1:65" ht="19.95" customHeight="1">
      <c r="A1086" s="224"/>
      <c r="B1086" s="1119" t="str">
        <f>BB1086</f>
        <v>inclusion</v>
      </c>
      <c r="C1086" s="1120"/>
      <c r="D1086" s="1120"/>
      <c r="E1086" s="35"/>
      <c r="F1086" s="35"/>
      <c r="G1086" s="35"/>
      <c r="H1086" s="346"/>
      <c r="I1086" s="155"/>
      <c r="J1086" s="155"/>
      <c r="K1086" s="1160" t="str">
        <f>BB1089</f>
        <v>security</v>
      </c>
      <c r="L1086" s="1160"/>
      <c r="M1086" s="1161"/>
      <c r="N1086" s="225"/>
      <c r="AC1086" s="1"/>
      <c r="BB1086" s="2" t="str">
        <f>IF($C$1047=BB$1047,BE1086,IF($C$1047=BB$1048,BF1086,IF($C$1047=BB$1049,BG1086,IF($C$1047=BB$1050,BH1086,IF($C$1047=BB$1051,BI1086,IF($C$1047=BB$1052,BJ1086,IF($C$1047=BB$1053,BK1086,IF($C$1047=BB$1054,BL1086,""))))))))</f>
        <v>inclusion</v>
      </c>
      <c r="BD1086" s="48" t="s">
        <v>115</v>
      </c>
      <c r="BE1086" s="2" t="s">
        <v>179</v>
      </c>
      <c r="BF1086" s="2" t="s">
        <v>197</v>
      </c>
      <c r="BG1086" s="2" t="s">
        <v>207</v>
      </c>
      <c r="BH1086" s="2" t="s">
        <v>217</v>
      </c>
      <c r="BI1086" s="2" t="s">
        <v>226</v>
      </c>
      <c r="BJ1086" s="2" t="s">
        <v>236</v>
      </c>
      <c r="BK1086" s="2" t="s">
        <v>246</v>
      </c>
      <c r="BL1086" s="2" t="s">
        <v>255</v>
      </c>
      <c r="BM1086" s="47" t="s">
        <v>3</v>
      </c>
    </row>
    <row r="1087" spans="1:65" ht="19.95" customHeight="1">
      <c r="A1087" s="224"/>
      <c r="B1087" s="36"/>
      <c r="C1087" s="7"/>
      <c r="D1087" s="7"/>
      <c r="E1087" s="1162" t="str">
        <f>BB1087</f>
        <v>uniqueness</v>
      </c>
      <c r="F1087" s="1162"/>
      <c r="G1087" s="1162"/>
      <c r="H1087" s="1163" t="str">
        <f>BB1088</f>
        <v>cohesion</v>
      </c>
      <c r="I1087" s="1164"/>
      <c r="J1087" s="1164"/>
      <c r="K1087" s="135"/>
      <c r="L1087" s="135"/>
      <c r="M1087" s="156"/>
      <c r="N1087" s="225"/>
      <c r="AC1087" s="1"/>
      <c r="BB1087" s="2" t="str">
        <f>IF($C$1047=BB$1047,BE1087,IF($C$1047=BB$1048,BF1087,IF($C$1047=BB$1049,BG1087,IF($C$1047=BB$1050,BH1087,IF($C$1047=BB$1051,BI1087,IF($C$1047=BB$1052,BJ1087,IF($C$1047=BB$1053,BK1087,IF($C$1047=BB$1054,BL1087,""))))))))</f>
        <v>uniqueness</v>
      </c>
      <c r="BD1087" s="48" t="s">
        <v>117</v>
      </c>
      <c r="BE1087" s="46" t="s">
        <v>180</v>
      </c>
      <c r="BF1087" s="2" t="s">
        <v>198</v>
      </c>
      <c r="BG1087" s="2" t="s">
        <v>208</v>
      </c>
      <c r="BH1087" s="2" t="s">
        <v>218</v>
      </c>
      <c r="BI1087" s="2" t="s">
        <v>229</v>
      </c>
      <c r="BJ1087" s="2" t="s">
        <v>237</v>
      </c>
      <c r="BK1087" s="2" t="s">
        <v>208</v>
      </c>
      <c r="BL1087" s="2" t="s">
        <v>256</v>
      </c>
      <c r="BM1087" s="47" t="s">
        <v>3</v>
      </c>
    </row>
    <row r="1088" spans="1:65" ht="19.95" customHeight="1">
      <c r="A1088" s="224"/>
      <c r="B1088" s="36"/>
      <c r="C1088" s="7"/>
      <c r="D1088" s="7"/>
      <c r="E1088" s="7"/>
      <c r="F1088" s="7"/>
      <c r="G1088" s="7"/>
      <c r="H1088" s="347"/>
      <c r="I1088" s="135"/>
      <c r="J1088" s="135"/>
      <c r="K1088" s="135"/>
      <c r="L1088" s="135"/>
      <c r="M1088" s="156"/>
      <c r="N1088" s="225"/>
      <c r="AC1088" s="1"/>
      <c r="BB1088" s="2" t="str">
        <f>IF($C$1047=BB$1047,BE1088,IF($C$1047=BB$1048,BF1088,IF($C$1047=BB$1049,BG1088,IF($C$1047=BB$1050,BH1088,IF($C$1047=BB$1051,BI1088,IF($C$1047=BB$1052,BJ1088,IF($C$1047=BB$1053,BK1088,IF($C$1047=BB$1054,BL1088,""))))))))</f>
        <v>cohesion</v>
      </c>
      <c r="BD1088" s="48" t="s">
        <v>118</v>
      </c>
      <c r="BE1088" s="2" t="s">
        <v>181</v>
      </c>
      <c r="BF1088" s="2" t="s">
        <v>199</v>
      </c>
      <c r="BG1088" s="2" t="s">
        <v>209</v>
      </c>
      <c r="BH1088" s="2" t="s">
        <v>219</v>
      </c>
      <c r="BI1088" s="2" t="s">
        <v>227</v>
      </c>
      <c r="BJ1088" s="2" t="s">
        <v>238</v>
      </c>
      <c r="BK1088" s="2" t="s">
        <v>247</v>
      </c>
      <c r="BL1088" s="2" t="s">
        <v>257</v>
      </c>
      <c r="BM1088" s="47" t="s">
        <v>3</v>
      </c>
    </row>
    <row r="1089" spans="1:65" ht="19.95" customHeight="1" thickBot="1">
      <c r="A1089" s="224"/>
      <c r="B1089" s="1114" t="s">
        <v>11</v>
      </c>
      <c r="C1089" s="1115"/>
      <c r="D1089" s="1115"/>
      <c r="E1089" s="1116" t="s">
        <v>12</v>
      </c>
      <c r="F1089" s="1116"/>
      <c r="G1089" s="1116"/>
      <c r="H1089" s="1117" t="s">
        <v>13</v>
      </c>
      <c r="I1089" s="1118"/>
      <c r="J1089" s="1118"/>
      <c r="K1089" s="1061" t="s">
        <v>14</v>
      </c>
      <c r="L1089" s="1061"/>
      <c r="M1089" s="1062"/>
      <c r="N1089" s="225"/>
      <c r="AC1089" s="1"/>
      <c r="BB1089" s="2" t="str">
        <f>IF($C$1047=BB$1047,BE1089,IF($C$1047=BB$1048,BF1089,IF($C$1047=BB$1049,BG1089,IF($C$1047=BB$1050,BH1089,IF($C$1047=BB$1051,BI1089,IF($C$1047=BB$1052,BJ1089,IF($C$1047=BB$1053,BK1089,IF($C$1047=BB$1054,BL1089,""))))))))</f>
        <v>security</v>
      </c>
      <c r="BD1089" s="48" t="s">
        <v>116</v>
      </c>
      <c r="BE1089" s="2" t="s">
        <v>182</v>
      </c>
      <c r="BF1089" s="2" t="s">
        <v>200</v>
      </c>
      <c r="BG1089" s="2" t="s">
        <v>210</v>
      </c>
      <c r="BH1089" s="2" t="s">
        <v>220</v>
      </c>
      <c r="BI1089" s="2" t="s">
        <v>228</v>
      </c>
      <c r="BJ1089" s="2" t="s">
        <v>239</v>
      </c>
      <c r="BK1089" s="2" t="s">
        <v>248</v>
      </c>
      <c r="BL1089" s="2" t="s">
        <v>258</v>
      </c>
    </row>
    <row r="1090" spans="1:65" ht="19.95" customHeight="1" thickBot="1">
      <c r="A1090" s="224"/>
      <c r="B1090" s="42" t="s">
        <v>10</v>
      </c>
      <c r="C1090" s="43"/>
      <c r="D1090" s="43"/>
      <c r="E1090" s="43"/>
      <c r="F1090" s="43"/>
      <c r="G1090" s="43"/>
      <c r="H1090" s="344"/>
      <c r="I1090" s="43"/>
      <c r="J1090" s="43"/>
      <c r="K1090" s="43"/>
      <c r="L1090" s="43"/>
      <c r="M1090" s="44" t="str">
        <f>B1090</f>
        <v>OFFER</v>
      </c>
      <c r="N1090" s="225"/>
      <c r="AC1090" s="1"/>
      <c r="BE1090" s="49" t="str">
        <f>BE1085</f>
        <v>IMM</v>
      </c>
      <c r="BF1090" s="49" t="str">
        <f t="shared" ref="BF1090:BL1090" si="11">BF1085</f>
        <v>CLI</v>
      </c>
      <c r="BG1090" s="49" t="str">
        <f t="shared" si="11"/>
        <v>GUN</v>
      </c>
      <c r="BH1090" s="49" t="str">
        <f t="shared" si="11"/>
        <v>ABO</v>
      </c>
      <c r="BI1090" s="49" t="str">
        <f t="shared" si="11"/>
        <v>HEA</v>
      </c>
      <c r="BJ1090" s="49" t="str">
        <f t="shared" si="11"/>
        <v>CRI</v>
      </c>
      <c r="BK1090" s="49" t="str">
        <f t="shared" si="11"/>
        <v>ECO</v>
      </c>
      <c r="BL1090" s="49" t="str">
        <f t="shared" si="11"/>
        <v>RAC</v>
      </c>
    </row>
    <row r="1091" spans="1:65" ht="19.95" customHeight="1">
      <c r="A1091" s="224"/>
      <c r="B1091" s="1063" t="str">
        <f>BB1091</f>
        <v>The more I honor your unmet self-need for security, I trust you’ll find it easier to respect our guarded self-need for uniqueness.</v>
      </c>
      <c r="C1091" s="1064"/>
      <c r="D1091" s="1064"/>
      <c r="E1091" s="1064"/>
      <c r="F1091" s="1064"/>
      <c r="G1091" s="1064"/>
      <c r="H1091" s="1082" t="str">
        <f>BB1093</f>
        <v>The more I respect your guarded self-need for uniqueness, I trust you’ll find it easier to honor our unmet self-need for security.</v>
      </c>
      <c r="I1091" s="1082"/>
      <c r="J1091" s="1082"/>
      <c r="K1091" s="1082"/>
      <c r="L1091" s="1082"/>
      <c r="M1091" s="1083"/>
      <c r="N1091" s="225"/>
      <c r="AC1091" s="1"/>
      <c r="BB1091" s="2" t="str">
        <f>IF($C$1047=BB$1047,BE1091,IF($C$1047=BB$1048,BF1091,IF($C$1047=BB$1049,BG1091,IF($C$1047=BB$1050,BH1091,IF($C$1047=BB$1051,BI1091,IF($C$1047=BB$1052,BJ1091,IF($C$1047=BB$1053,BK1091,IF($C$1047=BB$1054,BL1091,""))))))))</f>
        <v>The more I honor your unmet self-need for security, I trust you’ll find it easier to respect our guarded self-need for uniqueness.</v>
      </c>
      <c r="BD1091" s="48" t="s">
        <v>97</v>
      </c>
      <c r="BE1091" s="46" t="s">
        <v>183</v>
      </c>
      <c r="BF1091" s="2" t="s">
        <v>201</v>
      </c>
      <c r="BG1091" s="2" t="s">
        <v>211</v>
      </c>
      <c r="BH1091" s="2" t="s">
        <v>596</v>
      </c>
      <c r="BI1091" s="2" t="s">
        <v>230</v>
      </c>
      <c r="BJ1091" s="2" t="s">
        <v>240</v>
      </c>
      <c r="BK1091" s="2" t="s">
        <v>249</v>
      </c>
      <c r="BL1091" s="2" t="s">
        <v>259</v>
      </c>
      <c r="BM1091" s="47" t="s">
        <v>3</v>
      </c>
    </row>
    <row r="1092" spans="1:65" ht="19.95" customHeight="1">
      <c r="A1092" s="224"/>
      <c r="B1092" s="1065"/>
      <c r="C1092" s="1066"/>
      <c r="D1092" s="1066"/>
      <c r="E1092" s="1066"/>
      <c r="F1092" s="1066"/>
      <c r="G1092" s="1066"/>
      <c r="H1092" s="1084"/>
      <c r="I1092" s="1084"/>
      <c r="J1092" s="1084"/>
      <c r="K1092" s="1084"/>
      <c r="L1092" s="1084"/>
      <c r="M1092" s="1085"/>
      <c r="N1092" s="225"/>
      <c r="AC1092" s="1"/>
      <c r="BB1092" s="2" t="str">
        <f>IF($C$1047=BB$1047,BE1092,IF($C$1047=BB$1048,BF1092,IF($C$1047=BB$1049,BG1092,IF($C$1047=BB$1050,BH1092,IF($C$1047=BB$1051,BI1092,IF($C$1047=BB$1052,BJ1092,IF($C$1047=BB$1053,BK1092,IF($C$1047=BB$1054,BL1092,""))))))))</f>
        <v>The more I respect your guarded social-need for cohesion, I trust you’ll find it easier to honor our unmet social-need for inclusion.</v>
      </c>
      <c r="BD1092" s="48" t="s">
        <v>98</v>
      </c>
      <c r="BE1092" s="46" t="s">
        <v>184</v>
      </c>
      <c r="BF1092" s="2" t="s">
        <v>202</v>
      </c>
      <c r="BG1092" s="2" t="s">
        <v>212</v>
      </c>
      <c r="BH1092" s="2" t="s">
        <v>221</v>
      </c>
      <c r="BI1092" s="2" t="s">
        <v>231</v>
      </c>
      <c r="BJ1092" s="2" t="s">
        <v>241</v>
      </c>
      <c r="BK1092" s="2" t="s">
        <v>250</v>
      </c>
      <c r="BL1092" s="2" t="s">
        <v>260</v>
      </c>
      <c r="BM1092" s="47" t="s">
        <v>3</v>
      </c>
    </row>
    <row r="1093" spans="1:65" ht="19.95" customHeight="1">
      <c r="A1093" s="224"/>
      <c r="B1093" s="1065"/>
      <c r="C1093" s="1066"/>
      <c r="D1093" s="1066"/>
      <c r="E1093" s="1066"/>
      <c r="F1093" s="1066"/>
      <c r="G1093" s="1066"/>
      <c r="H1093" s="1084"/>
      <c r="I1093" s="1084"/>
      <c r="J1093" s="1084"/>
      <c r="K1093" s="1084"/>
      <c r="L1093" s="1084"/>
      <c r="M1093" s="1085"/>
      <c r="N1093" s="225"/>
      <c r="AC1093" s="1"/>
      <c r="BB1093" s="2" t="str">
        <f>IF($C$1047=BB$1047,BE1093,IF($C$1047=BB$1048,BF1093,IF($C$1047=BB$1049,BG1093,IF($C$1047=BB$1050,BH1093,IF($C$1047=BB$1051,BI1093,IF($C$1047=BB$1052,BJ1093,IF($C$1047=BB$1053,BK1093,IF($C$1047=BB$1054,BL1093,""))))))))</f>
        <v>The more I respect your guarded self-need for uniqueness, I trust you’ll find it easier to honor our unmet self-need for security.</v>
      </c>
      <c r="BD1093" s="48" t="s">
        <v>99</v>
      </c>
      <c r="BE1093" s="46" t="s">
        <v>185</v>
      </c>
      <c r="BF1093" s="2" t="s">
        <v>203</v>
      </c>
      <c r="BG1093" s="2" t="s">
        <v>213</v>
      </c>
      <c r="BH1093" s="2" t="s">
        <v>222</v>
      </c>
      <c r="BI1093" s="2" t="s">
        <v>232</v>
      </c>
      <c r="BJ1093" s="2" t="s">
        <v>242</v>
      </c>
      <c r="BK1093" s="2" t="s">
        <v>251</v>
      </c>
      <c r="BL1093" s="2" t="s">
        <v>261</v>
      </c>
      <c r="BM1093" s="47" t="s">
        <v>3</v>
      </c>
    </row>
    <row r="1094" spans="1:65" ht="19.95" customHeight="1">
      <c r="A1094" s="224"/>
      <c r="B1094" s="1065"/>
      <c r="C1094" s="1066"/>
      <c r="D1094" s="1066"/>
      <c r="E1094" s="1066"/>
      <c r="F1094" s="1066"/>
      <c r="G1094" s="1066"/>
      <c r="H1094" s="1084"/>
      <c r="I1094" s="1084"/>
      <c r="J1094" s="1084"/>
      <c r="K1094" s="1084"/>
      <c r="L1094" s="1084"/>
      <c r="M1094" s="1085"/>
      <c r="N1094" s="225"/>
      <c r="AC1094" s="1"/>
      <c r="BB1094" s="2" t="str">
        <f>IF($C$1047=BB$1047,BE1094,IF($C$1047=BB$1048,BF1094,IF($C$1047=BB$1049,BG1094,IF($C$1047=BB$1050,BH1094,IF($C$1047=BB$1051,BI1094,IF($C$1047=BB$1052,BJ1094,IF($C$1047=BB$1053,BK1094,IF($C$1047=BB$1054,BL1094,""))))))))</f>
        <v>The more I honor your unmet social-need for inclusion, I trust you’ll find it easier to respect our guarded social-need for cohesion.</v>
      </c>
      <c r="BD1094" s="48" t="s">
        <v>100</v>
      </c>
      <c r="BE1094" s="46" t="s">
        <v>186</v>
      </c>
      <c r="BF1094" s="2" t="s">
        <v>204</v>
      </c>
      <c r="BG1094" s="2" t="s">
        <v>214</v>
      </c>
      <c r="BH1094" s="2" t="s">
        <v>223</v>
      </c>
      <c r="BI1094" s="2" t="s">
        <v>233</v>
      </c>
      <c r="BJ1094" s="2" t="s">
        <v>243</v>
      </c>
      <c r="BK1094" s="2" t="s">
        <v>252</v>
      </c>
      <c r="BL1094" s="2" t="s">
        <v>262</v>
      </c>
      <c r="BM1094" s="47" t="s">
        <v>3</v>
      </c>
    </row>
    <row r="1095" spans="1:65" ht="19.95" customHeight="1" thickBot="1">
      <c r="A1095" s="224"/>
      <c r="B1095" s="1067"/>
      <c r="C1095" s="1068"/>
      <c r="D1095" s="1068"/>
      <c r="E1095" s="1068"/>
      <c r="F1095" s="1068"/>
      <c r="G1095" s="1068"/>
      <c r="H1095" s="1086"/>
      <c r="I1095" s="1086"/>
      <c r="J1095" s="1086"/>
      <c r="K1095" s="1086"/>
      <c r="L1095" s="1086"/>
      <c r="M1095" s="1087"/>
      <c r="N1095" s="225"/>
      <c r="AC1095" s="1"/>
    </row>
    <row r="1096" spans="1:65" ht="19.95" customHeight="1">
      <c r="A1096" s="224"/>
      <c r="B1096" s="1063" t="str">
        <f>BB1092</f>
        <v>The more I respect your guarded social-need for cohesion, I trust you’ll find it easier to honor our unmet social-need for inclusion.</v>
      </c>
      <c r="C1096" s="1064"/>
      <c r="D1096" s="1064"/>
      <c r="E1096" s="1064"/>
      <c r="F1096" s="1064"/>
      <c r="G1096" s="1064"/>
      <c r="H1096" s="1082" t="str">
        <f>BB1094</f>
        <v>The more I honor your unmet social-need for inclusion, I trust you’ll find it easier to respect our guarded social-need for cohesion.</v>
      </c>
      <c r="I1096" s="1082"/>
      <c r="J1096" s="1082"/>
      <c r="K1096" s="1082"/>
      <c r="L1096" s="1082"/>
      <c r="M1096" s="1083"/>
      <c r="N1096" s="225"/>
      <c r="AC1096" s="1"/>
      <c r="BB1096" s="159" t="s">
        <v>1038</v>
      </c>
      <c r="BD1096" s="2" t="s">
        <v>1233</v>
      </c>
    </row>
    <row r="1097" spans="1:65" ht="19.95" customHeight="1">
      <c r="A1097" s="224"/>
      <c r="B1097" s="1065"/>
      <c r="C1097" s="1066"/>
      <c r="D1097" s="1066"/>
      <c r="E1097" s="1066"/>
      <c r="F1097" s="1066"/>
      <c r="G1097" s="1066"/>
      <c r="H1097" s="1084"/>
      <c r="I1097" s="1084"/>
      <c r="J1097" s="1084"/>
      <c r="K1097" s="1084"/>
      <c r="L1097" s="1084"/>
      <c r="M1097" s="1085"/>
      <c r="N1097" s="225"/>
      <c r="AC1097" s="1"/>
      <c r="BB1097" s="159" t="s">
        <v>1039</v>
      </c>
      <c r="BD1097" s="2" t="s">
        <v>1049</v>
      </c>
    </row>
    <row r="1098" spans="1:65" ht="19.95" customHeight="1">
      <c r="A1098" s="224"/>
      <c r="B1098" s="1065"/>
      <c r="C1098" s="1066"/>
      <c r="D1098" s="1066"/>
      <c r="E1098" s="1066"/>
      <c r="F1098" s="1066"/>
      <c r="G1098" s="1066"/>
      <c r="H1098" s="1084"/>
      <c r="I1098" s="1084"/>
      <c r="J1098" s="1084"/>
      <c r="K1098" s="1084"/>
      <c r="L1098" s="1084"/>
      <c r="M1098" s="1085"/>
      <c r="N1098" s="225"/>
      <c r="AC1098" s="1"/>
      <c r="BB1098" s="159" t="s">
        <v>1040</v>
      </c>
      <c r="BD1098" s="2" t="s">
        <v>1048</v>
      </c>
    </row>
    <row r="1099" spans="1:65" ht="19.95" customHeight="1">
      <c r="A1099" s="224"/>
      <c r="B1099" s="1065"/>
      <c r="C1099" s="1066"/>
      <c r="D1099" s="1066"/>
      <c r="E1099" s="1066"/>
      <c r="F1099" s="1066"/>
      <c r="G1099" s="1066"/>
      <c r="H1099" s="1084"/>
      <c r="I1099" s="1084"/>
      <c r="J1099" s="1084"/>
      <c r="K1099" s="1084"/>
      <c r="L1099" s="1084"/>
      <c r="M1099" s="1085"/>
      <c r="N1099" s="225"/>
      <c r="AC1099" s="1"/>
      <c r="BB1099" s="159" t="s">
        <v>1041</v>
      </c>
      <c r="BD1099" s="2" t="s">
        <v>1050</v>
      </c>
      <c r="BE1099" s="126"/>
      <c r="BF1099" s="126"/>
      <c r="BG1099" s="126"/>
      <c r="BH1099" s="126"/>
      <c r="BI1099" s="126"/>
      <c r="BJ1099" s="126"/>
      <c r="BK1099" s="126"/>
      <c r="BL1099" s="126"/>
    </row>
    <row r="1100" spans="1:65" ht="19.95" customHeight="1" thickBot="1">
      <c r="A1100" s="224"/>
      <c r="B1100" s="1067"/>
      <c r="C1100" s="1068"/>
      <c r="D1100" s="1068"/>
      <c r="E1100" s="1068"/>
      <c r="F1100" s="1068"/>
      <c r="G1100" s="1068"/>
      <c r="H1100" s="1086"/>
      <c r="I1100" s="1086"/>
      <c r="J1100" s="1086"/>
      <c r="K1100" s="1086"/>
      <c r="L1100" s="1086"/>
      <c r="M1100" s="1087"/>
      <c r="N1100" s="225"/>
      <c r="AC1100" s="1"/>
      <c r="BB1100" s="159" t="s">
        <v>1042</v>
      </c>
      <c r="BD1100" s="2" t="s">
        <v>1234</v>
      </c>
      <c r="BM1100" s="125"/>
    </row>
    <row r="1101" spans="1:65" ht="10.199999999999999" customHeight="1" thickBot="1">
      <c r="A1101" s="224"/>
      <c r="B1101" s="24"/>
      <c r="C1101" s="24"/>
      <c r="D1101" s="24"/>
      <c r="E1101" s="24"/>
      <c r="F1101" s="24"/>
      <c r="G1101" s="24"/>
      <c r="H1101" s="340"/>
      <c r="I1101" s="24"/>
      <c r="J1101" s="24"/>
      <c r="K1101" s="24"/>
      <c r="L1101" s="24"/>
      <c r="M1101" s="24"/>
      <c r="N1101" s="225"/>
      <c r="AC1101" s="1"/>
      <c r="BB1101" s="159" t="s">
        <v>1043</v>
      </c>
      <c r="BD1101" s="2" t="s">
        <v>1051</v>
      </c>
      <c r="BM1101" s="125"/>
    </row>
    <row r="1102" spans="1:65" ht="13.95" customHeight="1">
      <c r="A1102" s="224"/>
      <c r="B1102" s="24"/>
      <c r="C1102" s="24"/>
      <c r="D1102" s="24"/>
      <c r="E1102" s="24"/>
      <c r="F1102" s="24"/>
      <c r="G1102" s="950"/>
      <c r="H1102" s="951"/>
      <c r="I1102" s="951"/>
      <c r="J1102" s="951"/>
      <c r="K1102" s="951"/>
      <c r="L1102" s="951"/>
      <c r="M1102" s="952"/>
      <c r="N1102" s="225"/>
      <c r="AC1102" s="1"/>
      <c r="BB1102" s="159" t="s">
        <v>1044</v>
      </c>
      <c r="BD1102" s="2" t="s">
        <v>1052</v>
      </c>
      <c r="BM1102" s="125"/>
    </row>
    <row r="1103" spans="1:65" ht="13.95" customHeight="1">
      <c r="A1103" s="224"/>
      <c r="B1103" s="24"/>
      <c r="C1103" s="24"/>
      <c r="D1103" s="24"/>
      <c r="E1103" s="24"/>
      <c r="F1103" s="24"/>
      <c r="G1103" s="953"/>
      <c r="H1103" s="954"/>
      <c r="I1103" s="954"/>
      <c r="J1103" s="954"/>
      <c r="K1103" s="954"/>
      <c r="L1103" s="954"/>
      <c r="M1103" s="955"/>
      <c r="N1103" s="225"/>
      <c r="AC1103" s="1"/>
      <c r="BM1103" s="125"/>
    </row>
    <row r="1104" spans="1:65" ht="14.4" customHeight="1" thickBot="1">
      <c r="A1104" s="224"/>
      <c r="B1104" s="24"/>
      <c r="C1104" s="24"/>
      <c r="D1104" s="24"/>
      <c r="E1104" s="24"/>
      <c r="F1104" s="24"/>
      <c r="G1104" s="956"/>
      <c r="H1104" s="957"/>
      <c r="I1104" s="957"/>
      <c r="J1104" s="957"/>
      <c r="K1104" s="957"/>
      <c r="L1104" s="957"/>
      <c r="M1104" s="958"/>
      <c r="N1104" s="225"/>
      <c r="AC1104" s="1"/>
      <c r="BB1104" s="37" t="str">
        <f>CONCATENATE(BC1104,BD1104,BE1104,BF1104,BG1104,BH1104,BI1104,BJ1104)</f>
        <v xml:space="preserve">FALSEInstead of reacting to others with a different immigration view, or avoiding politics altogether, consider the viable alternative of responding to each other's needs behind the political rhetoric. You can listen for their immigration impacted needs without agreeing how you or others should respond to them. Their needs in how they experience immigration will not go away when ignored, but persist even more painfully. So let us be more mature in how we respond to them, modeling how others are to respond to yours. </v>
      </c>
      <c r="BC1104" s="2" t="b">
        <f>IF(G1102=BB1096,BD1096,IF(G1102=BB1097,BD1097,IF(G1102=BB1098,BD1098,IF(G1102=BB1099,BD1099,IF(G1102=BB1100,BD1100,IF(G1102=BB1101,BD1101,IF(G1102=BB1102,BD1102)))))))</f>
        <v>0</v>
      </c>
      <c r="BD1104" s="2" t="s">
        <v>1053</v>
      </c>
      <c r="BE1104" s="2" t="str">
        <f>IF($C$1047="","political",IF($C$1047=$BB1047,$BF1047,IF($C$1047=$BB1048,$BF1048,IF($C$1047=$BB1049,$BF1049,IF($C$1047=$BB1050,$BF1050,IF($C$1047=$BB1051,$BF1051,IF($C$1047=$BB1052,$BF1052,IF($C$1047=$BB1053,$BF1053,IF($C$1047=$BB1054,$BF1054)))))))))</f>
        <v>immigration</v>
      </c>
      <c r="BF1104" s="2" t="s">
        <v>1054</v>
      </c>
      <c r="BG1104" s="2" t="str">
        <f>IF($C$1047="","politically",IF($C$1047=$BB1047,$BF1047,IF($C$1047=$BB1048,$BF1048,IF($C$1047=$BB1049,$BF1049,IF($C$1047=$BB1050,$BF1050,IF($C$1047=$BB1051,$BF1051,IF($C$1047=$BB1052,$BF1052,IF($C$1047=$BB1053,$BF1053,IF($C$1047=$BB1054,$BF1054)))))))))</f>
        <v>immigration</v>
      </c>
      <c r="BH1104" s="2" t="s">
        <v>1055</v>
      </c>
      <c r="BI1104" s="2" t="str">
        <f>IF($C$1047="","the issue",IF($C$1047=$BB1047,$BF1047,IF($C$1047=$BB1048,$BF1048,IF($C$1047=$BB1049,$BF1049,IF($C$1047=$BB1050,$BF1050,IF($C$1047=$BB1051,$BF1051,IF($C$1047=$BB1052,$BF1052,IF($C$1047=$BB1053,$BF1053,IF($C$1047=$BB1054,$BF1054)))))))))</f>
        <v>immigration</v>
      </c>
      <c r="BJ1104" s="2" t="s">
        <v>1056</v>
      </c>
      <c r="BM1104" s="125"/>
    </row>
    <row r="1105" spans="1:65" ht="7.95" customHeight="1">
      <c r="A1105" s="224"/>
      <c r="B1105" s="24"/>
      <c r="C1105" s="163"/>
      <c r="D1105" s="163"/>
      <c r="E1105" s="163"/>
      <c r="F1105" s="163"/>
      <c r="G1105" s="163"/>
      <c r="H1105" s="348"/>
      <c r="I1105" s="163"/>
      <c r="J1105" s="163"/>
      <c r="K1105" s="163"/>
      <c r="L1105" s="163"/>
      <c r="M1105" s="163"/>
      <c r="N1105" s="225"/>
      <c r="AC1105" s="1"/>
      <c r="BB1105" s="37" t="str">
        <f>CONCATENATE(BC1105,BD1105,BE1105,BF1105,BG1105,BH1105)</f>
        <v>SELECT FROM THE DROPDOWN MENU ABOVE YOUR ORIGINAL VIEW OF POLITICS.</v>
      </c>
      <c r="BC1105" s="2" t="s">
        <v>1057</v>
      </c>
      <c r="BM1105" s="125"/>
    </row>
    <row r="1106" spans="1:65" ht="16.95" customHeight="1">
      <c r="A1106" s="224"/>
      <c r="B1106" s="1272" t="str">
        <f>IF(G1102="",BB1105,BB1104)</f>
        <v>SELECT FROM THE DROPDOWN MENU ABOVE YOUR ORIGINAL VIEW OF POLITICS.</v>
      </c>
      <c r="C1106" s="1272"/>
      <c r="D1106" s="1272"/>
      <c r="E1106" s="1272"/>
      <c r="F1106" s="1272"/>
      <c r="G1106" s="1272"/>
      <c r="H1106" s="1272"/>
      <c r="I1106" s="1272"/>
      <c r="J1106" s="1272"/>
      <c r="K1106" s="1272"/>
      <c r="L1106" s="1272"/>
      <c r="M1106" s="1272"/>
      <c r="N1106" s="225"/>
      <c r="AC1106" s="1"/>
      <c r="BM1106" s="125"/>
    </row>
    <row r="1107" spans="1:65" ht="16.95" customHeight="1">
      <c r="A1107" s="224"/>
      <c r="B1107" s="1272"/>
      <c r="C1107" s="1272"/>
      <c r="D1107" s="1272"/>
      <c r="E1107" s="1272"/>
      <c r="F1107" s="1272"/>
      <c r="G1107" s="1272"/>
      <c r="H1107" s="1272"/>
      <c r="I1107" s="1272"/>
      <c r="J1107" s="1272"/>
      <c r="K1107" s="1272"/>
      <c r="L1107" s="1272"/>
      <c r="M1107" s="1272"/>
      <c r="N1107" s="225"/>
      <c r="AC1107" s="1"/>
      <c r="BM1107" s="125"/>
    </row>
    <row r="1108" spans="1:65" ht="16.95" customHeight="1">
      <c r="A1108" s="224"/>
      <c r="B1108" s="1272"/>
      <c r="C1108" s="1272"/>
      <c r="D1108" s="1272"/>
      <c r="E1108" s="1272"/>
      <c r="F1108" s="1272"/>
      <c r="G1108" s="1272"/>
      <c r="H1108" s="1272"/>
      <c r="I1108" s="1272"/>
      <c r="J1108" s="1272"/>
      <c r="K1108" s="1272"/>
      <c r="L1108" s="1272"/>
      <c r="M1108" s="1272"/>
      <c r="N1108" s="225"/>
      <c r="AC1108" s="1"/>
    </row>
    <row r="1109" spans="1:65" ht="16.95" customHeight="1">
      <c r="A1109" s="224"/>
      <c r="B1109" s="1272"/>
      <c r="C1109" s="1272"/>
      <c r="D1109" s="1272"/>
      <c r="E1109" s="1272"/>
      <c r="F1109" s="1272"/>
      <c r="G1109" s="1272"/>
      <c r="H1109" s="1272"/>
      <c r="I1109" s="1272"/>
      <c r="J1109" s="1272"/>
      <c r="K1109" s="1272"/>
      <c r="L1109" s="1272"/>
      <c r="M1109" s="1272"/>
      <c r="N1109" s="225"/>
      <c r="AC1109" s="1"/>
    </row>
    <row r="1110" spans="1:65" ht="16.95" customHeight="1">
      <c r="A1110" s="224"/>
      <c r="B1110" s="1272"/>
      <c r="C1110" s="1272"/>
      <c r="D1110" s="1272"/>
      <c r="E1110" s="1272"/>
      <c r="F1110" s="1272"/>
      <c r="G1110" s="1272"/>
      <c r="H1110" s="1272"/>
      <c r="I1110" s="1272"/>
      <c r="J1110" s="1272"/>
      <c r="K1110" s="1272"/>
      <c r="L1110" s="1272"/>
      <c r="M1110" s="1272"/>
      <c r="N1110" s="225"/>
      <c r="AC1110" s="1"/>
    </row>
    <row r="1111" spans="1:65" ht="16.95" customHeight="1">
      <c r="A1111" s="224"/>
      <c r="B1111" s="1272"/>
      <c r="C1111" s="1272"/>
      <c r="D1111" s="1272"/>
      <c r="E1111" s="1272"/>
      <c r="F1111" s="1272"/>
      <c r="G1111" s="1272"/>
      <c r="H1111" s="1272"/>
      <c r="I1111" s="1272"/>
      <c r="J1111" s="1272"/>
      <c r="K1111" s="1272"/>
      <c r="L1111" s="1272"/>
      <c r="M1111" s="1272"/>
      <c r="N1111" s="225"/>
      <c r="AC1111" s="1"/>
    </row>
    <row r="1112" spans="1:65" ht="7.2" customHeight="1">
      <c r="A1112" s="226"/>
      <c r="B1112" s="237"/>
      <c r="C1112" s="237"/>
      <c r="D1112" s="237"/>
      <c r="E1112" s="237"/>
      <c r="F1112" s="237"/>
      <c r="G1112" s="237"/>
      <c r="H1112" s="349"/>
      <c r="I1112" s="237"/>
      <c r="J1112" s="237"/>
      <c r="K1112" s="237"/>
      <c r="L1112" s="237"/>
      <c r="M1112" s="237"/>
      <c r="N1112" s="228"/>
      <c r="AC1112" s="1"/>
    </row>
    <row r="1113" spans="1:65" ht="30" customHeight="1">
      <c r="A1113" s="220" t="s">
        <v>1148</v>
      </c>
      <c r="B1113" s="914" t="s">
        <v>24</v>
      </c>
      <c r="C1113" s="914"/>
      <c r="D1113" s="914"/>
      <c r="E1113" s="914"/>
      <c r="F1113" s="914"/>
      <c r="G1113" s="914"/>
      <c r="H1113" s="914"/>
      <c r="I1113" s="914"/>
      <c r="J1113" s="914"/>
      <c r="K1113" s="914"/>
      <c r="L1113" s="914"/>
      <c r="M1113" s="222"/>
      <c r="N1113" s="223" t="s">
        <v>1149</v>
      </c>
    </row>
    <row r="1114" spans="1:65" ht="18" customHeight="1">
      <c r="A1114" s="224"/>
      <c r="B1114" s="24"/>
      <c r="C1114" s="24"/>
      <c r="D1114" s="24"/>
      <c r="E1114" s="24"/>
      <c r="F1114" s="24"/>
      <c r="G1114" s="24"/>
      <c r="H1114" s="340"/>
      <c r="I1114" s="24"/>
      <c r="J1114" s="24"/>
      <c r="K1114" s="24"/>
      <c r="L1114" s="24"/>
      <c r="M1114" s="24"/>
      <c r="N1114" s="225"/>
    </row>
    <row r="1115" spans="1:65" ht="18" customHeight="1">
      <c r="A1115" s="224"/>
      <c r="B1115" s="24"/>
      <c r="C1115" s="24"/>
      <c r="D1115" s="24"/>
      <c r="E1115" s="24"/>
      <c r="F1115" s="24"/>
      <c r="G1115" s="24"/>
      <c r="H1115" s="340"/>
      <c r="I1115" s="24"/>
      <c r="J1115" s="24"/>
      <c r="K1115" s="24"/>
      <c r="L1115" s="24"/>
      <c r="M1115" s="24"/>
      <c r="N1115" s="225"/>
    </row>
    <row r="1116" spans="1:65" ht="18" customHeight="1">
      <c r="A1116" s="224"/>
      <c r="B1116" s="24"/>
      <c r="C1116" s="24"/>
      <c r="D1116" s="24"/>
      <c r="E1116" s="24"/>
      <c r="F1116" s="24"/>
      <c r="G1116" s="24"/>
      <c r="H1116" s="340"/>
      <c r="I1116" s="24"/>
      <c r="J1116" s="24"/>
      <c r="K1116" s="24"/>
      <c r="L1116" s="24"/>
      <c r="M1116" s="24"/>
      <c r="N1116" s="225"/>
    </row>
    <row r="1117" spans="1:65" ht="18" customHeight="1">
      <c r="A1117" s="224"/>
      <c r="B1117" s="24"/>
      <c r="C1117" s="24"/>
      <c r="D1117" s="24"/>
      <c r="E1117" s="24"/>
      <c r="F1117" s="24"/>
      <c r="G1117" s="24"/>
      <c r="H1117" s="340"/>
      <c r="I1117" s="24"/>
      <c r="J1117" s="24"/>
      <c r="K1117" s="24"/>
      <c r="L1117" s="24"/>
      <c r="M1117" s="24"/>
      <c r="N1117" s="225"/>
    </row>
    <row r="1118" spans="1:65" ht="18" customHeight="1">
      <c r="A1118" s="224"/>
      <c r="B1118" s="24"/>
      <c r="C1118" s="24"/>
      <c r="D1118" s="24"/>
      <c r="E1118" s="24"/>
      <c r="F1118" s="24"/>
      <c r="G1118" s="24"/>
      <c r="H1118" s="340"/>
      <c r="I1118" s="24"/>
      <c r="J1118" s="24"/>
      <c r="K1118" s="24"/>
      <c r="L1118" s="24"/>
      <c r="M1118" s="24"/>
      <c r="N1118" s="225"/>
    </row>
    <row r="1119" spans="1:65" ht="18" customHeight="1">
      <c r="A1119" s="224"/>
      <c r="B1119" s="24"/>
      <c r="C1119" s="24"/>
      <c r="D1119" s="24"/>
      <c r="E1119" s="24"/>
      <c r="F1119" s="24"/>
      <c r="G1119" s="24"/>
      <c r="H1119" s="340"/>
      <c r="I1119" s="24"/>
      <c r="J1119" s="24"/>
      <c r="K1119" s="24"/>
      <c r="L1119" s="24"/>
      <c r="M1119" s="24"/>
      <c r="N1119" s="225"/>
    </row>
    <row r="1120" spans="1:65" ht="18" customHeight="1">
      <c r="A1120" s="224"/>
      <c r="B1120" s="24"/>
      <c r="C1120" s="24"/>
      <c r="D1120" s="24"/>
      <c r="E1120" s="24"/>
      <c r="F1120" s="24"/>
      <c r="G1120" s="24"/>
      <c r="H1120" s="340"/>
      <c r="I1120" s="24"/>
      <c r="J1120" s="24"/>
      <c r="K1120" s="24"/>
      <c r="L1120" s="24"/>
      <c r="M1120" s="24"/>
      <c r="N1120" s="225"/>
      <c r="BE1120" s="49" t="str">
        <f>BE1090</f>
        <v>IMM</v>
      </c>
      <c r="BF1120" s="49" t="str">
        <f t="shared" ref="BF1120:BL1120" si="12">BF1090</f>
        <v>CLI</v>
      </c>
      <c r="BG1120" s="49" t="str">
        <f t="shared" si="12"/>
        <v>GUN</v>
      </c>
      <c r="BH1120" s="49" t="str">
        <f t="shared" si="12"/>
        <v>ABO</v>
      </c>
      <c r="BI1120" s="49" t="str">
        <f t="shared" si="12"/>
        <v>HEA</v>
      </c>
      <c r="BJ1120" s="49" t="str">
        <f t="shared" si="12"/>
        <v>CRI</v>
      </c>
      <c r="BK1120" s="49" t="str">
        <f t="shared" si="12"/>
        <v>ECO</v>
      </c>
      <c r="BL1120" s="49" t="str">
        <f t="shared" si="12"/>
        <v>RAC</v>
      </c>
    </row>
    <row r="1121" spans="1:65" ht="18" customHeight="1">
      <c r="A1121" s="224"/>
      <c r="B1121" s="24"/>
      <c r="C1121" s="24"/>
      <c r="D1121" s="24"/>
      <c r="E1121" s="24"/>
      <c r="F1121" s="24"/>
      <c r="G1121" s="24"/>
      <c r="H1121" s="340"/>
      <c r="I1121" s="24"/>
      <c r="J1121" s="24"/>
      <c r="K1121" s="24"/>
      <c r="L1121" s="24"/>
      <c r="M1121" s="24"/>
      <c r="N1121" s="225"/>
    </row>
    <row r="1122" spans="1:65" ht="16.95" customHeight="1">
      <c r="A1122" s="224"/>
      <c r="B1122" s="24"/>
      <c r="C1122" s="24"/>
      <c r="D1122" s="24"/>
      <c r="E1122" s="24"/>
      <c r="F1122" s="24"/>
      <c r="G1122" s="24"/>
      <c r="H1122" s="340"/>
      <c r="I1122" s="24"/>
      <c r="J1122" s="24"/>
      <c r="K1122" s="24"/>
      <c r="L1122" s="24"/>
      <c r="M1122" s="24"/>
      <c r="N1122" s="225"/>
      <c r="BB1122" s="2" t="str">
        <f t="shared" ref="BB1122:BB1135" si="13">IF($C$1047=BB$1047,BE1122,IF($C$1047=BB$1048,BF1122,IF($C$1047=BB$1049,BG1122,IF($C$1047=BB$1050,BH1122,IF($C$1047=BB$1051,BI1122,IF($C$1047=BB$1052,BJ1122,IF($C$1047=BB$1053,BK1122,IF($C$1047=BB$1054,BL1122,""))))))))</f>
        <v>OPEN BORDERS</v>
      </c>
      <c r="BD1122" s="50" t="s">
        <v>125</v>
      </c>
      <c r="BE1122" s="2" t="s">
        <v>17</v>
      </c>
      <c r="BF1122" s="2" t="s">
        <v>265</v>
      </c>
      <c r="BG1122" s="2" t="s">
        <v>271</v>
      </c>
      <c r="BH1122" s="2" t="s">
        <v>281</v>
      </c>
      <c r="BI1122" s="2" t="s">
        <v>293</v>
      </c>
      <c r="BJ1122" s="2" t="s">
        <v>309</v>
      </c>
      <c r="BK1122" s="2" t="s">
        <v>323</v>
      </c>
      <c r="BL1122" s="2" t="s">
        <v>335</v>
      </c>
    </row>
    <row r="1123" spans="1:65" ht="30" customHeight="1" thickBot="1">
      <c r="A1123" s="224"/>
      <c r="B1123" s="1230"/>
      <c r="C1123" s="1230"/>
      <c r="D1123" s="1230"/>
      <c r="E1123" s="1230"/>
      <c r="F1123" s="1230"/>
      <c r="G1123" s="1230"/>
      <c r="H1123" s="1069"/>
      <c r="I1123" s="1069"/>
      <c r="J1123" s="1069"/>
      <c r="K1123" s="1069"/>
      <c r="L1123" s="1069"/>
      <c r="M1123" s="1069"/>
      <c r="N1123" s="225"/>
      <c r="BB1123" s="2" t="str">
        <f t="shared" si="13"/>
        <v>RELAX BORDERS</v>
      </c>
      <c r="BD1123" s="50" t="s">
        <v>126</v>
      </c>
      <c r="BE1123" s="2" t="s">
        <v>18</v>
      </c>
      <c r="BF1123" s="2" t="s">
        <v>266</v>
      </c>
      <c r="BG1123" s="2" t="s">
        <v>272</v>
      </c>
      <c r="BH1123" s="2" t="s">
        <v>282</v>
      </c>
      <c r="BI1123" s="2" t="s">
        <v>296</v>
      </c>
      <c r="BJ1123" s="2" t="s">
        <v>310</v>
      </c>
      <c r="BK1123" s="2" t="s">
        <v>324</v>
      </c>
      <c r="BL1123" s="2" t="s">
        <v>336</v>
      </c>
    </row>
    <row r="1124" spans="1:65" ht="30" customHeight="1" thickTop="1" thickBot="1">
      <c r="A1124" s="224"/>
      <c r="B1124" s="1070" t="s">
        <v>64</v>
      </c>
      <c r="C1124" s="1071"/>
      <c r="D1124" s="1072" t="s">
        <v>19</v>
      </c>
      <c r="E1124" s="1073"/>
      <c r="F1124" s="1074" t="s">
        <v>20</v>
      </c>
      <c r="G1124" s="1075"/>
      <c r="H1124" s="1076" t="s">
        <v>23</v>
      </c>
      <c r="I1124" s="1077"/>
      <c r="J1124" s="1078" t="s">
        <v>21</v>
      </c>
      <c r="K1124" s="1079"/>
      <c r="L1124" s="1080" t="s">
        <v>22</v>
      </c>
      <c r="M1124" s="1081"/>
      <c r="N1124" s="225"/>
      <c r="BB1124" s="2" t="str">
        <f t="shared" si="13"/>
        <v>EASY ENTRY</v>
      </c>
      <c r="BD1124" s="50" t="s">
        <v>127</v>
      </c>
      <c r="BE1124" s="2" t="s">
        <v>135</v>
      </c>
      <c r="BF1124" s="2" t="s">
        <v>267</v>
      </c>
      <c r="BG1124" s="2" t="s">
        <v>273</v>
      </c>
      <c r="BH1124" s="2" t="s">
        <v>283</v>
      </c>
      <c r="BI1124" s="2" t="s">
        <v>297</v>
      </c>
      <c r="BJ1124" s="2" t="s">
        <v>1045</v>
      </c>
      <c r="BK1124" s="2" t="s">
        <v>325</v>
      </c>
      <c r="BL1124" s="2" t="s">
        <v>337</v>
      </c>
    </row>
    <row r="1125" spans="1:65" ht="30" customHeight="1" thickTop="1" thickBot="1">
      <c r="A1125" s="224"/>
      <c r="B1125" s="1143"/>
      <c r="C1125" s="1144"/>
      <c r="D1125" s="1145"/>
      <c r="E1125" s="1146"/>
      <c r="F1125" s="1147"/>
      <c r="G1125" s="1148"/>
      <c r="H1125" s="1240"/>
      <c r="I1125" s="1241"/>
      <c r="J1125" s="1136"/>
      <c r="K1125" s="1137"/>
      <c r="L1125" s="1138"/>
      <c r="M1125" s="1139"/>
      <c r="N1125" s="225"/>
      <c r="BB1125" s="2" t="str">
        <f t="shared" si="13"/>
        <v>STEM ENTRY</v>
      </c>
      <c r="BD1125" s="50" t="s">
        <v>128</v>
      </c>
      <c r="BE1125" s="2" t="s">
        <v>192</v>
      </c>
      <c r="BF1125" s="2" t="s">
        <v>268</v>
      </c>
      <c r="BG1125" s="2" t="s">
        <v>274</v>
      </c>
      <c r="BH1125" s="2" t="s">
        <v>284</v>
      </c>
      <c r="BI1125" s="2" t="s">
        <v>298</v>
      </c>
      <c r="BJ1125" s="2" t="s">
        <v>312</v>
      </c>
      <c r="BK1125" s="2" t="s">
        <v>326</v>
      </c>
      <c r="BL1125" s="2" t="s">
        <v>338</v>
      </c>
    </row>
    <row r="1126" spans="1:65" ht="4.95" customHeight="1" thickTop="1" thickBot="1">
      <c r="A1126" s="224"/>
      <c r="B1126" s="24"/>
      <c r="C1126" s="24"/>
      <c r="D1126" s="24"/>
      <c r="E1126" s="24"/>
      <c r="F1126" s="24"/>
      <c r="G1126" s="24"/>
      <c r="H1126" s="340"/>
      <c r="I1126" s="24"/>
      <c r="J1126" s="24"/>
      <c r="K1126" s="24"/>
      <c r="L1126" s="24"/>
      <c r="M1126" s="24"/>
      <c r="N1126" s="225"/>
      <c r="BB1126" s="2">
        <f t="shared" si="13"/>
        <v>0</v>
      </c>
      <c r="BD1126" s="50"/>
    </row>
    <row r="1127" spans="1:65" ht="15" customHeight="1">
      <c r="A1127" s="224"/>
      <c r="B1127" s="1140" t="s">
        <v>15</v>
      </c>
      <c r="C1127" s="1141"/>
      <c r="D1127" s="1140" t="s">
        <v>15</v>
      </c>
      <c r="E1127" s="1141"/>
      <c r="F1127" s="1140" t="s">
        <v>15</v>
      </c>
      <c r="G1127" s="1141"/>
      <c r="H1127" s="1140" t="s">
        <v>15</v>
      </c>
      <c r="I1127" s="1141"/>
      <c r="J1127" s="1140" t="s">
        <v>15</v>
      </c>
      <c r="K1127" s="1141"/>
      <c r="L1127" s="1140" t="s">
        <v>15</v>
      </c>
      <c r="M1127" s="1141"/>
      <c r="N1127" s="225"/>
      <c r="BB1127" s="2" t="str">
        <f t="shared" si="13"/>
        <v>MERIT ENTRY</v>
      </c>
      <c r="BD1127" s="50" t="s">
        <v>129</v>
      </c>
      <c r="BE1127" s="2" t="s">
        <v>193</v>
      </c>
      <c r="BF1127" s="2" t="s">
        <v>269</v>
      </c>
      <c r="BG1127" s="2" t="s">
        <v>275</v>
      </c>
      <c r="BH1127" s="2" t="s">
        <v>285</v>
      </c>
      <c r="BI1127" s="2" t="s">
        <v>299</v>
      </c>
      <c r="BJ1127" s="2" t="s">
        <v>313</v>
      </c>
      <c r="BK1127" s="2" t="s">
        <v>327</v>
      </c>
      <c r="BL1127" s="2" t="s">
        <v>339</v>
      </c>
    </row>
    <row r="1128" spans="1:65" ht="34.950000000000003" customHeight="1">
      <c r="A1128" s="224"/>
      <c r="B1128" s="1088" t="str">
        <f>BB1122</f>
        <v>OPEN BORDERS</v>
      </c>
      <c r="C1128" s="1089"/>
      <c r="D1128" s="1088" t="str">
        <f>BB1123</f>
        <v>RELAX BORDERS</v>
      </c>
      <c r="E1128" s="1089"/>
      <c r="F1128" s="1088" t="str">
        <f>BB1124</f>
        <v>EASY ENTRY</v>
      </c>
      <c r="G1128" s="1089"/>
      <c r="H1128" s="1088" t="str">
        <f>BB1125</f>
        <v>STEM ENTRY</v>
      </c>
      <c r="I1128" s="1089"/>
      <c r="J1128" s="1088" t="str">
        <f>BB1127</f>
        <v>MERIT ENTRY</v>
      </c>
      <c r="K1128" s="1089"/>
      <c r="L1128" s="1088" t="str">
        <f>BB1128</f>
        <v>NO ENTRY</v>
      </c>
      <c r="M1128" s="1089"/>
      <c r="N1128" s="225"/>
      <c r="BB1128" s="2" t="str">
        <f t="shared" si="13"/>
        <v>NO ENTRY</v>
      </c>
      <c r="BD1128" s="50" t="s">
        <v>130</v>
      </c>
      <c r="BE1128" s="2" t="s">
        <v>194</v>
      </c>
      <c r="BF1128" s="2" t="s">
        <v>270</v>
      </c>
      <c r="BG1128" s="2" t="s">
        <v>276</v>
      </c>
      <c r="BH1128" s="2" t="s">
        <v>286</v>
      </c>
      <c r="BI1128" s="2" t="s">
        <v>300</v>
      </c>
      <c r="BJ1128" s="2" t="s">
        <v>314</v>
      </c>
      <c r="BK1128" s="2" t="s">
        <v>328</v>
      </c>
      <c r="BL1128" s="2" t="s">
        <v>716</v>
      </c>
    </row>
    <row r="1129" spans="1:65" ht="15" customHeight="1">
      <c r="A1129" s="224"/>
      <c r="B1129" s="933" t="s">
        <v>16</v>
      </c>
      <c r="C1129" s="934"/>
      <c r="D1129" s="933" t="s">
        <v>16</v>
      </c>
      <c r="E1129" s="934"/>
      <c r="F1129" s="933" t="s">
        <v>16</v>
      </c>
      <c r="G1129" s="934"/>
      <c r="H1129" s="933" t="s">
        <v>16</v>
      </c>
      <c r="I1129" s="934"/>
      <c r="J1129" s="933" t="s">
        <v>16</v>
      </c>
      <c r="K1129" s="934"/>
      <c r="L1129" s="933" t="s">
        <v>16</v>
      </c>
      <c r="M1129" s="934"/>
      <c r="N1129" s="225"/>
      <c r="BB1129" s="2">
        <f t="shared" si="13"/>
        <v>0</v>
      </c>
      <c r="BD1129" s="48"/>
    </row>
    <row r="1130" spans="1:65" ht="14.4" customHeight="1">
      <c r="A1130" s="224"/>
      <c r="B1130" s="1090" t="str">
        <f>BB1130</f>
        <v>We as nontraditional people feel systemically excluded from advantaged spaces by arbitrary national borders</v>
      </c>
      <c r="C1130" s="1091"/>
      <c r="D1130" s="1090" t="str">
        <f>BB1131</f>
        <v>We need to admit most immigrants are desperate to leave situations largely of our interventionists making</v>
      </c>
      <c r="E1130" s="1091"/>
      <c r="F1130" s="1090" t="str">
        <f>BB1132</f>
        <v>We need immigrants willing to do jobs citizens won’t and offer amnesty for citizenship after they show such merit</v>
      </c>
      <c r="G1130" s="1091"/>
      <c r="H1130" s="1090" t="str">
        <f>BB1133</f>
        <v>We can offer amnesty to children born to illegal migrant parents after they show merit</v>
      </c>
      <c r="I1130" s="1091"/>
      <c r="J1130" s="1090" t="str">
        <f>BB1134</f>
        <v>We need to limit migration to those first showing merit before crossing any of our sacred borders</v>
      </c>
      <c r="K1130" s="1091"/>
      <c r="L1130" s="1090" t="str">
        <f>BB1135</f>
        <v>Nativist Americans feel smothered by excessive immigration, pressurizing already strained cohesion</v>
      </c>
      <c r="M1130" s="1091"/>
      <c r="N1130" s="225"/>
      <c r="BB1130" s="2" t="str">
        <f t="shared" si="13"/>
        <v>We as nontraditional people feel systemically excluded from advantaged spaces by arbitrary national borders</v>
      </c>
      <c r="BD1130" s="50" t="s">
        <v>119</v>
      </c>
      <c r="BE1130" s="2" t="s">
        <v>346</v>
      </c>
      <c r="BF1130" s="2" t="s">
        <v>352</v>
      </c>
      <c r="BG1130" s="2" t="s">
        <v>358</v>
      </c>
      <c r="BH1130" s="2" t="s">
        <v>287</v>
      </c>
      <c r="BI1130" s="2" t="s">
        <v>301</v>
      </c>
      <c r="BJ1130" s="2" t="s">
        <v>315</v>
      </c>
      <c r="BK1130" s="2" t="s">
        <v>329</v>
      </c>
      <c r="BL1130" s="2" t="s">
        <v>340</v>
      </c>
      <c r="BM1130" s="47" t="s">
        <v>3</v>
      </c>
    </row>
    <row r="1131" spans="1:65" ht="14.4" customHeight="1">
      <c r="A1131" s="224"/>
      <c r="B1131" s="1090"/>
      <c r="C1131" s="1091"/>
      <c r="D1131" s="1090"/>
      <c r="E1131" s="1091"/>
      <c r="F1131" s="1090"/>
      <c r="G1131" s="1091"/>
      <c r="H1131" s="1090"/>
      <c r="I1131" s="1091"/>
      <c r="J1131" s="1090"/>
      <c r="K1131" s="1091"/>
      <c r="L1131" s="1090"/>
      <c r="M1131" s="1091"/>
      <c r="N1131" s="225"/>
      <c r="BB1131" s="2" t="str">
        <f t="shared" si="13"/>
        <v>We need to admit most immigrants are desperate to leave situations largely of our interventionists making</v>
      </c>
      <c r="BD1131" s="50" t="s">
        <v>120</v>
      </c>
      <c r="BE1131" s="2" t="s">
        <v>347</v>
      </c>
      <c r="BF1131" s="2" t="s">
        <v>353</v>
      </c>
      <c r="BG1131" s="2" t="s">
        <v>359</v>
      </c>
      <c r="BH1131" s="2" t="s">
        <v>288</v>
      </c>
      <c r="BI1131" s="2" t="s">
        <v>302</v>
      </c>
      <c r="BJ1131" s="2" t="s">
        <v>316</v>
      </c>
      <c r="BK1131" s="2" t="s">
        <v>330</v>
      </c>
      <c r="BL1131" s="2" t="s">
        <v>341</v>
      </c>
      <c r="BM1131" s="47" t="s">
        <v>3</v>
      </c>
    </row>
    <row r="1132" spans="1:65" ht="14.4" customHeight="1">
      <c r="A1132" s="224"/>
      <c r="B1132" s="1090"/>
      <c r="C1132" s="1091"/>
      <c r="D1132" s="1090"/>
      <c r="E1132" s="1091"/>
      <c r="F1132" s="1090"/>
      <c r="G1132" s="1091"/>
      <c r="H1132" s="1090"/>
      <c r="I1132" s="1091"/>
      <c r="J1132" s="1090"/>
      <c r="K1132" s="1091"/>
      <c r="L1132" s="1090"/>
      <c r="M1132" s="1091"/>
      <c r="N1132" s="225"/>
      <c r="BB1132" s="2" t="str">
        <f t="shared" si="13"/>
        <v>We need immigrants willing to do jobs citizens won’t and offer amnesty for citizenship after they show such merit</v>
      </c>
      <c r="BD1132" s="50" t="s">
        <v>121</v>
      </c>
      <c r="BE1132" s="2" t="s">
        <v>348</v>
      </c>
      <c r="BF1132" s="2" t="s">
        <v>354</v>
      </c>
      <c r="BG1132" s="2" t="s">
        <v>360</v>
      </c>
      <c r="BH1132" s="2" t="s">
        <v>289</v>
      </c>
      <c r="BI1132" s="2" t="s">
        <v>303</v>
      </c>
      <c r="BJ1132" s="2" t="s">
        <v>317</v>
      </c>
      <c r="BK1132" s="2" t="s">
        <v>331</v>
      </c>
      <c r="BL1132" s="2" t="s">
        <v>342</v>
      </c>
      <c r="BM1132" s="47" t="s">
        <v>3</v>
      </c>
    </row>
    <row r="1133" spans="1:65" ht="14.4" customHeight="1">
      <c r="A1133" s="224"/>
      <c r="B1133" s="1090"/>
      <c r="C1133" s="1091"/>
      <c r="D1133" s="1090"/>
      <c r="E1133" s="1091"/>
      <c r="F1133" s="1090"/>
      <c r="G1133" s="1091"/>
      <c r="H1133" s="1090"/>
      <c r="I1133" s="1091"/>
      <c r="J1133" s="1090"/>
      <c r="K1133" s="1091"/>
      <c r="L1133" s="1090"/>
      <c r="M1133" s="1091"/>
      <c r="N1133" s="225"/>
      <c r="BB1133" s="2" t="str">
        <f t="shared" si="13"/>
        <v>We can offer amnesty to children born to illegal migrant parents after they show merit</v>
      </c>
      <c r="BD1133" s="50" t="s">
        <v>122</v>
      </c>
      <c r="BE1133" s="2" t="s">
        <v>349</v>
      </c>
      <c r="BF1133" s="2" t="s">
        <v>355</v>
      </c>
      <c r="BG1133" s="2" t="s">
        <v>361</v>
      </c>
      <c r="BH1133" s="2" t="s">
        <v>290</v>
      </c>
      <c r="BI1133" s="2" t="s">
        <v>304</v>
      </c>
      <c r="BJ1133" s="2" t="s">
        <v>319</v>
      </c>
      <c r="BK1133" s="2" t="s">
        <v>332</v>
      </c>
      <c r="BL1133" s="2" t="s">
        <v>343</v>
      </c>
      <c r="BM1133" s="47" t="s">
        <v>3</v>
      </c>
    </row>
    <row r="1134" spans="1:65" ht="14.4" customHeight="1">
      <c r="A1134" s="224"/>
      <c r="B1134" s="1090"/>
      <c r="C1134" s="1091"/>
      <c r="D1134" s="1090"/>
      <c r="E1134" s="1091"/>
      <c r="F1134" s="1090"/>
      <c r="G1134" s="1091"/>
      <c r="H1134" s="1090"/>
      <c r="I1134" s="1091"/>
      <c r="J1134" s="1090"/>
      <c r="K1134" s="1091"/>
      <c r="L1134" s="1090"/>
      <c r="M1134" s="1091"/>
      <c r="N1134" s="225"/>
      <c r="BB1134" s="2" t="str">
        <f t="shared" si="13"/>
        <v>We need to limit migration to those first showing merit before crossing any of our sacred borders</v>
      </c>
      <c r="BD1134" s="50" t="s">
        <v>123</v>
      </c>
      <c r="BE1134" s="2" t="s">
        <v>350</v>
      </c>
      <c r="BF1134" s="2" t="s">
        <v>356</v>
      </c>
      <c r="BG1134" s="2" t="s">
        <v>362</v>
      </c>
      <c r="BH1134" s="2" t="s">
        <v>291</v>
      </c>
      <c r="BI1134" s="2" t="s">
        <v>305</v>
      </c>
      <c r="BJ1134" s="2" t="s">
        <v>318</v>
      </c>
      <c r="BK1134" s="2" t="s">
        <v>333</v>
      </c>
      <c r="BL1134" s="2" t="s">
        <v>714</v>
      </c>
      <c r="BM1134" s="47" t="s">
        <v>3</v>
      </c>
    </row>
    <row r="1135" spans="1:65" ht="14.4" customHeight="1">
      <c r="A1135" s="224"/>
      <c r="B1135" s="1090"/>
      <c r="C1135" s="1091"/>
      <c r="D1135" s="1090"/>
      <c r="E1135" s="1091"/>
      <c r="F1135" s="1090"/>
      <c r="G1135" s="1091"/>
      <c r="H1135" s="1090"/>
      <c r="I1135" s="1091"/>
      <c r="J1135" s="1090"/>
      <c r="K1135" s="1091"/>
      <c r="L1135" s="1090"/>
      <c r="M1135" s="1091"/>
      <c r="N1135" s="225"/>
      <c r="BB1135" s="2" t="str">
        <f t="shared" si="13"/>
        <v>Nativist Americans feel smothered by excessive immigration, pressurizing already strained cohesion</v>
      </c>
      <c r="BD1135" s="50" t="s">
        <v>124</v>
      </c>
      <c r="BE1135" s="2" t="s">
        <v>351</v>
      </c>
      <c r="BF1135" s="2" t="s">
        <v>357</v>
      </c>
      <c r="BG1135" s="2" t="s">
        <v>363</v>
      </c>
      <c r="BH1135" s="2" t="s">
        <v>292</v>
      </c>
      <c r="BI1135" s="2" t="s">
        <v>306</v>
      </c>
      <c r="BJ1135" s="2" t="s">
        <v>320</v>
      </c>
      <c r="BK1135" s="2" t="s">
        <v>334</v>
      </c>
      <c r="BL1135" s="2" t="s">
        <v>344</v>
      </c>
      <c r="BM1135" s="47" t="s">
        <v>3</v>
      </c>
    </row>
    <row r="1136" spans="1:65" ht="15" customHeight="1" thickBot="1">
      <c r="A1136" s="224"/>
      <c r="B1136" s="1092"/>
      <c r="C1136" s="1093"/>
      <c r="D1136" s="1092"/>
      <c r="E1136" s="1093"/>
      <c r="F1136" s="1092"/>
      <c r="G1136" s="1093"/>
      <c r="H1136" s="1092"/>
      <c r="I1136" s="1093"/>
      <c r="J1136" s="1092"/>
      <c r="K1136" s="1093"/>
      <c r="L1136" s="1092"/>
      <c r="M1136" s="1093"/>
      <c r="N1136" s="225"/>
    </row>
    <row r="1137" spans="1:65" ht="34.950000000000003" customHeight="1">
      <c r="A1137" s="224"/>
      <c r="B1137" s="929" t="str">
        <f>BB1137</f>
        <v>Seek inclusion: to ease less satisfied social-need</v>
      </c>
      <c r="C1137" s="929"/>
      <c r="D1137" s="929"/>
      <c r="E1137" s="929"/>
      <c r="F1137" s="930" t="str">
        <f>BB1138</f>
        <v>Seek both: personal &amp; social needs relatively equally.</v>
      </c>
      <c r="G1137" s="930"/>
      <c r="H1137" s="930"/>
      <c r="I1137" s="930"/>
      <c r="J1137" s="931" t="str">
        <f>BB1139</f>
        <v>Guard cohesion: the more satisfied social-need</v>
      </c>
      <c r="K1137" s="931"/>
      <c r="L1137" s="931"/>
      <c r="M1137" s="931"/>
      <c r="N1137" s="225"/>
      <c r="BB1137" s="2" t="str">
        <f>IF(C$1047=C$1047,BE1137,IF(C$1047=BB$93,BF1137,IF(C$1047=BB$94,BG1137,IF(C$1047=BB$95,BH1137,IF(C$1047=BB$96,BI1137,IF(C$1047=BB$97,BJ1137,IF(C$1047=BB$98,BK1137,IF(C$1047=BB$99,BL1137,""))))))))</f>
        <v>Seek inclusion: to ease less satisfied social-need</v>
      </c>
      <c r="BD1137" s="50" t="s">
        <v>187</v>
      </c>
      <c r="BE1137" s="2" t="s">
        <v>191</v>
      </c>
      <c r="BF1137" s="2" t="s">
        <v>279</v>
      </c>
      <c r="BG1137" s="2" t="s">
        <v>277</v>
      </c>
      <c r="BH1137" s="2" t="s">
        <v>294</v>
      </c>
      <c r="BI1137" s="2" t="s">
        <v>307</v>
      </c>
      <c r="BJ1137" s="2" t="s">
        <v>321</v>
      </c>
      <c r="BK1137" s="2" t="s">
        <v>279</v>
      </c>
      <c r="BL1137" s="2" t="s">
        <v>345</v>
      </c>
      <c r="BM1137" s="47" t="s">
        <v>3</v>
      </c>
    </row>
    <row r="1138" spans="1:65" ht="16.8" thickBot="1">
      <c r="A1138" s="224"/>
      <c r="B1138" s="24"/>
      <c r="C1138" s="24"/>
      <c r="D1138" s="24"/>
      <c r="E1138" s="24"/>
      <c r="F1138" s="24"/>
      <c r="G1138" s="24"/>
      <c r="H1138" s="340"/>
      <c r="I1138" s="24"/>
      <c r="J1138" s="24"/>
      <c r="K1138" s="24"/>
      <c r="L1138" s="24"/>
      <c r="M1138" s="24"/>
      <c r="N1138" s="225"/>
      <c r="BB1138" s="2" t="str">
        <f>IF(C$1047=C$1047,BE1138,IF(C$1047=BB$93,BF1138,IF(C$1047=BB$94,BG1138,IF(C$1047=BB$95,BH1138,IF(C$1047=BB$96,BI1138,IF(C$1047=BB$97,BJ1138,IF(C$1047=BB$98,BK1138,IF(C$1047=BB$99,BL1138,""))))))))</f>
        <v>Seek both: personal &amp; social needs relatively equally.</v>
      </c>
      <c r="BD1138" s="50" t="s">
        <v>188</v>
      </c>
      <c r="BE1138" s="2" t="s">
        <v>1208</v>
      </c>
      <c r="BF1138" s="2" t="s">
        <v>1208</v>
      </c>
      <c r="BG1138" s="2" t="s">
        <v>1208</v>
      </c>
      <c r="BH1138" s="2" t="s">
        <v>1208</v>
      </c>
      <c r="BI1138" s="2" t="s">
        <v>1208</v>
      </c>
      <c r="BJ1138" s="2" t="s">
        <v>1208</v>
      </c>
      <c r="BK1138" s="2" t="s">
        <v>1208</v>
      </c>
      <c r="BL1138" s="2" t="s">
        <v>1208</v>
      </c>
      <c r="BM1138" s="47" t="s">
        <v>3</v>
      </c>
    </row>
    <row r="1139" spans="1:65" ht="16.2">
      <c r="A1139" s="224"/>
      <c r="B1139" s="24"/>
      <c r="C1139" s="24"/>
      <c r="D1139" s="24"/>
      <c r="E1139" s="24"/>
      <c r="F1139" s="24"/>
      <c r="G1139" s="24"/>
      <c r="H1139" s="1044"/>
      <c r="I1139" s="1045"/>
      <c r="J1139" s="1045"/>
      <c r="K1139" s="1045"/>
      <c r="L1139" s="1045"/>
      <c r="M1139" s="1046"/>
      <c r="N1139" s="225"/>
      <c r="BB1139" s="2" t="str">
        <f>IF(C$1047=C$1047,BE1139,IF(C$1047=BB$93,BF1139,IF(C$1047=BB$94,BG1139,IF(C$1047=BB$95,BH1139,IF(C$1047=BB$96,BI1139,IF(C$1047=BB$97,BJ1139,IF(C$1047=BB$98,BK1139,IF(C$1047=BB$99,BL1139,""))))))))</f>
        <v>Guard cohesion: the more satisfied social-need</v>
      </c>
      <c r="BD1139" s="50" t="s">
        <v>189</v>
      </c>
      <c r="BE1139" s="2" t="s">
        <v>190</v>
      </c>
      <c r="BF1139" s="2" t="s">
        <v>280</v>
      </c>
      <c r="BG1139" s="2" t="s">
        <v>278</v>
      </c>
      <c r="BH1139" s="2" t="s">
        <v>295</v>
      </c>
      <c r="BI1139" s="2" t="s">
        <v>308</v>
      </c>
      <c r="BJ1139" s="2" t="s">
        <v>322</v>
      </c>
      <c r="BK1139" s="2" t="s">
        <v>280</v>
      </c>
      <c r="BL1139" s="2" t="s">
        <v>308</v>
      </c>
      <c r="BM1139" s="47" t="s">
        <v>3</v>
      </c>
    </row>
    <row r="1140" spans="1:65" ht="15" customHeight="1" thickBot="1">
      <c r="A1140" s="224"/>
      <c r="B1140" s="24"/>
      <c r="C1140" s="24"/>
      <c r="D1140" s="24"/>
      <c r="E1140" s="24"/>
      <c r="F1140" s="24"/>
      <c r="G1140" s="24"/>
      <c r="H1140" s="1047"/>
      <c r="I1140" s="1048"/>
      <c r="J1140" s="1048"/>
      <c r="K1140" s="1048"/>
      <c r="L1140" s="1048"/>
      <c r="M1140" s="1049"/>
      <c r="N1140" s="225"/>
    </row>
    <row r="1141" spans="1:65">
      <c r="A1141" s="224"/>
      <c r="B1141" s="24"/>
      <c r="C1141" s="24"/>
      <c r="D1141" s="24"/>
      <c r="E1141" s="24"/>
      <c r="F1141" s="24"/>
      <c r="G1141" s="24"/>
      <c r="H1141" s="1044"/>
      <c r="I1141" s="1045"/>
      <c r="J1141" s="1045"/>
      <c r="K1141" s="1045"/>
      <c r="L1141" s="1045"/>
      <c r="M1141" s="1046"/>
      <c r="N1141" s="225"/>
      <c r="BB1141" s="159" t="s">
        <v>1058</v>
      </c>
      <c r="BC1141" s="2" t="s">
        <v>1067</v>
      </c>
      <c r="BE1141" s="159" t="s">
        <v>1062</v>
      </c>
      <c r="BF1141" s="2" t="s">
        <v>1070</v>
      </c>
    </row>
    <row r="1142" spans="1:65" ht="14.4" thickBot="1">
      <c r="A1142" s="224"/>
      <c r="B1142" s="24"/>
      <c r="C1142" s="24"/>
      <c r="D1142" s="24"/>
      <c r="E1142" s="24"/>
      <c r="F1142" s="24"/>
      <c r="G1142" s="24"/>
      <c r="H1142" s="1047"/>
      <c r="I1142" s="1048"/>
      <c r="J1142" s="1048"/>
      <c r="K1142" s="1048"/>
      <c r="L1142" s="1048"/>
      <c r="M1142" s="1049"/>
      <c r="N1142" s="225"/>
      <c r="BB1142" s="159" t="s">
        <v>1059</v>
      </c>
      <c r="BC1142" s="2" t="s">
        <v>1068</v>
      </c>
      <c r="BE1142" s="159" t="s">
        <v>1063</v>
      </c>
      <c r="BF1142" s="2" t="s">
        <v>1071</v>
      </c>
    </row>
    <row r="1143" spans="1:65">
      <c r="A1143" s="224"/>
      <c r="B1143" s="24"/>
      <c r="C1143" s="24"/>
      <c r="D1143" s="24"/>
      <c r="E1143" s="24"/>
      <c r="F1143" s="24"/>
      <c r="G1143" s="24"/>
      <c r="H1143" s="340"/>
      <c r="I1143" s="24"/>
      <c r="J1143" s="24"/>
      <c r="K1143" s="24"/>
      <c r="L1143" s="24"/>
      <c r="M1143" s="24"/>
      <c r="N1143" s="225"/>
      <c r="BB1143" s="159" t="s">
        <v>1060</v>
      </c>
      <c r="BC1143" s="2" t="s">
        <v>1069</v>
      </c>
      <c r="BE1143" s="159" t="s">
        <v>1064</v>
      </c>
      <c r="BF1143" s="2" t="s">
        <v>1072</v>
      </c>
    </row>
    <row r="1144" spans="1:65">
      <c r="A1144" s="224"/>
      <c r="B1144" s="1142" t="str">
        <f>BB1148</f>
        <v xml:space="preserve">Popular application of rational choice theory is a little like gay conversion therapy, or forcing left handers to be right handed. It tries to pressure you with good sounding reasons to change your psychosocial orientation. They seek to fit you into their own experiences and expectations, in the name of your best interests. But they cannot possibly know your best interests without knowing your lived details. It easily denies who you are. Reasoned political arguments irrationally deny you as an individual with a perfectly normal yet different priority of needs. </v>
      </c>
      <c r="C1144" s="1142"/>
      <c r="D1144" s="1142"/>
      <c r="E1144" s="1142"/>
      <c r="F1144" s="1142"/>
      <c r="G1144" s="1142"/>
      <c r="H1144" s="1142"/>
      <c r="I1144" s="1142"/>
      <c r="J1144" s="1142"/>
      <c r="K1144" s="1142"/>
      <c r="L1144" s="1142"/>
      <c r="M1144" s="1142"/>
      <c r="N1144" s="225"/>
      <c r="BB1144" s="159" t="s">
        <v>1061</v>
      </c>
      <c r="BC1144" s="2" t="s">
        <v>1230</v>
      </c>
      <c r="BE1144" s="159" t="s">
        <v>1065</v>
      </c>
      <c r="BF1144" s="2" t="s">
        <v>1073</v>
      </c>
    </row>
    <row r="1145" spans="1:65">
      <c r="A1145" s="224"/>
      <c r="B1145" s="1142"/>
      <c r="C1145" s="1142"/>
      <c r="D1145" s="1142"/>
      <c r="E1145" s="1142"/>
      <c r="F1145" s="1142"/>
      <c r="G1145" s="1142"/>
      <c r="H1145" s="1142"/>
      <c r="I1145" s="1142"/>
      <c r="J1145" s="1142"/>
      <c r="K1145" s="1142"/>
      <c r="L1145" s="1142"/>
      <c r="M1145" s="1142"/>
      <c r="N1145" s="225"/>
      <c r="BE1145" s="159" t="s">
        <v>1066</v>
      </c>
      <c r="BF1145" s="2" t="s">
        <v>1074</v>
      </c>
    </row>
    <row r="1146" spans="1:65">
      <c r="A1146" s="224"/>
      <c r="B1146" s="1142"/>
      <c r="C1146" s="1142"/>
      <c r="D1146" s="1142"/>
      <c r="E1146" s="1142"/>
      <c r="F1146" s="1142"/>
      <c r="G1146" s="1142"/>
      <c r="H1146" s="1142"/>
      <c r="I1146" s="1142"/>
      <c r="J1146" s="1142"/>
      <c r="K1146" s="1142"/>
      <c r="L1146" s="1142"/>
      <c r="M1146" s="1142"/>
      <c r="N1146" s="225"/>
    </row>
    <row r="1147" spans="1:65">
      <c r="A1147" s="224"/>
      <c r="B1147" s="1142"/>
      <c r="C1147" s="1142"/>
      <c r="D1147" s="1142"/>
      <c r="E1147" s="1142"/>
      <c r="F1147" s="1142"/>
      <c r="G1147" s="1142"/>
      <c r="H1147" s="1142"/>
      <c r="I1147" s="1142"/>
      <c r="J1147" s="1142"/>
      <c r="K1147" s="1142"/>
      <c r="L1147" s="1142"/>
      <c r="M1147" s="1142"/>
      <c r="N1147" s="225"/>
      <c r="BB1147" s="37" t="str">
        <f>CONCATENATE(BD1147,BE1147,BF1147,BG1147,BH1147,BI1147,BJ1147)</f>
        <v>It's easier to blame others, while guarding our vulnerable needs, than own our own role in it. We fuel polarization when resisting life's natural pull toward psychosocial equilibrium. Equally resolving your self-needs and social-needs dissolves immigration polarized views. The more connected and honest with others, the more fully you can resolve your immigration needs. There is no such thing as pain apart from unresolved needs. Resolved needs liberate you.</v>
      </c>
      <c r="BD1147" s="2" t="str">
        <f>IF(H1139=BB1141,BC1141,IF(H1139=BB1142,BC1142,IF(H1139=BB1143,BC1143,IF(H1139=BB1144,BC1144,""))))</f>
        <v/>
      </c>
      <c r="BE1147" s="2" t="str">
        <f>IF(H1141=BE1141,BF1141,IF(H1141=BE1142,BF1142,IF(H1141=BE1143,BF1143,IF(H1141=BE1144,BF1144,IF(H1141=BE1145,BF1145,"")))))</f>
        <v/>
      </c>
      <c r="BF1147" s="2" t="s">
        <v>1077</v>
      </c>
      <c r="BG1147" s="2" t="str">
        <f>IF($C$1047="","political polarization",CONCATENATE(BE1077," polarized views."))</f>
        <v>immigration polarized views.</v>
      </c>
      <c r="BH1147" s="2" t="s">
        <v>1075</v>
      </c>
      <c r="BI1147" s="2" t="str">
        <f>IF(BE1077="","",BE1077)</f>
        <v>immigration</v>
      </c>
      <c r="BJ1147" s="2" t="s">
        <v>1076</v>
      </c>
    </row>
    <row r="1148" spans="1:65">
      <c r="A1148" s="224"/>
      <c r="B1148" s="1142"/>
      <c r="C1148" s="1142"/>
      <c r="D1148" s="1142"/>
      <c r="E1148" s="1142"/>
      <c r="F1148" s="1142"/>
      <c r="G1148" s="1142"/>
      <c r="H1148" s="1142"/>
      <c r="I1148" s="1142"/>
      <c r="J1148" s="1142"/>
      <c r="K1148" s="1142"/>
      <c r="L1148" s="1142"/>
      <c r="M1148" s="1142"/>
      <c r="N1148" s="225"/>
      <c r="BB1148" s="37" t="str">
        <f>IF(OR(H1139="",H1141=""),BD1148,BB1147)</f>
        <v xml:space="preserve">Popular application of rational choice theory is a little like gay conversion therapy, or forcing left handers to be right handed. It tries to pressure you with good sounding reasons to change your psychosocial orientation. They seek to fit you into their own experiences and expectations, in the name of your best interests. But they cannot possibly know your best interests without knowing your lived details. It easily denies who you are. Reasoned political arguments irrationally deny you as an individual with a perfectly normal yet different priority of needs. </v>
      </c>
      <c r="BD1148" s="2" t="s">
        <v>1078</v>
      </c>
    </row>
    <row r="1149" spans="1:65">
      <c r="A1149" s="224"/>
      <c r="B1149" s="1142"/>
      <c r="C1149" s="1142"/>
      <c r="D1149" s="1142"/>
      <c r="E1149" s="1142"/>
      <c r="F1149" s="1142"/>
      <c r="G1149" s="1142"/>
      <c r="H1149" s="1142"/>
      <c r="I1149" s="1142"/>
      <c r="J1149" s="1142"/>
      <c r="K1149" s="1142"/>
      <c r="L1149" s="1142"/>
      <c r="M1149" s="1142"/>
      <c r="N1149" s="225"/>
    </row>
    <row r="1150" spans="1:65">
      <c r="A1150" s="226"/>
      <c r="B1150" s="231"/>
      <c r="C1150" s="231"/>
      <c r="D1150" s="231"/>
      <c r="E1150" s="231"/>
      <c r="F1150" s="231"/>
      <c r="G1150" s="231"/>
      <c r="H1150" s="342"/>
      <c r="I1150" s="231"/>
      <c r="J1150" s="231"/>
      <c r="K1150" s="231"/>
      <c r="L1150" s="231"/>
      <c r="M1150" s="231"/>
      <c r="N1150" s="228"/>
    </row>
    <row r="1151" spans="1:65" ht="30" customHeight="1">
      <c r="A1151" s="220" t="s">
        <v>1148</v>
      </c>
      <c r="B1151" s="914" t="s">
        <v>1046</v>
      </c>
      <c r="C1151" s="914"/>
      <c r="D1151" s="914"/>
      <c r="E1151" s="914"/>
      <c r="F1151" s="914"/>
      <c r="G1151" s="914"/>
      <c r="H1151" s="914"/>
      <c r="I1151" s="914"/>
      <c r="J1151" s="914"/>
      <c r="K1151" s="914"/>
      <c r="L1151" s="221"/>
      <c r="M1151" s="222"/>
      <c r="N1151" s="223" t="s">
        <v>1149</v>
      </c>
    </row>
    <row r="1152" spans="1:65">
      <c r="A1152" s="224"/>
      <c r="B1152" s="24"/>
      <c r="C1152" s="24"/>
      <c r="D1152" s="24"/>
      <c r="E1152" s="24"/>
      <c r="F1152" s="24"/>
      <c r="G1152" s="24"/>
      <c r="H1152" s="340"/>
      <c r="I1152" s="24"/>
      <c r="J1152" s="24"/>
      <c r="K1152" s="24"/>
      <c r="L1152" s="24"/>
      <c r="M1152" s="24"/>
      <c r="N1152" s="225"/>
    </row>
    <row r="1153" spans="1:65">
      <c r="A1153" s="224"/>
      <c r="B1153" s="24"/>
      <c r="C1153" s="24"/>
      <c r="D1153" s="24"/>
      <c r="E1153" s="24"/>
      <c r="F1153" s="24"/>
      <c r="G1153" s="24"/>
      <c r="H1153" s="340"/>
      <c r="I1153" s="24"/>
      <c r="J1153" s="24"/>
      <c r="K1153" s="24"/>
      <c r="L1153" s="24"/>
      <c r="M1153" s="24"/>
      <c r="N1153" s="225"/>
    </row>
    <row r="1154" spans="1:65">
      <c r="A1154" s="224"/>
      <c r="B1154" s="24"/>
      <c r="C1154" s="24"/>
      <c r="D1154" s="24"/>
      <c r="E1154" s="24"/>
      <c r="F1154" s="24"/>
      <c r="G1154" s="24"/>
      <c r="H1154" s="340"/>
      <c r="I1154" s="24"/>
      <c r="J1154" s="24"/>
      <c r="K1154" s="24"/>
      <c r="L1154" s="24"/>
      <c r="M1154" s="24"/>
      <c r="N1154" s="225"/>
    </row>
    <row r="1155" spans="1:65" ht="19.95" customHeight="1">
      <c r="A1155" s="224"/>
      <c r="B1155" s="24"/>
      <c r="C1155" s="24"/>
      <c r="D1155" s="24"/>
      <c r="E1155" s="24"/>
      <c r="F1155" s="24"/>
      <c r="G1155" s="24"/>
      <c r="H1155" s="340"/>
      <c r="I1155" s="24"/>
      <c r="J1155" s="24"/>
      <c r="K1155" s="24"/>
      <c r="L1155" s="24"/>
      <c r="M1155" s="24"/>
      <c r="N1155" s="225"/>
    </row>
    <row r="1156" spans="1:65" ht="19.95" customHeight="1">
      <c r="A1156" s="224"/>
      <c r="B1156" s="24"/>
      <c r="C1156" s="24"/>
      <c r="D1156" s="24"/>
      <c r="E1156" s="24"/>
      <c r="F1156" s="24"/>
      <c r="G1156" s="24"/>
      <c r="H1156" s="340"/>
      <c r="I1156" s="24"/>
      <c r="J1156" s="24"/>
      <c r="K1156" s="24"/>
      <c r="L1156" s="24"/>
      <c r="M1156" s="24"/>
      <c r="N1156" s="225"/>
    </row>
    <row r="1157" spans="1:65" ht="19.95" customHeight="1">
      <c r="A1157" s="224"/>
      <c r="B1157" s="24"/>
      <c r="C1157" s="24"/>
      <c r="D1157" s="24"/>
      <c r="E1157" s="24"/>
      <c r="F1157" s="24"/>
      <c r="G1157" s="24"/>
      <c r="H1157" s="340"/>
      <c r="I1157" s="24"/>
      <c r="J1157" s="24"/>
      <c r="K1157" s="24"/>
      <c r="L1157" s="24"/>
      <c r="M1157" s="24"/>
      <c r="N1157" s="225"/>
    </row>
    <row r="1158" spans="1:65" ht="19.95" customHeight="1">
      <c r="A1158" s="224"/>
      <c r="B1158" s="24"/>
      <c r="C1158" s="24"/>
      <c r="D1158" s="24"/>
      <c r="E1158" s="24"/>
      <c r="F1158" s="24"/>
      <c r="G1158" s="24"/>
      <c r="H1158" s="340"/>
      <c r="I1158" s="24"/>
      <c r="J1158" s="24"/>
      <c r="K1158" s="24"/>
      <c r="L1158" s="24"/>
      <c r="M1158" s="24"/>
      <c r="N1158" s="225"/>
    </row>
    <row r="1159" spans="1:65" ht="19.95" customHeight="1">
      <c r="A1159" s="224"/>
      <c r="B1159" s="24"/>
      <c r="C1159" s="24"/>
      <c r="D1159" s="24"/>
      <c r="E1159" s="24"/>
      <c r="F1159" s="24"/>
      <c r="G1159" s="24"/>
      <c r="H1159" s="340"/>
      <c r="I1159" s="24"/>
      <c r="J1159" s="24"/>
      <c r="K1159" s="24"/>
      <c r="L1159" s="24"/>
      <c r="M1159" s="24"/>
      <c r="N1159" s="225"/>
    </row>
    <row r="1160" spans="1:65" ht="10.199999999999999" customHeight="1" thickBot="1">
      <c r="A1160" s="224"/>
      <c r="B1160" s="24"/>
      <c r="C1160" s="24"/>
      <c r="D1160" s="24"/>
      <c r="E1160" s="24"/>
      <c r="F1160" s="24"/>
      <c r="G1160" s="24"/>
      <c r="H1160" s="340"/>
      <c r="I1160" s="24"/>
      <c r="J1160" s="24"/>
      <c r="K1160" s="24"/>
      <c r="L1160" s="24"/>
      <c r="M1160" s="24"/>
      <c r="N1160" s="225"/>
    </row>
    <row r="1161" spans="1:65" ht="19.95" customHeight="1" thickTop="1">
      <c r="A1161" s="224"/>
      <c r="B1161" s="76" t="s">
        <v>460</v>
      </c>
      <c r="C1161" s="77"/>
      <c r="D1161" s="78"/>
      <c r="E1161" s="79" t="s">
        <v>461</v>
      </c>
      <c r="F1161" s="77"/>
      <c r="G1161" s="80"/>
      <c r="H1161" s="350" t="s">
        <v>1235</v>
      </c>
      <c r="I1161" s="63"/>
      <c r="J1161" s="64"/>
      <c r="K1161" s="65" t="s">
        <v>462</v>
      </c>
      <c r="L1161" s="63"/>
      <c r="M1161" s="66"/>
      <c r="N1161" s="225"/>
    </row>
    <row r="1162" spans="1:65" ht="19.95" customHeight="1">
      <c r="A1162" s="224"/>
      <c r="B1162" s="117" t="s">
        <v>25</v>
      </c>
      <c r="C1162" s="13"/>
      <c r="D1162" s="14"/>
      <c r="E1162" s="118" t="s">
        <v>28</v>
      </c>
      <c r="F1162" s="13"/>
      <c r="G1162" s="81"/>
      <c r="H1162" s="120" t="s">
        <v>25</v>
      </c>
      <c r="I1162" s="17"/>
      <c r="J1162" s="18"/>
      <c r="K1162" s="121" t="s">
        <v>29</v>
      </c>
      <c r="L1162" s="17"/>
      <c r="M1162" s="67"/>
      <c r="N1162" s="225"/>
    </row>
    <row r="1163" spans="1:65" ht="19.95" customHeight="1">
      <c r="A1163" s="224"/>
      <c r="B1163" s="82"/>
      <c r="C1163" s="8"/>
      <c r="D1163" s="9"/>
      <c r="E1163" s="1133" t="str">
        <f>IF(BB1165=0,"",BB1165)</f>
        <v>SOCIETAL INCLUSION</v>
      </c>
      <c r="F1163" s="1134"/>
      <c r="G1163" s="1135"/>
      <c r="H1163" s="351"/>
      <c r="I1163" s="19"/>
      <c r="J1163" s="20"/>
      <c r="K1163" s="1231" t="str">
        <f>IF(B1170="","",B1170)</f>
        <v>PERSONAL SECURITY</v>
      </c>
      <c r="L1163" s="1232"/>
      <c r="M1163" s="1233"/>
      <c r="N1163" s="225"/>
      <c r="BE1163" s="49" t="str">
        <f t="shared" ref="BE1163:BL1163" si="14">BE1120</f>
        <v>IMM</v>
      </c>
      <c r="BF1163" s="49" t="str">
        <f t="shared" si="14"/>
        <v>CLI</v>
      </c>
      <c r="BG1163" s="49" t="str">
        <f t="shared" si="14"/>
        <v>GUN</v>
      </c>
      <c r="BH1163" s="49" t="str">
        <f t="shared" si="14"/>
        <v>ABO</v>
      </c>
      <c r="BI1163" s="49" t="str">
        <f t="shared" si="14"/>
        <v>HEA</v>
      </c>
      <c r="BJ1163" s="49" t="str">
        <f t="shared" si="14"/>
        <v>CRI</v>
      </c>
      <c r="BK1163" s="49" t="str">
        <f t="shared" si="14"/>
        <v>ECO</v>
      </c>
      <c r="BL1163" s="49" t="str">
        <f t="shared" si="14"/>
        <v>RAC</v>
      </c>
    </row>
    <row r="1164" spans="1:65" ht="19.95" customHeight="1">
      <c r="A1164" s="224"/>
      <c r="B1164" s="1234" t="str">
        <f>IF(BB1164=0,"",BB1164)</f>
        <v>AUTHENTIC INDIVIDUALITY</v>
      </c>
      <c r="C1164" s="1235"/>
      <c r="D1164" s="1236"/>
      <c r="E1164" s="1133"/>
      <c r="F1164" s="1134"/>
      <c r="G1164" s="1135"/>
      <c r="H1164" s="1237" t="str">
        <f>IF(BB1168="","",BB1168)</f>
        <v>GROUP COHESION</v>
      </c>
      <c r="I1164" s="1238"/>
      <c r="J1164" s="1239"/>
      <c r="K1164" s="1231"/>
      <c r="L1164" s="1232"/>
      <c r="M1164" s="1233"/>
      <c r="N1164" s="225"/>
      <c r="BB1164" s="2" t="str">
        <f t="shared" ref="BB1164:BB1171" si="15">IF($C$1047=BB$1047,BE1164,IF($C$1047=BB$1048,BF1164,IF($C$1047=BB$1049,BG1164,IF($C$1047=BB$1050,BH1164,IF($C$1047=BB$1051,BI1164,IF($C$1047=BB$1052,BJ1164,IF($C$1047=BB$1053,BK1164,IF($C$1047=BB$1054,BL1164,""))))))))</f>
        <v>AUTHENTIC INDIVIDUALITY</v>
      </c>
      <c r="BD1164" s="50" t="s">
        <v>466</v>
      </c>
      <c r="BE1164" s="2" t="s">
        <v>30</v>
      </c>
      <c r="BF1164" s="2" t="s">
        <v>474</v>
      </c>
      <c r="BG1164" s="2" t="s">
        <v>478</v>
      </c>
      <c r="BH1164" s="2" t="s">
        <v>482</v>
      </c>
      <c r="BI1164" s="2" t="s">
        <v>485</v>
      </c>
      <c r="BJ1164" s="2" t="s">
        <v>489</v>
      </c>
      <c r="BK1164" s="2" t="s">
        <v>478</v>
      </c>
      <c r="BL1164" s="2" t="s">
        <v>496</v>
      </c>
      <c r="BM1164" s="47" t="s">
        <v>3</v>
      </c>
    </row>
    <row r="1165" spans="1:65" ht="19.95" customHeight="1">
      <c r="A1165" s="224"/>
      <c r="B1165" s="1234"/>
      <c r="C1165" s="1235"/>
      <c r="D1165" s="1236"/>
      <c r="E1165" s="10"/>
      <c r="F1165" s="8"/>
      <c r="G1165" s="83"/>
      <c r="H1165" s="1237"/>
      <c r="I1165" s="1238"/>
      <c r="J1165" s="1239"/>
      <c r="K1165" s="21"/>
      <c r="L1165" s="19"/>
      <c r="M1165" s="68"/>
      <c r="N1165" s="225"/>
      <c r="BB1165" s="2" t="str">
        <f t="shared" si="15"/>
        <v>SOCIETAL INCLUSION</v>
      </c>
      <c r="BD1165" s="50" t="s">
        <v>467</v>
      </c>
      <c r="BE1165" s="2" t="s">
        <v>31</v>
      </c>
      <c r="BF1165" s="2" t="s">
        <v>475</v>
      </c>
      <c r="BG1165" s="2" t="s">
        <v>479</v>
      </c>
      <c r="BH1165" s="2" t="s">
        <v>31</v>
      </c>
      <c r="BI1165" s="2" t="s">
        <v>486</v>
      </c>
      <c r="BJ1165" s="2" t="s">
        <v>490</v>
      </c>
      <c r="BK1165" s="2" t="s">
        <v>493</v>
      </c>
      <c r="BL1165" s="2" t="s">
        <v>497</v>
      </c>
      <c r="BM1165" s="47" t="s">
        <v>3</v>
      </c>
    </row>
    <row r="1166" spans="1:65" ht="19.95" customHeight="1">
      <c r="A1166" s="224"/>
      <c r="B1166" s="82"/>
      <c r="C1166" s="8"/>
      <c r="D1166" s="9"/>
      <c r="E1166" s="10"/>
      <c r="F1166" s="8"/>
      <c r="G1166" s="83"/>
      <c r="H1166" s="351"/>
      <c r="I1166" s="19"/>
      <c r="J1166" s="20"/>
      <c r="K1166" s="21"/>
      <c r="L1166" s="19"/>
      <c r="M1166" s="68"/>
      <c r="N1166" s="225"/>
      <c r="BB1166" s="2" t="str">
        <f t="shared" si="15"/>
        <v>PERSONAL SECURITY</v>
      </c>
      <c r="BD1166" s="50" t="s">
        <v>468</v>
      </c>
      <c r="BE1166" s="2" t="s">
        <v>32</v>
      </c>
      <c r="BF1166" s="2" t="s">
        <v>476</v>
      </c>
      <c r="BG1166" s="2" t="s">
        <v>480</v>
      </c>
      <c r="BH1166" s="2" t="s">
        <v>483</v>
      </c>
      <c r="BI1166" s="2" t="s">
        <v>487</v>
      </c>
      <c r="BJ1166" s="2" t="s">
        <v>491</v>
      </c>
      <c r="BK1166" s="2" t="s">
        <v>494</v>
      </c>
      <c r="BL1166" s="2" t="s">
        <v>498</v>
      </c>
      <c r="BM1166" s="47" t="s">
        <v>3</v>
      </c>
    </row>
    <row r="1167" spans="1:65" ht="19.95" customHeight="1" thickBot="1">
      <c r="A1167" s="224"/>
      <c r="B1167" s="84"/>
      <c r="C1167" s="51" t="s">
        <v>34</v>
      </c>
      <c r="D1167" s="52"/>
      <c r="E1167" s="53"/>
      <c r="F1167" s="51" t="s">
        <v>35</v>
      </c>
      <c r="G1167" s="85"/>
      <c r="H1167" s="352"/>
      <c r="I1167" s="54" t="s">
        <v>37</v>
      </c>
      <c r="J1167" s="55"/>
      <c r="K1167" s="56"/>
      <c r="L1167" s="54" t="s">
        <v>36</v>
      </c>
      <c r="M1167" s="69"/>
      <c r="N1167" s="225"/>
      <c r="BB1167" s="2" t="str">
        <f t="shared" si="15"/>
        <v>GROUP COHESION</v>
      </c>
      <c r="BD1167" s="50" t="s">
        <v>469</v>
      </c>
      <c r="BE1167" s="2" t="s">
        <v>33</v>
      </c>
      <c r="BF1167" s="2" t="s">
        <v>477</v>
      </c>
      <c r="BG1167" s="2" t="s">
        <v>481</v>
      </c>
      <c r="BH1167" s="2" t="s">
        <v>484</v>
      </c>
      <c r="BI1167" s="2" t="s">
        <v>488</v>
      </c>
      <c r="BJ1167" s="2" t="s">
        <v>492</v>
      </c>
      <c r="BK1167" s="2" t="s">
        <v>495</v>
      </c>
      <c r="BL1167" s="2" t="s">
        <v>499</v>
      </c>
      <c r="BM1167" s="47" t="s">
        <v>3</v>
      </c>
    </row>
    <row r="1168" spans="1:65" ht="19.95" customHeight="1">
      <c r="A1168" s="224"/>
      <c r="B1168" s="86" t="s">
        <v>465</v>
      </c>
      <c r="C1168" s="57"/>
      <c r="D1168" s="58"/>
      <c r="E1168" s="59" t="s">
        <v>464</v>
      </c>
      <c r="F1168" s="57"/>
      <c r="G1168" s="87"/>
      <c r="H1168" s="353" t="s">
        <v>1236</v>
      </c>
      <c r="I1168" s="60"/>
      <c r="J1168" s="61"/>
      <c r="K1168" s="62" t="s">
        <v>463</v>
      </c>
      <c r="L1168" s="60"/>
      <c r="M1168" s="70"/>
      <c r="N1168" s="225"/>
      <c r="BB1168" s="2" t="str">
        <f t="shared" si="15"/>
        <v>GROUP COHESION</v>
      </c>
      <c r="BD1168" s="50" t="s">
        <v>470</v>
      </c>
      <c r="BE1168" s="2" t="str">
        <f>BE1167</f>
        <v>GROUP COHESION</v>
      </c>
      <c r="BF1168" s="2" t="str">
        <f t="shared" ref="BF1168:BL1168" si="16">BF1167</f>
        <v>ECONOMIC COOPERATION</v>
      </c>
      <c r="BG1168" s="2" t="str">
        <f t="shared" si="16"/>
        <v>LOCALIZED SAFETY</v>
      </c>
      <c r="BH1168" s="2" t="str">
        <f t="shared" si="16"/>
        <v>FAMILIAL BONDING</v>
      </c>
      <c r="BI1168" s="2" t="str">
        <f t="shared" si="16"/>
        <v>ACCESSIBLE EFFICIENCY</v>
      </c>
      <c r="BJ1168" s="2" t="str">
        <f t="shared" si="16"/>
        <v>PUBLICLY SAFE</v>
      </c>
      <c r="BK1168" s="2" t="str">
        <f t="shared" si="16"/>
        <v>MARKET SYNERGY</v>
      </c>
      <c r="BL1168" s="2" t="str">
        <f t="shared" si="16"/>
        <v>DEEPER TIES</v>
      </c>
      <c r="BM1168" s="47" t="s">
        <v>3</v>
      </c>
    </row>
    <row r="1169" spans="1:65" ht="19.95" customHeight="1">
      <c r="A1169" s="224"/>
      <c r="B1169" s="122" t="s">
        <v>27</v>
      </c>
      <c r="C1169" s="11"/>
      <c r="D1169" s="12"/>
      <c r="E1169" s="123" t="s">
        <v>26</v>
      </c>
      <c r="F1169" s="11"/>
      <c r="G1169" s="88"/>
      <c r="H1169" s="124" t="s">
        <v>27</v>
      </c>
      <c r="I1169" s="22"/>
      <c r="J1169" s="23"/>
      <c r="K1169" s="119" t="s">
        <v>26</v>
      </c>
      <c r="L1169" s="22"/>
      <c r="M1169" s="71"/>
      <c r="N1169" s="225"/>
      <c r="BB1169" s="2" t="str">
        <f t="shared" si="15"/>
        <v>PERSONAL SECURITY</v>
      </c>
      <c r="BD1169" s="50" t="s">
        <v>471</v>
      </c>
      <c r="BE1169" s="2" t="str">
        <f>BE1166</f>
        <v>PERSONAL SECURITY</v>
      </c>
      <c r="BF1169" s="2" t="str">
        <f t="shared" ref="BF1169:BL1169" si="17">BF1166</f>
        <v>SELF-DETERMINATION</v>
      </c>
      <c r="BG1169" s="2" t="str">
        <f t="shared" si="17"/>
        <v>SELF-SUFFICIENCY</v>
      </c>
      <c r="BH1169" s="2" t="str">
        <f t="shared" si="17"/>
        <v>SELF-POTENTIAL</v>
      </c>
      <c r="BI1169" s="2" t="str">
        <f t="shared" si="17"/>
        <v>OPTIMAL HEALTH</v>
      </c>
      <c r="BJ1169" s="2" t="str">
        <f t="shared" si="17"/>
        <v>PERSONAL RESPONSIBILITY</v>
      </c>
      <c r="BK1169" s="2" t="str">
        <f t="shared" si="17"/>
        <v>CREATIVE POTENTIAL</v>
      </c>
      <c r="BL1169" s="2" t="str">
        <f t="shared" si="17"/>
        <v>SELF-ACCEPTANCE</v>
      </c>
      <c r="BM1169" s="47" t="s">
        <v>3</v>
      </c>
    </row>
    <row r="1170" spans="1:65" ht="19.95" customHeight="1">
      <c r="A1170" s="224"/>
      <c r="B1170" s="1121" t="str">
        <f>IF(BB1166=0,"",BB1166)</f>
        <v>PERSONAL SECURITY</v>
      </c>
      <c r="C1170" s="1122"/>
      <c r="D1170" s="1123"/>
      <c r="E1170" s="10"/>
      <c r="F1170" s="8"/>
      <c r="G1170" s="83"/>
      <c r="H1170" s="1124" t="str">
        <f>IF(E1163="","",E1163)</f>
        <v>SOCIETAL INCLUSION</v>
      </c>
      <c r="I1170" s="1125"/>
      <c r="J1170" s="1126"/>
      <c r="K1170" s="21"/>
      <c r="L1170" s="19"/>
      <c r="M1170" s="68"/>
      <c r="N1170" s="225"/>
      <c r="BB1170" s="2" t="str">
        <f t="shared" si="15"/>
        <v>SOCIETAL INCLUSION</v>
      </c>
      <c r="BD1170" s="50" t="s">
        <v>472</v>
      </c>
      <c r="BE1170" s="2" t="str">
        <f>BE1165</f>
        <v>SOCIETAL INCLUSION</v>
      </c>
      <c r="BF1170" s="2" t="str">
        <f t="shared" ref="BF1170:BL1170" si="18">BF1165</f>
        <v>FAIR ACCESS</v>
      </c>
      <c r="BG1170" s="2" t="str">
        <f t="shared" si="18"/>
        <v>ID GROUP SAFETY</v>
      </c>
      <c r="BH1170" s="2" t="str">
        <f t="shared" si="18"/>
        <v>SOCIETAL INCLUSION</v>
      </c>
      <c r="BI1170" s="2" t="str">
        <f t="shared" si="18"/>
        <v>AFFORDABLE EFFICACY</v>
      </c>
      <c r="BJ1170" s="2" t="str">
        <f t="shared" si="18"/>
        <v>CULTURAL INCLUSION</v>
      </c>
      <c r="BK1170" s="2" t="str">
        <f t="shared" si="18"/>
        <v>FULL ECONOMIC PARTICIPATION</v>
      </c>
      <c r="BL1170" s="2" t="str">
        <f t="shared" si="18"/>
        <v>NO ETHNIC DISCRIMINATION</v>
      </c>
      <c r="BM1170" s="47" t="s">
        <v>3</v>
      </c>
    </row>
    <row r="1171" spans="1:65" ht="19.95" customHeight="1">
      <c r="A1171" s="224"/>
      <c r="B1171" s="1121"/>
      <c r="C1171" s="1122"/>
      <c r="D1171" s="1123"/>
      <c r="E1171" s="1127" t="str">
        <f>IF(BB1167=0,"",BB1167)</f>
        <v>GROUP COHESION</v>
      </c>
      <c r="F1171" s="1128"/>
      <c r="G1171" s="1129"/>
      <c r="H1171" s="1124"/>
      <c r="I1171" s="1125"/>
      <c r="J1171" s="1126"/>
      <c r="K1171" s="1130" t="str">
        <f>IF(B1164="","",B1164)</f>
        <v>AUTHENTIC INDIVIDUALITY</v>
      </c>
      <c r="L1171" s="1131"/>
      <c r="M1171" s="1132"/>
      <c r="N1171" s="225"/>
      <c r="BB1171" s="2" t="str">
        <f t="shared" si="15"/>
        <v>AUTHENTIC INDIVIDUALITY</v>
      </c>
      <c r="BD1171" s="50" t="s">
        <v>473</v>
      </c>
      <c r="BE1171" s="2" t="str">
        <f>BE1164</f>
        <v>AUTHENTIC INDIVIDUALITY</v>
      </c>
      <c r="BF1171" s="2" t="str">
        <f t="shared" ref="BF1171:BL1171" si="19">BF1164</f>
        <v>SELF-RESPONSIBILITY</v>
      </c>
      <c r="BG1171" s="2" t="str">
        <f t="shared" si="19"/>
        <v>VULNERABLY DIFFERENT</v>
      </c>
      <c r="BH1171" s="2" t="str">
        <f t="shared" si="19"/>
        <v>BODILY AUTONOMY</v>
      </c>
      <c r="BI1171" s="2" t="str">
        <f t="shared" si="19"/>
        <v>BASIC HEALTH</v>
      </c>
      <c r="BJ1171" s="2" t="str">
        <f t="shared" si="19"/>
        <v>LEGALLY DIFFERENT</v>
      </c>
      <c r="BK1171" s="2" t="str">
        <f t="shared" si="19"/>
        <v>VULNERABLY DIFFERENT</v>
      </c>
      <c r="BL1171" s="2" t="str">
        <f t="shared" si="19"/>
        <v>CULTURALLY DIFFERENT</v>
      </c>
      <c r="BM1171" s="47" t="s">
        <v>3</v>
      </c>
    </row>
    <row r="1172" spans="1:65" ht="19.95" customHeight="1">
      <c r="A1172" s="224"/>
      <c r="B1172" s="82"/>
      <c r="C1172" s="8"/>
      <c r="D1172" s="9"/>
      <c r="E1172" s="1127"/>
      <c r="F1172" s="1128"/>
      <c r="G1172" s="1129"/>
      <c r="H1172" s="351"/>
      <c r="I1172" s="19"/>
      <c r="J1172" s="20"/>
      <c r="K1172" s="1130"/>
      <c r="L1172" s="1131"/>
      <c r="M1172" s="1132"/>
      <c r="N1172" s="225"/>
    </row>
    <row r="1173" spans="1:65" ht="19.95" customHeight="1">
      <c r="A1173" s="224"/>
      <c r="B1173" s="82"/>
      <c r="C1173" s="8"/>
      <c r="D1173" s="9"/>
      <c r="E1173" s="10"/>
      <c r="F1173" s="8"/>
      <c r="G1173" s="83"/>
      <c r="H1173" s="351"/>
      <c r="I1173" s="19"/>
      <c r="J1173" s="20"/>
      <c r="K1173" s="21"/>
      <c r="L1173" s="19"/>
      <c r="M1173" s="68"/>
      <c r="N1173" s="225"/>
      <c r="BB1173" s="159" t="s">
        <v>1079</v>
      </c>
      <c r="BD1173" s="2" t="str">
        <f>CONCATENATE(BE1173,BF1173,BG1173)</f>
        <v xml:space="preserve">You're likely a political junkie or policy wonk. You trust politics to help solve just about any immigration problem. </v>
      </c>
      <c r="BE1173" s="2" t="s">
        <v>1084</v>
      </c>
      <c r="BF1173" s="2" t="str">
        <f>IF($C$1047="","social",IF($C$1047=$BB1047,$BF1047,IF($C$1047=$BB1048,$BF1048,IF($C$1047=$BB1049,$BF1049,IF($C$1047=$BB1050,$BF1050,IF($C$1047=$BB1051,$BF1051,IF($C$1047=$BB1052,$BF1052,IF($C$1047=$BB1053,$BF1053,IF($C$1047=$BB1054,$BF1054)))))))))</f>
        <v>immigration</v>
      </c>
      <c r="BG1173" s="2" t="s">
        <v>1085</v>
      </c>
    </row>
    <row r="1174" spans="1:65" ht="19.95" customHeight="1" thickBot="1">
      <c r="A1174" s="224"/>
      <c r="B1174" s="89"/>
      <c r="C1174" s="90" t="s">
        <v>36</v>
      </c>
      <c r="D1174" s="91"/>
      <c r="E1174" s="92"/>
      <c r="F1174" s="90" t="s">
        <v>37</v>
      </c>
      <c r="G1174" s="93"/>
      <c r="H1174" s="354"/>
      <c r="I1174" s="72" t="s">
        <v>35</v>
      </c>
      <c r="J1174" s="73"/>
      <c r="K1174" s="74"/>
      <c r="L1174" s="72" t="s">
        <v>34</v>
      </c>
      <c r="M1174" s="75"/>
      <c r="N1174" s="225"/>
      <c r="BB1174" s="159" t="s">
        <v>1080</v>
      </c>
      <c r="BD1174" s="2" t="str">
        <f>CONCATENATE(BE1174,BF1174,BG1174)</f>
        <v xml:space="preserve">You likely follow all levels of a political campaign. You put up with politics as the best means to address immigration problems. </v>
      </c>
      <c r="BE1174" s="2" t="s">
        <v>1087</v>
      </c>
      <c r="BF1174" s="2" t="str">
        <f>BF1173</f>
        <v>immigration</v>
      </c>
      <c r="BG1174" s="2" t="s">
        <v>1086</v>
      </c>
    </row>
    <row r="1175" spans="1:65" ht="15" thickTop="1" thickBot="1">
      <c r="A1175" s="224"/>
      <c r="B1175" s="24"/>
      <c r="C1175" s="24"/>
      <c r="D1175" s="24"/>
      <c r="E1175" s="24"/>
      <c r="F1175" s="24"/>
      <c r="G1175" s="24"/>
      <c r="H1175" s="340"/>
      <c r="I1175" s="24"/>
      <c r="J1175" s="24"/>
      <c r="K1175" s="24"/>
      <c r="L1175" s="24"/>
      <c r="M1175" s="24"/>
      <c r="N1175" s="225"/>
      <c r="BB1175" s="159" t="s">
        <v>1081</v>
      </c>
      <c r="BD1175" s="2" t="str">
        <f>CONCATENATE(BE1175,BF1175,BG1175)</f>
        <v xml:space="preserve">You likely listen to political news skeptically, if at all. You wish for something better than politics to address immigration problems. </v>
      </c>
      <c r="BE1175" s="2" t="s">
        <v>1088</v>
      </c>
      <c r="BF1175" s="2" t="str">
        <f>BF1174</f>
        <v>immigration</v>
      </c>
      <c r="BG1175" s="2" t="s">
        <v>1086</v>
      </c>
    </row>
    <row r="1176" spans="1:65" ht="13.95" customHeight="1">
      <c r="A1176" s="224"/>
      <c r="B1176" s="24"/>
      <c r="C1176" s="24"/>
      <c r="D1176" s="24"/>
      <c r="E1176" s="24"/>
      <c r="F1176" s="24"/>
      <c r="G1176" s="1266"/>
      <c r="H1176" s="1267"/>
      <c r="I1176" s="1267"/>
      <c r="J1176" s="1267"/>
      <c r="K1176" s="1267"/>
      <c r="L1176" s="1267"/>
      <c r="M1176" s="1268"/>
      <c r="N1176" s="225"/>
      <c r="BB1176" s="159" t="s">
        <v>1082</v>
      </c>
      <c r="BD1176" s="2" t="str">
        <f>CONCATENATE(BE1176,BF1176,BG1176)</f>
        <v xml:space="preserve">You likely ignore political news and only vote once every four years. You doubt politics can truly solve any immigration problem. </v>
      </c>
      <c r="BE1176" s="2" t="s">
        <v>1089</v>
      </c>
      <c r="BF1176" s="2" t="str">
        <f>BF1175</f>
        <v>immigration</v>
      </c>
      <c r="BG1176" s="2" t="s">
        <v>1085</v>
      </c>
    </row>
    <row r="1177" spans="1:65" ht="13.95" customHeight="1" thickBot="1">
      <c r="A1177" s="224"/>
      <c r="B1177" s="24"/>
      <c r="C1177" s="24"/>
      <c r="D1177" s="24"/>
      <c r="E1177" s="24"/>
      <c r="F1177" s="24"/>
      <c r="G1177" s="1269"/>
      <c r="H1177" s="1270"/>
      <c r="I1177" s="1270"/>
      <c r="J1177" s="1270"/>
      <c r="K1177" s="1270"/>
      <c r="L1177" s="1270"/>
      <c r="M1177" s="1271"/>
      <c r="N1177" s="225"/>
      <c r="BB1177" s="159" t="s">
        <v>1083</v>
      </c>
      <c r="BD1177" s="2" t="str">
        <f>CONCATENATE(BE1177,BF1177,BG1177)</f>
        <v xml:space="preserve">You're likely disillusioned with politics and don't even vote. You're convinced politics can never solve any immigration problem. </v>
      </c>
      <c r="BE1177" s="2" t="s">
        <v>1090</v>
      </c>
      <c r="BF1177" s="2" t="str">
        <f>BF1176</f>
        <v>immigration</v>
      </c>
      <c r="BG1177" s="2" t="s">
        <v>1085</v>
      </c>
    </row>
    <row r="1178" spans="1:65" ht="13.95" customHeight="1">
      <c r="A1178" s="224"/>
      <c r="B1178" s="1265" t="str">
        <f>BB1180</f>
        <v xml:space="preserve">Immigration views reveal more about each other’s social-needs than self-needs. Guarding their more resolved needs with established specifics reveals their political strength. Relieving their less resolved needs with sweeping generalizations exposes their political weakness. </v>
      </c>
      <c r="C1178" s="1265"/>
      <c r="D1178" s="1265"/>
      <c r="E1178" s="1265"/>
      <c r="F1178" s="1265"/>
      <c r="G1178" s="1265"/>
      <c r="H1178" s="1265"/>
      <c r="I1178" s="1265"/>
      <c r="J1178" s="1265"/>
      <c r="K1178" s="1265"/>
      <c r="L1178" s="1265"/>
      <c r="M1178" s="1265"/>
      <c r="N1178" s="225"/>
      <c r="BD1178" s="37" t="str">
        <f>CONCATENATE(BE1178)</f>
        <v xml:space="preserve">No matter how you feel about politics, this SWOT tool can add discipline to an otherwise free-for-all mess. </v>
      </c>
      <c r="BE1178" s="2" t="s">
        <v>1102</v>
      </c>
      <c r="BF1178" s="2" t="str">
        <f>IF($C$1047="","",IF($C$1047=$BB1047,$BF1047,IF($C$1047=$BB1048,$BF1048,IF($C$1047=$BB1049,$BF1049,IF($C$1047=$BB1050,$BF1050,IF($C$1047=$BB1051,$BF1051,IF($C$1047=$BB1052,$BF1052,IF($C$1047=$BB1053,$BF1053,IF($C$1047=$BB1054,$BF1054)))))))))</f>
        <v>immigration</v>
      </c>
      <c r="BG1178" s="2" t="s">
        <v>1091</v>
      </c>
      <c r="BH1178" s="2" t="str">
        <f>BF1178</f>
        <v>immigration</v>
      </c>
      <c r="BI1178" s="2" t="s">
        <v>1092</v>
      </c>
    </row>
    <row r="1179" spans="1:65" ht="13.95" customHeight="1">
      <c r="A1179" s="224"/>
      <c r="B1179" s="1265"/>
      <c r="C1179" s="1265"/>
      <c r="D1179" s="1265"/>
      <c r="E1179" s="1265"/>
      <c r="F1179" s="1265"/>
      <c r="G1179" s="1265"/>
      <c r="H1179" s="1265"/>
      <c r="I1179" s="1265"/>
      <c r="J1179" s="1265"/>
      <c r="K1179" s="1265"/>
      <c r="L1179" s="1265"/>
      <c r="M1179" s="1265"/>
      <c r="N1179" s="225"/>
      <c r="BD1179" s="2" t="str">
        <f>IF(G1176=BB1173,BD1173,IF(G1176=BB1174,BD1174,IF(G1176=BB1175,BD1175,IF(G1175=BB1176,BD1176,IF(G1176=BB1177,BD1177,"")))))</f>
        <v/>
      </c>
    </row>
    <row r="1180" spans="1:65" ht="13.95" customHeight="1">
      <c r="A1180" s="224"/>
      <c r="B1180" s="1265"/>
      <c r="C1180" s="1265"/>
      <c r="D1180" s="1265"/>
      <c r="E1180" s="1265"/>
      <c r="F1180" s="1265"/>
      <c r="G1180" s="1265"/>
      <c r="H1180" s="1265"/>
      <c r="I1180" s="1265"/>
      <c r="J1180" s="1265"/>
      <c r="K1180" s="1265"/>
      <c r="L1180" s="1265"/>
      <c r="M1180" s="1265"/>
      <c r="N1180" s="225"/>
      <c r="BB1180" s="2" t="str">
        <f>IF($G$1176="",BD1180,CONCATENATE(BD1179,BD1178))</f>
        <v xml:space="preserve">Immigration views reveal more about each other’s social-needs than self-needs. Guarding their more resolved needs with established specifics reveals their political strength. Relieving their less resolved needs with sweeping generalizations exposes their political weakness. </v>
      </c>
      <c r="BD1180" s="37" t="str">
        <f>CONCATENATE(BE1180,BF1180,BG1180,)</f>
        <v xml:space="preserve">Immigration views reveal more about each other’s social-needs than self-needs. Guarding their more resolved needs with established specifics reveals their political strength. Relieving their less resolved needs with sweeping generalizations exposes their political weakness. </v>
      </c>
      <c r="BE1180" s="2" t="str">
        <f>IF($C$1047="","Politics ",IF($C$1047=$BB1047,$BH1047,IF($C$1047=$BB1048,$BH1048,IF($C$1047=$BB1049,$BH1049,IF($C$1047=$BB1050,$BH1050,IF($C$1047=$BB1051,$BH1051,IF($C$1047=$BB1052,$BH1052,IF($C$1047=$BB1053,$BH1053,IF($C$1047=$BB1054,$BH1054)))))))))</f>
        <v>Immigration</v>
      </c>
      <c r="BF1180" s="2" t="str">
        <f>IF(G1176=""," views ","")</f>
        <v xml:space="preserve"> views </v>
      </c>
      <c r="BG1180" s="2" t="s">
        <v>1101</v>
      </c>
    </row>
    <row r="1181" spans="1:65" ht="13.95" customHeight="1">
      <c r="A1181" s="224"/>
      <c r="B1181" s="1265"/>
      <c r="C1181" s="1265"/>
      <c r="D1181" s="1265"/>
      <c r="E1181" s="1265"/>
      <c r="F1181" s="1265"/>
      <c r="G1181" s="1265"/>
      <c r="H1181" s="1265"/>
      <c r="I1181" s="1265"/>
      <c r="J1181" s="1265"/>
      <c r="K1181" s="1265"/>
      <c r="L1181" s="1265"/>
      <c r="M1181" s="1265"/>
      <c r="N1181" s="225"/>
    </row>
    <row r="1182" spans="1:65" ht="13.95" customHeight="1">
      <c r="A1182" s="224"/>
      <c r="B1182" s="1265" t="str">
        <f>BB1182</f>
        <v xml:space="preserve">For the wide-oriented, liberalism is less about guarding self-needs (by resisting traditional historical pressures to conform to old moral norms), and more about countering the Right’s resistance to relieve the Left's less resolved social-needs. Politics is social. </v>
      </c>
      <c r="C1182" s="1265"/>
      <c r="D1182" s="1265"/>
      <c r="E1182" s="1265"/>
      <c r="F1182" s="1265"/>
      <c r="G1182" s="1265"/>
      <c r="H1182" s="1265"/>
      <c r="I1182" s="1265"/>
      <c r="J1182" s="1265"/>
      <c r="K1182" s="1265"/>
      <c r="L1182" s="1265"/>
      <c r="M1182" s="1265"/>
      <c r="N1182" s="225"/>
      <c r="BB1182" s="2" t="str">
        <f>IF($G$1176="",BD1183,BD1182)</f>
        <v xml:space="preserve">For the wide-oriented, liberalism is less about guarding self-needs (by resisting traditional historical pressures to conform to old moral norms), and more about countering the Right’s resistance to relieve the Left's less resolved social-needs. Politics is social. </v>
      </c>
      <c r="BD1182" s="37" t="str">
        <f>CONCATENATE(BE1182,BF1182,BG1182,BH1182,BI1182,BJ1182)</f>
        <v>The other side's political weakness around their political views provides you opportunity. You can create value for them from the solid ground of your political strengths. Let them reciprocate by providing value to your political weakness. In short, overcome polarization by demanding less, giving more.</v>
      </c>
      <c r="BE1182" s="2" t="s">
        <v>1103</v>
      </c>
      <c r="BF1182" s="2" t="str">
        <f>IF($C$1047="","",IF($C$1047=$BB1051,$BF1051,IF($C$1047=$BB1052,$BF1052,IF($C$1047=$BB1053,$BF1053,IF($C$1047=$BB1054,$BF1054,IF($C$1047=$BB1055,$BF1055,IF($C$1047=$BB1056,$BF1056,IF($C$1047=$BB1057,$BF1057,IF($C$1047=$BB1058,$BF1058,"political")))))))))</f>
        <v>political</v>
      </c>
      <c r="BG1182" s="2" t="s">
        <v>1091</v>
      </c>
      <c r="BH1182" s="2" t="str">
        <f>BF1182</f>
        <v>political</v>
      </c>
      <c r="BI1182" s="2" t="s">
        <v>1104</v>
      </c>
    </row>
    <row r="1183" spans="1:65" ht="13.95" customHeight="1">
      <c r="A1183" s="224"/>
      <c r="B1183" s="1265"/>
      <c r="C1183" s="1265"/>
      <c r="D1183" s="1265"/>
      <c r="E1183" s="1265"/>
      <c r="F1183" s="1265"/>
      <c r="G1183" s="1265"/>
      <c r="H1183" s="1265"/>
      <c r="I1183" s="1265"/>
      <c r="J1183" s="1265"/>
      <c r="K1183" s="1265"/>
      <c r="L1183" s="1265"/>
      <c r="M1183" s="1265"/>
      <c r="N1183" s="225"/>
      <c r="BD1183" s="2" t="s">
        <v>1151</v>
      </c>
    </row>
    <row r="1184" spans="1:65" ht="13.95" customHeight="1">
      <c r="A1184" s="224"/>
      <c r="B1184" s="1265"/>
      <c r="C1184" s="1265"/>
      <c r="D1184" s="1265"/>
      <c r="E1184" s="1265"/>
      <c r="F1184" s="1265"/>
      <c r="G1184" s="1265"/>
      <c r="H1184" s="1265"/>
      <c r="I1184" s="1265"/>
      <c r="J1184" s="1265"/>
      <c r="K1184" s="1265"/>
      <c r="L1184" s="1265"/>
      <c r="M1184" s="1265"/>
      <c r="N1184" s="225"/>
    </row>
    <row r="1185" spans="1:56" ht="13.95" customHeight="1">
      <c r="A1185" s="224"/>
      <c r="B1185" s="1265"/>
      <c r="C1185" s="1265"/>
      <c r="D1185" s="1265"/>
      <c r="E1185" s="1265"/>
      <c r="F1185" s="1265"/>
      <c r="G1185" s="1265"/>
      <c r="H1185" s="1265"/>
      <c r="I1185" s="1265"/>
      <c r="J1185" s="1265"/>
      <c r="K1185" s="1265"/>
      <c r="L1185" s="1265"/>
      <c r="M1185" s="1265"/>
      <c r="N1185" s="225"/>
      <c r="BB1185" s="2" t="str">
        <f>IF($G$1176="",BD1186,BD1185)</f>
        <v xml:space="preserve">For the deep-oriented, conservatism is less about relieving self-needs (when asserting individual rights and personal responsibility), and more about countering the Left’s impact by guarding the Right's more resolved social-needs. Politics is social. </v>
      </c>
      <c r="BD1185" s="2" t="s">
        <v>1105</v>
      </c>
    </row>
    <row r="1186" spans="1:56" ht="13.95" customHeight="1">
      <c r="A1186" s="224"/>
      <c r="B1186" s="1265" t="str">
        <f>BB1185</f>
        <v xml:space="preserve">For the deep-oriented, conservatism is less about relieving self-needs (when asserting individual rights and personal responsibility), and more about countering the Left’s impact by guarding the Right's more resolved social-needs. Politics is social. </v>
      </c>
      <c r="C1186" s="1265"/>
      <c r="D1186" s="1265"/>
      <c r="E1186" s="1265"/>
      <c r="F1186" s="1265"/>
      <c r="G1186" s="1265"/>
      <c r="H1186" s="1265"/>
      <c r="I1186" s="1265"/>
      <c r="J1186" s="1265"/>
      <c r="K1186" s="1265"/>
      <c r="L1186" s="1265"/>
      <c r="M1186" s="1265"/>
      <c r="N1186" s="225"/>
      <c r="BD1186" s="2" t="s">
        <v>1152</v>
      </c>
    </row>
    <row r="1187" spans="1:56" ht="13.95" customHeight="1">
      <c r="A1187" s="224"/>
      <c r="B1187" s="1265"/>
      <c r="C1187" s="1265"/>
      <c r="D1187" s="1265"/>
      <c r="E1187" s="1265"/>
      <c r="F1187" s="1265"/>
      <c r="G1187" s="1265"/>
      <c r="H1187" s="1265"/>
      <c r="I1187" s="1265"/>
      <c r="J1187" s="1265"/>
      <c r="K1187" s="1265"/>
      <c r="L1187" s="1265"/>
      <c r="M1187" s="1265"/>
      <c r="N1187" s="225"/>
    </row>
    <row r="1188" spans="1:56">
      <c r="A1188" s="224"/>
      <c r="B1188" s="1265"/>
      <c r="C1188" s="1265"/>
      <c r="D1188" s="1265"/>
      <c r="E1188" s="1265"/>
      <c r="F1188" s="1265"/>
      <c r="G1188" s="1265"/>
      <c r="H1188" s="1265"/>
      <c r="I1188" s="1265"/>
      <c r="J1188" s="1265"/>
      <c r="K1188" s="1265"/>
      <c r="L1188" s="1265"/>
      <c r="M1188" s="1265"/>
      <c r="N1188" s="225"/>
    </row>
    <row r="1189" spans="1:56">
      <c r="A1189" s="224"/>
      <c r="B1189" s="1265"/>
      <c r="C1189" s="1265"/>
      <c r="D1189" s="1265"/>
      <c r="E1189" s="1265"/>
      <c r="F1189" s="1265"/>
      <c r="G1189" s="1265"/>
      <c r="H1189" s="1265"/>
      <c r="I1189" s="1265"/>
      <c r="J1189" s="1265"/>
      <c r="K1189" s="1265"/>
      <c r="L1189" s="1265"/>
      <c r="M1189" s="1265"/>
      <c r="N1189" s="225"/>
    </row>
    <row r="1190" spans="1:56" ht="7.95" customHeight="1">
      <c r="A1190" s="226"/>
      <c r="B1190" s="235"/>
      <c r="C1190" s="235"/>
      <c r="D1190" s="235"/>
      <c r="E1190" s="235"/>
      <c r="F1190" s="235"/>
      <c r="G1190" s="235"/>
      <c r="H1190" s="355"/>
      <c r="I1190" s="235"/>
      <c r="J1190" s="235"/>
      <c r="K1190" s="235"/>
      <c r="L1190" s="235"/>
      <c r="M1190" s="235"/>
      <c r="N1190" s="228"/>
    </row>
    <row r="1191" spans="1:56" ht="30" customHeight="1">
      <c r="A1191" s="220" t="s">
        <v>1148</v>
      </c>
      <c r="B1191" s="915" t="s">
        <v>1171</v>
      </c>
      <c r="C1191" s="915"/>
      <c r="D1191" s="915"/>
      <c r="E1191" s="915"/>
      <c r="F1191" s="915"/>
      <c r="G1191" s="915"/>
      <c r="H1191" s="915"/>
      <c r="I1191" s="915"/>
      <c r="J1191" s="915"/>
      <c r="K1191" s="915"/>
      <c r="L1191" s="915"/>
      <c r="M1191" s="222"/>
      <c r="N1191" s="223" t="s">
        <v>1149</v>
      </c>
    </row>
    <row r="1192" spans="1:56">
      <c r="A1192" s="224"/>
      <c r="B1192" s="24"/>
      <c r="C1192" s="24"/>
      <c r="D1192" s="24"/>
      <c r="E1192" s="24"/>
      <c r="F1192" s="24"/>
      <c r="G1192" s="24"/>
      <c r="H1192" s="340"/>
      <c r="I1192" s="24"/>
      <c r="J1192" s="24"/>
      <c r="K1192" s="24"/>
      <c r="L1192" s="24"/>
      <c r="M1192" s="24"/>
      <c r="N1192" s="225"/>
    </row>
    <row r="1193" spans="1:56">
      <c r="A1193" s="224"/>
      <c r="B1193" s="24"/>
      <c r="C1193" s="24"/>
      <c r="D1193" s="24"/>
      <c r="E1193" s="24"/>
      <c r="F1193" s="24"/>
      <c r="G1193" s="24"/>
      <c r="H1193" s="340"/>
      <c r="I1193" s="24"/>
      <c r="J1193" s="24"/>
      <c r="K1193" s="24"/>
      <c r="L1193" s="24"/>
      <c r="M1193" s="24"/>
      <c r="N1193" s="225"/>
    </row>
    <row r="1194" spans="1:56">
      <c r="A1194" s="224"/>
      <c r="B1194" s="24"/>
      <c r="C1194" s="24"/>
      <c r="D1194" s="24"/>
      <c r="E1194" s="24"/>
      <c r="F1194" s="24"/>
      <c r="G1194" s="24"/>
      <c r="H1194" s="340"/>
      <c r="I1194" s="24"/>
      <c r="J1194" s="24"/>
      <c r="K1194" s="24"/>
      <c r="L1194" s="24"/>
      <c r="M1194" s="24"/>
      <c r="N1194" s="225"/>
    </row>
    <row r="1195" spans="1:56">
      <c r="A1195" s="224"/>
      <c r="B1195" s="24"/>
      <c r="C1195" s="24"/>
      <c r="D1195" s="24"/>
      <c r="E1195" s="24"/>
      <c r="F1195" s="24"/>
      <c r="G1195" s="24"/>
      <c r="H1195" s="340"/>
      <c r="I1195" s="24"/>
      <c r="J1195" s="24"/>
      <c r="K1195" s="24"/>
      <c r="L1195" s="24"/>
      <c r="M1195" s="24"/>
      <c r="N1195" s="225"/>
    </row>
    <row r="1196" spans="1:56" ht="14.4" customHeight="1">
      <c r="A1196" s="224"/>
      <c r="B1196" s="24"/>
      <c r="C1196" s="24"/>
      <c r="D1196" s="24"/>
      <c r="E1196" s="24"/>
      <c r="F1196" s="24"/>
      <c r="G1196" s="24"/>
      <c r="H1196" s="340"/>
      <c r="I1196" s="24"/>
      <c r="J1196" s="24"/>
      <c r="K1196" s="24"/>
      <c r="L1196" s="24"/>
      <c r="M1196" s="24"/>
      <c r="N1196" s="225"/>
    </row>
    <row r="1197" spans="1:56" ht="13.95" customHeight="1">
      <c r="A1197" s="224"/>
      <c r="B1197" s="24"/>
      <c r="C1197" s="24"/>
      <c r="D1197" s="24"/>
      <c r="E1197" s="24"/>
      <c r="F1197" s="24"/>
      <c r="G1197" s="24"/>
      <c r="H1197" s="340"/>
      <c r="I1197" s="24"/>
      <c r="J1197" s="24"/>
      <c r="K1197" s="24"/>
      <c r="L1197" s="24"/>
      <c r="M1197" s="24"/>
      <c r="N1197" s="225"/>
    </row>
    <row r="1198" spans="1:56" ht="14.4" customHeight="1">
      <c r="A1198" s="224"/>
      <c r="B1198" s="24"/>
      <c r="C1198" s="24"/>
      <c r="D1198" s="24"/>
      <c r="E1198" s="24"/>
      <c r="F1198" s="24"/>
      <c r="G1198" s="24"/>
      <c r="H1198" s="340"/>
      <c r="I1198" s="24"/>
      <c r="J1198" s="24"/>
      <c r="K1198" s="24"/>
      <c r="L1198" s="24"/>
      <c r="M1198" s="24"/>
      <c r="N1198" s="225"/>
    </row>
    <row r="1199" spans="1:56">
      <c r="A1199" s="224"/>
      <c r="B1199" s="24"/>
      <c r="C1199" s="24"/>
      <c r="D1199" s="24"/>
      <c r="E1199" s="24"/>
      <c r="F1199" s="24"/>
      <c r="G1199" s="24"/>
      <c r="H1199" s="340"/>
      <c r="I1199" s="24"/>
      <c r="J1199" s="24"/>
      <c r="K1199" s="24"/>
      <c r="L1199" s="24"/>
      <c r="M1199" s="24"/>
      <c r="N1199" s="225"/>
    </row>
    <row r="1200" spans="1:56">
      <c r="A1200" s="224"/>
      <c r="B1200" s="24"/>
      <c r="C1200" s="24"/>
      <c r="D1200" s="24"/>
      <c r="E1200" s="24"/>
      <c r="F1200" s="24"/>
      <c r="G1200" s="24"/>
      <c r="H1200" s="340"/>
      <c r="I1200" s="24"/>
      <c r="J1200" s="24"/>
      <c r="K1200" s="24"/>
      <c r="L1200" s="24"/>
      <c r="M1200" s="24"/>
      <c r="N1200" s="225"/>
    </row>
    <row r="1201" spans="1:64" ht="13.2" customHeight="1">
      <c r="A1201" s="224"/>
      <c r="B1201" s="24"/>
      <c r="C1201" s="24"/>
      <c r="D1201" s="24"/>
      <c r="E1201" s="24"/>
      <c r="F1201" s="24"/>
      <c r="G1201" s="24"/>
      <c r="H1201" s="340"/>
      <c r="I1201" s="24"/>
      <c r="J1201" s="24"/>
      <c r="K1201" s="24"/>
      <c r="L1201" s="24"/>
      <c r="M1201" s="24"/>
      <c r="N1201" s="225"/>
    </row>
    <row r="1202" spans="1:64">
      <c r="A1202" s="224"/>
      <c r="B1202" s="24"/>
      <c r="C1202" s="24"/>
      <c r="D1202" s="24"/>
      <c r="E1202" s="24"/>
      <c r="F1202" s="24"/>
      <c r="G1202" s="24"/>
      <c r="H1202" s="340"/>
      <c r="I1202" s="24"/>
      <c r="J1202" s="24"/>
      <c r="K1202" s="24"/>
      <c r="L1202" s="24"/>
      <c r="M1202" s="24"/>
      <c r="N1202" s="225"/>
    </row>
    <row r="1203" spans="1:64">
      <c r="A1203" s="224"/>
      <c r="B1203" s="24"/>
      <c r="C1203" s="24"/>
      <c r="D1203" s="24"/>
      <c r="E1203" s="24"/>
      <c r="F1203" s="24"/>
      <c r="G1203" s="24"/>
      <c r="H1203" s="340"/>
      <c r="I1203" s="24"/>
      <c r="J1203" s="24"/>
      <c r="K1203" s="24"/>
      <c r="L1203" s="24"/>
      <c r="M1203" s="24"/>
      <c r="N1203" s="225"/>
    </row>
    <row r="1204" spans="1:64">
      <c r="A1204" s="224"/>
      <c r="B1204" s="24"/>
      <c r="C1204" s="24"/>
      <c r="D1204" s="24"/>
      <c r="E1204" s="24"/>
      <c r="F1204" s="24"/>
      <c r="G1204" s="24"/>
      <c r="H1204" s="340"/>
      <c r="I1204" s="24"/>
      <c r="J1204" s="24"/>
      <c r="K1204" s="24"/>
      <c r="L1204" s="24"/>
      <c r="M1204" s="24"/>
      <c r="N1204" s="225"/>
    </row>
    <row r="1205" spans="1:64">
      <c r="A1205" s="224"/>
      <c r="B1205" s="24"/>
      <c r="C1205" s="24"/>
      <c r="D1205" s="24"/>
      <c r="E1205" s="24"/>
      <c r="F1205" s="24"/>
      <c r="G1205" s="24"/>
      <c r="H1205" s="340"/>
      <c r="I1205" s="24"/>
      <c r="J1205" s="24"/>
      <c r="K1205" s="24"/>
      <c r="L1205" s="24"/>
      <c r="M1205" s="24"/>
      <c r="N1205" s="225"/>
    </row>
    <row r="1206" spans="1:64">
      <c r="A1206" s="224"/>
      <c r="B1206" s="24"/>
      <c r="C1206" s="24"/>
      <c r="D1206" s="24"/>
      <c r="E1206" s="24"/>
      <c r="F1206" s="24"/>
      <c r="G1206" s="24"/>
      <c r="H1206" s="340"/>
      <c r="I1206" s="24"/>
      <c r="J1206" s="24"/>
      <c r="K1206" s="24"/>
      <c r="L1206" s="24"/>
      <c r="M1206" s="24"/>
      <c r="N1206" s="225"/>
    </row>
    <row r="1207" spans="1:64">
      <c r="A1207" s="224"/>
      <c r="B1207" s="24"/>
      <c r="C1207" s="24"/>
      <c r="D1207" s="24"/>
      <c r="E1207" s="24"/>
      <c r="F1207" s="24"/>
      <c r="G1207" s="24"/>
      <c r="H1207" s="340"/>
      <c r="I1207" s="24"/>
      <c r="J1207" s="24"/>
      <c r="K1207" s="24"/>
      <c r="L1207" s="24"/>
      <c r="M1207" s="24"/>
      <c r="N1207" s="225"/>
    </row>
    <row r="1208" spans="1:64" ht="13.95" customHeight="1">
      <c r="A1208" s="224"/>
      <c r="B1208" s="24"/>
      <c r="C1208" s="24"/>
      <c r="D1208" s="24"/>
      <c r="E1208" s="24"/>
      <c r="F1208" s="24"/>
      <c r="G1208" s="24"/>
      <c r="H1208" s="340"/>
      <c r="I1208" s="24"/>
      <c r="J1208" s="24"/>
      <c r="K1208" s="24"/>
      <c r="L1208" s="24"/>
      <c r="M1208" s="24"/>
      <c r="N1208" s="225"/>
    </row>
    <row r="1209" spans="1:64" ht="13.95" customHeight="1">
      <c r="A1209" s="224"/>
      <c r="B1209" s="24"/>
      <c r="C1209" s="24"/>
      <c r="D1209" s="24"/>
      <c r="E1209" s="24"/>
      <c r="F1209" s="24"/>
      <c r="G1209" s="24"/>
      <c r="H1209" s="340"/>
      <c r="I1209" s="24"/>
      <c r="J1209" s="24"/>
      <c r="K1209" s="24"/>
      <c r="L1209" s="24"/>
      <c r="M1209" s="24"/>
      <c r="N1209" s="225"/>
    </row>
    <row r="1210" spans="1:64" ht="13.95" customHeight="1">
      <c r="A1210" s="224"/>
      <c r="B1210" s="24"/>
      <c r="C1210" s="24"/>
      <c r="D1210" s="24"/>
      <c r="E1210" s="24"/>
      <c r="F1210" s="24"/>
      <c r="G1210" s="24"/>
      <c r="H1210" s="340"/>
      <c r="I1210" s="24"/>
      <c r="J1210" s="24"/>
      <c r="K1210" s="24"/>
      <c r="L1210" s="24"/>
      <c r="M1210" s="24"/>
      <c r="N1210" s="225"/>
    </row>
    <row r="1211" spans="1:64" ht="13.95" customHeight="1">
      <c r="A1211" s="224"/>
      <c r="B1211" s="24"/>
      <c r="C1211" s="24"/>
      <c r="D1211" s="24"/>
      <c r="E1211" s="24"/>
      <c r="F1211" s="24"/>
      <c r="G1211" s="24"/>
      <c r="H1211" s="340"/>
      <c r="I1211" s="24"/>
      <c r="J1211" s="24"/>
      <c r="K1211" s="24"/>
      <c r="L1211" s="24"/>
      <c r="M1211" s="24"/>
      <c r="N1211" s="225"/>
    </row>
    <row r="1212" spans="1:64" ht="13.95" customHeight="1">
      <c r="A1212" s="224"/>
      <c r="B1212" s="24"/>
      <c r="C1212" s="24"/>
      <c r="D1212" s="24"/>
      <c r="E1212" s="24"/>
      <c r="F1212" s="24"/>
      <c r="G1212" s="24"/>
      <c r="H1212" s="340"/>
      <c r="I1212" s="24"/>
      <c r="J1212" s="24"/>
      <c r="K1212" s="24"/>
      <c r="L1212" s="24"/>
      <c r="M1212" s="24"/>
      <c r="N1212" s="225"/>
    </row>
    <row r="1213" spans="1:64" ht="13.95" customHeight="1">
      <c r="A1213" s="224"/>
      <c r="B1213" s="24"/>
      <c r="C1213" s="24"/>
      <c r="D1213" s="24"/>
      <c r="E1213" s="24"/>
      <c r="F1213" s="24"/>
      <c r="G1213" s="24"/>
      <c r="H1213" s="340"/>
      <c r="I1213" s="24"/>
      <c r="J1213" s="24"/>
      <c r="K1213" s="24"/>
      <c r="L1213" s="24"/>
      <c r="M1213" s="24"/>
      <c r="N1213" s="225"/>
    </row>
    <row r="1214" spans="1:64" ht="13.95" customHeight="1">
      <c r="A1214" s="224"/>
      <c r="B1214" s="24"/>
      <c r="C1214" s="24"/>
      <c r="D1214" s="24"/>
      <c r="E1214" s="24"/>
      <c r="F1214" s="24"/>
      <c r="G1214" s="24"/>
      <c r="H1214" s="340"/>
      <c r="I1214" s="24"/>
      <c r="J1214" s="24"/>
      <c r="K1214" s="24"/>
      <c r="L1214" s="24"/>
      <c r="M1214" s="24"/>
      <c r="N1214" s="225"/>
    </row>
    <row r="1215" spans="1:64" ht="13.95" customHeight="1">
      <c r="A1215" s="224"/>
      <c r="B1215" s="24"/>
      <c r="C1215" s="24"/>
      <c r="D1215" s="24"/>
      <c r="E1215" s="24"/>
      <c r="F1215" s="24"/>
      <c r="G1215" s="24"/>
      <c r="H1215" s="340"/>
      <c r="I1215" s="24"/>
      <c r="J1215" s="24"/>
      <c r="K1215" s="24"/>
      <c r="L1215" s="24"/>
      <c r="M1215" s="24"/>
      <c r="N1215" s="225"/>
    </row>
    <row r="1216" spans="1:64" ht="13.95" customHeight="1">
      <c r="A1216" s="224"/>
      <c r="B1216" s="932" t="str">
        <f>BE1216</f>
        <v>Generalizing lets us build coalitions, by avoiding messy specifics that could undercut unifying agreement. Coalitions attract support to shape public policy around the issue of IMMIGRATION.</v>
      </c>
      <c r="C1216" s="932"/>
      <c r="D1216" s="932"/>
      <c r="E1216" s="932"/>
      <c r="F1216" s="932" t="str">
        <f>BE1220</f>
        <v>Alienation is the byproduct of our highly individualistic privacy, so we can do our own things without intrusion from others. Privacy lets us set our terms for handling the issue of IMMIGRATION.</v>
      </c>
      <c r="G1216" s="932"/>
      <c r="H1216" s="932"/>
      <c r="I1216" s="932"/>
      <c r="J1216" s="932" t="str">
        <f>BE1224</f>
        <v>Polarization is the common outcome when fighting for our opposing rights, to fight for a piece of the public pie. It tends to bring out more voices affected by the issue of IMMIGRATION.</v>
      </c>
      <c r="K1216" s="932"/>
      <c r="L1216" s="932"/>
      <c r="M1216" s="932"/>
      <c r="N1216" s="225"/>
      <c r="BE1216" s="2" t="str">
        <f>CONCATENATE(BG1216,BH1216,BI1216)</f>
        <v>Generalizing lets us build coalitions, by avoiding messy specifics that could undercut unifying agreement. Coalitions attract support to shape public policy around the issue of IMMIGRATION.</v>
      </c>
      <c r="BG1216" s="2" t="s">
        <v>765</v>
      </c>
      <c r="BH1216" s="2" t="str">
        <f>IF(B1233="","each issue",BJ1216)</f>
        <v>the issue of IMMIGRATION</v>
      </c>
      <c r="BI1216" s="2" t="s">
        <v>706</v>
      </c>
      <c r="BJ1216" s="2" t="str">
        <f>CONCATENATE(BK1216,BL1216)</f>
        <v>the issue of IMMIGRATION</v>
      </c>
      <c r="BK1216" s="2" t="s">
        <v>772</v>
      </c>
      <c r="BL1216" s="2" t="str">
        <f>B1233</f>
        <v>IMMIGRATION</v>
      </c>
    </row>
    <row r="1217" spans="1:64" ht="13.95" customHeight="1">
      <c r="A1217" s="224"/>
      <c r="B1217" s="932"/>
      <c r="C1217" s="932"/>
      <c r="D1217" s="932"/>
      <c r="E1217" s="932"/>
      <c r="F1217" s="932"/>
      <c r="G1217" s="932"/>
      <c r="H1217" s="932"/>
      <c r="I1217" s="932"/>
      <c r="J1217" s="932"/>
      <c r="K1217" s="932"/>
      <c r="L1217" s="932"/>
      <c r="M1217" s="932"/>
      <c r="N1217" s="225"/>
      <c r="BE1217" s="2" t="str">
        <f>CONCATENATE(BG1217,BH1217)</f>
        <v>But generalizations gloss over the specifics necessary to fully resolve underlying needs, which would then remove the pain. The more you generalize, the more you feel the need to generalize, slipping into a vicious cycle.</v>
      </c>
      <c r="BG1217" s="2" t="s">
        <v>766</v>
      </c>
      <c r="BH1217" s="146" t="s">
        <v>767</v>
      </c>
    </row>
    <row r="1218" spans="1:64" ht="13.95" customHeight="1">
      <c r="A1218" s="224"/>
      <c r="B1218" s="932"/>
      <c r="C1218" s="932"/>
      <c r="D1218" s="932"/>
      <c r="E1218" s="932"/>
      <c r="F1218" s="932"/>
      <c r="G1218" s="932"/>
      <c r="H1218" s="932"/>
      <c r="I1218" s="932"/>
      <c r="J1218" s="932"/>
      <c r="K1218" s="932"/>
      <c r="L1218" s="932"/>
      <c r="M1218" s="932"/>
      <c r="N1218" s="225"/>
    </row>
    <row r="1219" spans="1:64" ht="13.95" customHeight="1">
      <c r="A1219" s="224"/>
      <c r="B1219" s="932"/>
      <c r="C1219" s="932"/>
      <c r="D1219" s="932"/>
      <c r="E1219" s="932"/>
      <c r="F1219" s="932"/>
      <c r="G1219" s="932"/>
      <c r="H1219" s="932"/>
      <c r="I1219" s="932"/>
      <c r="J1219" s="932"/>
      <c r="K1219" s="932"/>
      <c r="L1219" s="932"/>
      <c r="M1219" s="932"/>
      <c r="N1219" s="225"/>
    </row>
    <row r="1220" spans="1:64" ht="13.95" customHeight="1">
      <c r="A1220" s="224"/>
      <c r="B1220" s="932"/>
      <c r="C1220" s="932"/>
      <c r="D1220" s="932"/>
      <c r="E1220" s="932"/>
      <c r="F1220" s="932"/>
      <c r="G1220" s="932"/>
      <c r="H1220" s="932"/>
      <c r="I1220" s="932"/>
      <c r="J1220" s="932"/>
      <c r="K1220" s="932"/>
      <c r="L1220" s="932"/>
      <c r="M1220" s="932"/>
      <c r="N1220" s="225"/>
      <c r="BE1220" s="2" t="str">
        <f>CONCATENATE(BG1220,BH1220,BI1220)</f>
        <v>Alienation is the byproduct of our highly individualistic privacy, so we can do our own things without intrusion from others. Privacy lets us set our terms for handling the issue of IMMIGRATION.</v>
      </c>
      <c r="BG1220" s="2" t="s">
        <v>1231</v>
      </c>
      <c r="BH1220" s="2" t="str">
        <f>BH1216</f>
        <v>the issue of IMMIGRATION</v>
      </c>
      <c r="BI1220" s="2" t="s">
        <v>706</v>
      </c>
      <c r="BJ1220" s="2" t="str">
        <f>CONCATENATE(BK1220,BL1220)</f>
        <v>the issue of IMMIGRATION</v>
      </c>
      <c r="BK1220" s="2" t="s">
        <v>772</v>
      </c>
      <c r="BL1220" s="2" t="str">
        <f>B1233</f>
        <v>IMMIGRATION</v>
      </c>
    </row>
    <row r="1221" spans="1:64" ht="13.95" customHeight="1">
      <c r="A1221" s="224"/>
      <c r="B1221" s="932"/>
      <c r="C1221" s="932"/>
      <c r="D1221" s="932"/>
      <c r="E1221" s="932"/>
      <c r="F1221" s="932"/>
      <c r="G1221" s="932"/>
      <c r="H1221" s="932"/>
      <c r="I1221" s="932"/>
      <c r="J1221" s="932"/>
      <c r="K1221" s="932"/>
      <c r="L1221" s="932"/>
      <c r="M1221" s="932"/>
      <c r="N1221" s="225"/>
      <c r="BE1221" s="2" t="str">
        <f>CONCATENATE(BG1221,BH1221)</f>
        <v xml:space="preserve">But alienation traps us into relying on impersonal laws to redress one another's affected needs. The more you remain alienated from others, the less you can resolve needs affecting each other, trapping you into a vicious cycle. </v>
      </c>
      <c r="BG1221" s="2" t="s">
        <v>768</v>
      </c>
      <c r="BH1221" s="146" t="s">
        <v>769</v>
      </c>
    </row>
    <row r="1222" spans="1:64" ht="13.95" customHeight="1">
      <c r="A1222" s="224"/>
      <c r="B1222" s="932" t="str">
        <f>BE1217</f>
        <v>But generalizations gloss over the specifics necessary to fully resolve underlying needs, which would then remove the pain. The more you generalize, the more you feel the need to generalize, slipping into a vicious cycle.</v>
      </c>
      <c r="C1222" s="932"/>
      <c r="D1222" s="932"/>
      <c r="E1222" s="932"/>
      <c r="F1222" s="932" t="str">
        <f>BE1221</f>
        <v xml:space="preserve">But alienation traps us into relying on impersonal laws to redress one another's affected needs. The more you remain alienated from others, the less you can resolve needs affecting each other, trapping you into a vicious cycle. </v>
      </c>
      <c r="G1222" s="932"/>
      <c r="H1222" s="932"/>
      <c r="I1222" s="932"/>
      <c r="J1222" s="932" t="str">
        <f>BE1225</f>
        <v xml:space="preserve">But polarization easily sinks into mutual defensiveness that shuts down meaningful resolution of each other's affected needs. The more at odds with each other, the longer it can take to resolve needs, leaving you stuck in a vicious cycle. </v>
      </c>
      <c r="K1222" s="932"/>
      <c r="L1222" s="932"/>
      <c r="M1222" s="932"/>
      <c r="N1222" s="225"/>
    </row>
    <row r="1223" spans="1:64" ht="13.95" customHeight="1">
      <c r="A1223" s="224"/>
      <c r="B1223" s="932"/>
      <c r="C1223" s="932"/>
      <c r="D1223" s="932"/>
      <c r="E1223" s="932"/>
      <c r="F1223" s="932"/>
      <c r="G1223" s="932"/>
      <c r="H1223" s="932"/>
      <c r="I1223" s="932"/>
      <c r="J1223" s="932"/>
      <c r="K1223" s="932"/>
      <c r="L1223" s="932"/>
      <c r="M1223" s="932"/>
      <c r="N1223" s="225"/>
    </row>
    <row r="1224" spans="1:64" ht="13.95" customHeight="1">
      <c r="A1224" s="224"/>
      <c r="B1224" s="932"/>
      <c r="C1224" s="932"/>
      <c r="D1224" s="932"/>
      <c r="E1224" s="932"/>
      <c r="F1224" s="932"/>
      <c r="G1224" s="932"/>
      <c r="H1224" s="932"/>
      <c r="I1224" s="932"/>
      <c r="J1224" s="932"/>
      <c r="K1224" s="932"/>
      <c r="L1224" s="932"/>
      <c r="M1224" s="932"/>
      <c r="N1224" s="225"/>
      <c r="BE1224" s="2" t="str">
        <f>CONCATENATE(BG1224,BH1224,BI1224)</f>
        <v>Polarization is the common outcome when fighting for our opposing rights, to fight for a piece of the public pie. It tends to bring out more voices affected by the issue of IMMIGRATION.</v>
      </c>
      <c r="BG1224" s="2" t="s">
        <v>1232</v>
      </c>
      <c r="BH1224" s="2" t="str">
        <f>BH1220</f>
        <v>the issue of IMMIGRATION</v>
      </c>
      <c r="BI1224" s="2" t="s">
        <v>706</v>
      </c>
      <c r="BJ1224" s="2" t="str">
        <f>CONCATENATE(BK1224,BL1224)</f>
        <v>the issue of IMMIGRATION</v>
      </c>
      <c r="BK1224" s="2" t="s">
        <v>772</v>
      </c>
      <c r="BL1224" s="2" t="str">
        <f>B1233</f>
        <v>IMMIGRATION</v>
      </c>
    </row>
    <row r="1225" spans="1:64" ht="13.95" customHeight="1">
      <c r="A1225" s="224"/>
      <c r="B1225" s="932"/>
      <c r="C1225" s="932"/>
      <c r="D1225" s="932"/>
      <c r="E1225" s="932"/>
      <c r="F1225" s="932"/>
      <c r="G1225" s="932"/>
      <c r="H1225" s="932"/>
      <c r="I1225" s="932"/>
      <c r="J1225" s="932"/>
      <c r="K1225" s="932"/>
      <c r="L1225" s="932"/>
      <c r="M1225" s="932"/>
      <c r="N1225" s="225"/>
      <c r="BE1225" s="2" t="str">
        <f>CONCATENATE(BG1225,BH1225)</f>
        <v xml:space="preserve">But polarization easily sinks into mutual defensiveness that shuts down meaningful resolution of each other's affected needs. The more at odds with each other, the longer it can take to resolve needs, leaving you stuck in a vicious cycle. </v>
      </c>
      <c r="BG1225" s="2" t="s">
        <v>770</v>
      </c>
      <c r="BH1225" s="146" t="s">
        <v>771</v>
      </c>
    </row>
    <row r="1226" spans="1:64" ht="13.95" customHeight="1">
      <c r="A1226" s="224"/>
      <c r="B1226" s="932"/>
      <c r="C1226" s="932"/>
      <c r="D1226" s="932"/>
      <c r="E1226" s="932"/>
      <c r="F1226" s="932"/>
      <c r="G1226" s="932"/>
      <c r="H1226" s="932"/>
      <c r="I1226" s="932"/>
      <c r="J1226" s="932"/>
      <c r="K1226" s="932"/>
      <c r="L1226" s="932"/>
      <c r="M1226" s="932"/>
      <c r="N1226" s="225"/>
    </row>
    <row r="1227" spans="1:64" ht="13.95" customHeight="1">
      <c r="A1227" s="224"/>
      <c r="B1227" s="932"/>
      <c r="C1227" s="932"/>
      <c r="D1227" s="932"/>
      <c r="E1227" s="932"/>
      <c r="F1227" s="932"/>
      <c r="G1227" s="932"/>
      <c r="H1227" s="932"/>
      <c r="I1227" s="932"/>
      <c r="J1227" s="932"/>
      <c r="K1227" s="932"/>
      <c r="L1227" s="932"/>
      <c r="M1227" s="932"/>
      <c r="N1227" s="225"/>
    </row>
    <row r="1228" spans="1:64" ht="13.95" customHeight="1">
      <c r="A1228" s="224"/>
      <c r="B1228" s="932"/>
      <c r="C1228" s="932"/>
      <c r="D1228" s="932"/>
      <c r="E1228" s="932"/>
      <c r="F1228" s="932"/>
      <c r="G1228" s="932"/>
      <c r="H1228" s="932"/>
      <c r="I1228" s="932"/>
      <c r="J1228" s="932"/>
      <c r="K1228" s="932"/>
      <c r="L1228" s="932"/>
      <c r="M1228" s="932"/>
      <c r="N1228" s="225"/>
    </row>
    <row r="1229" spans="1:64">
      <c r="A1229" s="224"/>
      <c r="B1229" s="932"/>
      <c r="C1229" s="932"/>
      <c r="D1229" s="932"/>
      <c r="E1229" s="932"/>
      <c r="F1229" s="932"/>
      <c r="G1229" s="932"/>
      <c r="H1229" s="932"/>
      <c r="I1229" s="932"/>
      <c r="J1229" s="932"/>
      <c r="K1229" s="932"/>
      <c r="L1229" s="932"/>
      <c r="M1229" s="932"/>
      <c r="N1229" s="225"/>
    </row>
    <row r="1230" spans="1:64" ht="14.4" customHeight="1">
      <c r="A1230" s="224"/>
      <c r="B1230" s="932" t="s">
        <v>947</v>
      </c>
      <c r="C1230" s="932"/>
      <c r="D1230" s="932"/>
      <c r="E1230" s="932"/>
      <c r="F1230" s="932"/>
      <c r="G1230" s="932"/>
      <c r="H1230" s="932"/>
      <c r="I1230" s="932"/>
      <c r="J1230" s="932"/>
      <c r="K1230" s="932"/>
      <c r="L1230" s="932"/>
      <c r="M1230" s="932"/>
      <c r="N1230" s="225"/>
    </row>
    <row r="1231" spans="1:64" ht="13.95" customHeight="1">
      <c r="A1231" s="224"/>
      <c r="B1231" s="932"/>
      <c r="C1231" s="932"/>
      <c r="D1231" s="932"/>
      <c r="E1231" s="932"/>
      <c r="F1231" s="932"/>
      <c r="G1231" s="932"/>
      <c r="H1231" s="932"/>
      <c r="I1231" s="932"/>
      <c r="J1231" s="932"/>
      <c r="K1231" s="932"/>
      <c r="L1231" s="932"/>
      <c r="M1231" s="932"/>
      <c r="N1231" s="225"/>
    </row>
    <row r="1232" spans="1:64" ht="14.4" customHeight="1" thickBot="1">
      <c r="A1232" s="224"/>
      <c r="B1232" s="24"/>
      <c r="C1232" s="24"/>
      <c r="D1232" s="24"/>
      <c r="E1232" s="24"/>
      <c r="F1232" s="24"/>
      <c r="G1232" s="24"/>
      <c r="H1232" s="340"/>
      <c r="I1232" s="24"/>
      <c r="J1232" s="24"/>
      <c r="K1232" s="24"/>
      <c r="L1232" s="24"/>
      <c r="M1232" s="24"/>
      <c r="N1232" s="225"/>
    </row>
    <row r="1233" spans="1:65" ht="14.4" customHeight="1" thickTop="1">
      <c r="A1233" s="224"/>
      <c r="B1233" s="1052" t="str">
        <f>C1047</f>
        <v>IMMIGRATION</v>
      </c>
      <c r="C1233" s="1053"/>
      <c r="D1233" s="1053"/>
      <c r="E1233" s="1053"/>
      <c r="F1233" s="1053"/>
      <c r="G1233" s="1053"/>
      <c r="H1233" s="1053"/>
      <c r="I1233" s="1053"/>
      <c r="J1233" s="1053"/>
      <c r="K1233" s="1053"/>
      <c r="L1233" s="1053"/>
      <c r="M1233" s="1054"/>
      <c r="N1233" s="225"/>
    </row>
    <row r="1234" spans="1:65" ht="13.95" customHeight="1">
      <c r="A1234" s="224"/>
      <c r="B1234" s="1055"/>
      <c r="C1234" s="1056"/>
      <c r="D1234" s="1056"/>
      <c r="E1234" s="1056"/>
      <c r="F1234" s="1056"/>
      <c r="G1234" s="1056"/>
      <c r="H1234" s="1056"/>
      <c r="I1234" s="1056"/>
      <c r="J1234" s="1056"/>
      <c r="K1234" s="1056"/>
      <c r="L1234" s="1056"/>
      <c r="M1234" s="1057"/>
      <c r="N1234" s="225"/>
    </row>
    <row r="1235" spans="1:65" ht="14.4" customHeight="1" thickBot="1">
      <c r="A1235" s="224"/>
      <c r="B1235" s="1058"/>
      <c r="C1235" s="1059"/>
      <c r="D1235" s="1059"/>
      <c r="E1235" s="1059"/>
      <c r="F1235" s="1059"/>
      <c r="G1235" s="1059"/>
      <c r="H1235" s="1059"/>
      <c r="I1235" s="1059"/>
      <c r="J1235" s="1059"/>
      <c r="K1235" s="1059"/>
      <c r="L1235" s="1059"/>
      <c r="M1235" s="1060"/>
      <c r="N1235" s="225"/>
    </row>
    <row r="1236" spans="1:65" ht="14.4" thickTop="1">
      <c r="A1236" s="224"/>
      <c r="B1236" s="24"/>
      <c r="C1236" s="24"/>
      <c r="D1236" s="24"/>
      <c r="E1236" s="24"/>
      <c r="F1236" s="24"/>
      <c r="G1236" s="24"/>
      <c r="H1236" s="340"/>
      <c r="I1236" s="24"/>
      <c r="J1236" s="24"/>
      <c r="K1236" s="24"/>
      <c r="L1236" s="24"/>
      <c r="M1236" s="24"/>
      <c r="N1236" s="225"/>
    </row>
    <row r="1237" spans="1:65">
      <c r="A1237" s="226"/>
      <c r="B1237" s="231"/>
      <c r="C1237" s="231"/>
      <c r="D1237" s="231"/>
      <c r="E1237" s="231"/>
      <c r="F1237" s="231"/>
      <c r="G1237" s="231"/>
      <c r="H1237" s="342"/>
      <c r="I1237" s="231"/>
      <c r="J1237" s="231"/>
      <c r="K1237" s="231"/>
      <c r="L1237" s="231"/>
      <c r="M1237" s="231"/>
      <c r="N1237" s="228"/>
    </row>
    <row r="1238" spans="1:65" ht="30" customHeight="1">
      <c r="A1238" s="220" t="s">
        <v>1148</v>
      </c>
      <c r="B1238" s="916" t="s">
        <v>774</v>
      </c>
      <c r="C1238" s="916"/>
      <c r="D1238" s="916"/>
      <c r="E1238" s="916"/>
      <c r="F1238" s="916"/>
      <c r="G1238" s="916"/>
      <c r="H1238" s="916"/>
      <c r="I1238" s="916"/>
      <c r="J1238" s="916"/>
      <c r="K1238" s="221"/>
      <c r="L1238" s="221"/>
      <c r="M1238" s="222"/>
      <c r="N1238" s="223" t="s">
        <v>1149</v>
      </c>
    </row>
    <row r="1239" spans="1:65">
      <c r="A1239" s="224"/>
      <c r="B1239" s="24"/>
      <c r="C1239" s="24"/>
      <c r="D1239" s="24"/>
      <c r="E1239" s="24"/>
      <c r="F1239" s="24"/>
      <c r="G1239" s="24"/>
      <c r="H1239" s="340"/>
      <c r="I1239" s="24"/>
      <c r="J1239" s="24"/>
      <c r="K1239" s="24"/>
      <c r="L1239" s="24"/>
      <c r="M1239" s="24"/>
      <c r="N1239" s="225"/>
    </row>
    <row r="1240" spans="1:65">
      <c r="A1240" s="224"/>
      <c r="B1240" s="24"/>
      <c r="C1240" s="24"/>
      <c r="D1240" s="24"/>
      <c r="E1240" s="24"/>
      <c r="F1240" s="24"/>
      <c r="G1240" s="24"/>
      <c r="H1240" s="340"/>
      <c r="I1240" s="24"/>
      <c r="J1240" s="24"/>
      <c r="K1240" s="24"/>
      <c r="L1240" s="24"/>
      <c r="M1240" s="24"/>
      <c r="N1240" s="225"/>
    </row>
    <row r="1241" spans="1:65">
      <c r="A1241" s="224"/>
      <c r="B1241" s="24"/>
      <c r="C1241" s="24"/>
      <c r="D1241" s="24"/>
      <c r="E1241" s="24"/>
      <c r="F1241" s="24"/>
      <c r="G1241" s="24"/>
      <c r="H1241" s="340"/>
      <c r="I1241" s="24"/>
      <c r="J1241" s="24"/>
      <c r="K1241" s="24"/>
      <c r="L1241" s="24"/>
      <c r="M1241" s="24"/>
      <c r="N1241" s="225"/>
    </row>
    <row r="1242" spans="1:65">
      <c r="A1242" s="224"/>
      <c r="B1242" s="24"/>
      <c r="C1242" s="24"/>
      <c r="D1242" s="24"/>
      <c r="E1242" s="24"/>
      <c r="F1242" s="24"/>
      <c r="G1242" s="24"/>
      <c r="H1242" s="356" t="s">
        <v>764</v>
      </c>
      <c r="I1242" s="24"/>
      <c r="J1242" s="24"/>
      <c r="K1242" s="24"/>
      <c r="L1242" s="24"/>
      <c r="M1242" s="24"/>
      <c r="N1242" s="225"/>
    </row>
    <row r="1243" spans="1:65">
      <c r="A1243" s="224"/>
      <c r="B1243" s="24"/>
      <c r="C1243" s="24"/>
      <c r="D1243" s="24"/>
      <c r="E1243" s="24"/>
      <c r="F1243" s="24"/>
      <c r="G1243" s="24"/>
      <c r="H1243" s="340"/>
      <c r="I1243" s="24"/>
      <c r="J1243" s="24"/>
      <c r="K1243" s="24"/>
      <c r="L1243" s="24"/>
      <c r="M1243" s="24"/>
      <c r="N1243" s="225"/>
    </row>
    <row r="1244" spans="1:65" ht="13.95" customHeight="1">
      <c r="A1244" s="224"/>
      <c r="B1244" s="24"/>
      <c r="C1244" s="24"/>
      <c r="D1244" s="24"/>
      <c r="E1244" s="24"/>
      <c r="F1244" s="24"/>
      <c r="G1244" s="24"/>
      <c r="H1244" s="357">
        <v>1</v>
      </c>
      <c r="I1244" s="932" t="str">
        <f>IF(B$1233="",BM1244,BE1244)</f>
        <v>The more you generalize for relief with IMMIGRATION politics, the less responsive you are to specific needs affected by IMMIGRATION.</v>
      </c>
      <c r="J1244" s="932"/>
      <c r="K1244" s="932"/>
      <c r="L1244" s="932"/>
      <c r="M1244" s="932"/>
      <c r="N1244" s="225"/>
      <c r="BD1244" s="2">
        <v>1</v>
      </c>
      <c r="BE1244" s="37" t="str">
        <f>CONCATENATE(BG1244,BH1244,BI1244,BJ1244,".")</f>
        <v>The more you generalize for relief with IMMIGRATION politics, the less responsive you are to specific needs affected by IMMIGRATION.</v>
      </c>
      <c r="BF1244" s="47" t="s">
        <v>3</v>
      </c>
      <c r="BG1244" s="2" t="s">
        <v>738</v>
      </c>
      <c r="BH1244" s="2" t="str">
        <f>IF(OR($B$1233=0,$B$1233=""),"divisive",$B$1233)</f>
        <v>IMMIGRATION</v>
      </c>
      <c r="BI1244" s="2" t="s">
        <v>739</v>
      </c>
      <c r="BJ1244" s="2" t="str">
        <f>IF(OR($B$1233=0,$B$1233=""),"politics",$B$1233)</f>
        <v>IMMIGRATION</v>
      </c>
      <c r="BM1244" s="2" t="s">
        <v>727</v>
      </c>
    </row>
    <row r="1245" spans="1:65">
      <c r="A1245" s="224"/>
      <c r="B1245" s="24"/>
      <c r="C1245" s="24"/>
      <c r="D1245" s="24"/>
      <c r="E1245" s="24"/>
      <c r="F1245" s="24"/>
      <c r="G1245" s="24"/>
      <c r="H1245" s="340"/>
      <c r="I1245" s="932"/>
      <c r="J1245" s="932"/>
      <c r="K1245" s="932"/>
      <c r="L1245" s="932"/>
      <c r="M1245" s="932"/>
      <c r="N1245" s="225"/>
    </row>
    <row r="1246" spans="1:65">
      <c r="A1246" s="224"/>
      <c r="B1246" s="24"/>
      <c r="C1246" s="24"/>
      <c r="D1246" s="24"/>
      <c r="E1246" s="24"/>
      <c r="F1246" s="24"/>
      <c r="G1246" s="24"/>
      <c r="H1246" s="340"/>
      <c r="I1246" s="932"/>
      <c r="J1246" s="932"/>
      <c r="K1246" s="932"/>
      <c r="L1246" s="932"/>
      <c r="M1246" s="932"/>
      <c r="N1246" s="225"/>
    </row>
    <row r="1247" spans="1:65" ht="13.95" customHeight="1">
      <c r="A1247" s="224"/>
      <c r="B1247" s="24"/>
      <c r="C1247" s="24"/>
      <c r="D1247" s="24"/>
      <c r="E1247" s="24"/>
      <c r="F1247" s="24"/>
      <c r="G1247" s="24"/>
      <c r="H1247" s="340"/>
      <c r="I1247" s="932"/>
      <c r="J1247" s="932"/>
      <c r="K1247" s="932"/>
      <c r="L1247" s="932"/>
      <c r="M1247" s="932"/>
      <c r="N1247" s="225"/>
    </row>
    <row r="1248" spans="1:65" ht="13.95" customHeight="1">
      <c r="A1248" s="224"/>
      <c r="B1248" s="24"/>
      <c r="C1248" s="24"/>
      <c r="D1248" s="24"/>
      <c r="E1248" s="24"/>
      <c r="F1248" s="24"/>
      <c r="G1248" s="24"/>
      <c r="H1248" s="357">
        <v>2</v>
      </c>
      <c r="I1248" s="932" t="str">
        <f>IF(B$1233="",BM1248,BE1248)</f>
        <v>The less responsive to specific needs affected by IMMIGRATION, the fewer of your IMMIGRATION affected needs fully resolve.</v>
      </c>
      <c r="J1248" s="932"/>
      <c r="K1248" s="932"/>
      <c r="L1248" s="932"/>
      <c r="M1248" s="932"/>
      <c r="N1248" s="225"/>
      <c r="BD1248" s="2">
        <v>2</v>
      </c>
      <c r="BE1248" s="37" t="str">
        <f>CONCATENATE(BG1248,BH1248,BI1248,BJ1248,BK1248,".")</f>
        <v>The less responsive to specific needs affected by IMMIGRATION, the fewer of your IMMIGRATION affected needs fully resolve.</v>
      </c>
      <c r="BF1248" s="47" t="s">
        <v>3</v>
      </c>
      <c r="BG1248" s="2" t="s">
        <v>728</v>
      </c>
      <c r="BH1248" s="2" t="str">
        <f>BJ1244</f>
        <v>IMMIGRATION</v>
      </c>
      <c r="BI1248" s="2" t="s">
        <v>729</v>
      </c>
      <c r="BJ1248" s="2" t="str">
        <f>IF(OR($B$1233=0,$B$1233=""),"politically",$B$1233)</f>
        <v>IMMIGRATION</v>
      </c>
      <c r="BK1248" s="2" t="s">
        <v>730</v>
      </c>
      <c r="BM1248" s="2" t="s">
        <v>731</v>
      </c>
    </row>
    <row r="1249" spans="1:65">
      <c r="A1249" s="224"/>
      <c r="B1249" s="24"/>
      <c r="C1249" s="24"/>
      <c r="D1249" s="24"/>
      <c r="E1249" s="24"/>
      <c r="F1249" s="24"/>
      <c r="G1249" s="24"/>
      <c r="H1249" s="358"/>
      <c r="I1249" s="932"/>
      <c r="J1249" s="932"/>
      <c r="K1249" s="932"/>
      <c r="L1249" s="932"/>
      <c r="M1249" s="932"/>
      <c r="N1249" s="225"/>
    </row>
    <row r="1250" spans="1:65">
      <c r="A1250" s="224"/>
      <c r="B1250" s="24"/>
      <c r="C1250" s="24"/>
      <c r="D1250" s="24"/>
      <c r="E1250" s="24"/>
      <c r="F1250" s="24"/>
      <c r="G1250" s="24"/>
      <c r="H1250" s="357"/>
      <c r="I1250" s="932"/>
      <c r="J1250" s="932"/>
      <c r="K1250" s="932"/>
      <c r="L1250" s="932"/>
      <c r="M1250" s="932"/>
      <c r="N1250" s="225"/>
    </row>
    <row r="1251" spans="1:65" ht="13.95" customHeight="1">
      <c r="A1251" s="224"/>
      <c r="B1251" s="24"/>
      <c r="C1251" s="24"/>
      <c r="D1251" s="24"/>
      <c r="E1251" s="24"/>
      <c r="F1251" s="24"/>
      <c r="G1251" s="24"/>
      <c r="H1251" s="358"/>
      <c r="I1251" s="932"/>
      <c r="J1251" s="932"/>
      <c r="K1251" s="932"/>
      <c r="L1251" s="932"/>
      <c r="M1251" s="932"/>
      <c r="N1251" s="225"/>
    </row>
    <row r="1252" spans="1:65" ht="13.95" customHeight="1">
      <c r="A1252" s="224"/>
      <c r="B1252" s="24"/>
      <c r="C1252" s="24"/>
      <c r="D1252" s="24"/>
      <c r="E1252" s="24"/>
      <c r="F1252" s="24"/>
      <c r="G1252" s="24"/>
      <c r="H1252" s="357">
        <v>3</v>
      </c>
      <c r="I1252" s="932" t="str">
        <f>IF(B$1233="",BM1252,BE1252)</f>
        <v>The fewer of your IMMIGRATION affected needs fully resolve, the more pain around the IMMIGRATION issue you naturally suffer.</v>
      </c>
      <c r="J1252" s="932"/>
      <c r="K1252" s="932"/>
      <c r="L1252" s="932"/>
      <c r="M1252" s="932"/>
      <c r="N1252" s="225"/>
      <c r="BD1252" s="2">
        <v>3</v>
      </c>
      <c r="BE1252" s="37" t="str">
        <f>CONCATENATE(BG1252,BH1252,BI1252,BJ1252,BK1252,".")</f>
        <v>The fewer of your IMMIGRATION affected needs fully resolve, the more pain around the IMMIGRATION issue you naturally suffer.</v>
      </c>
      <c r="BF1252" s="47" t="s">
        <v>3</v>
      </c>
      <c r="BG1252" s="2" t="s">
        <v>732</v>
      </c>
      <c r="BH1252" s="2" t="str">
        <f>BJ1248</f>
        <v>IMMIGRATION</v>
      </c>
      <c r="BI1252" s="2" t="s">
        <v>743</v>
      </c>
      <c r="BJ1252" s="2" t="str">
        <f>IF(OR($B$1233=0,$B$1233=""),"politicized",$B$1233)</f>
        <v>IMMIGRATION</v>
      </c>
      <c r="BK1252" s="2" t="s">
        <v>733</v>
      </c>
      <c r="BM1252" s="2" t="s">
        <v>735</v>
      </c>
    </row>
    <row r="1253" spans="1:65">
      <c r="A1253" s="224"/>
      <c r="B1253" s="24"/>
      <c r="C1253" s="24"/>
      <c r="D1253" s="24"/>
      <c r="E1253" s="24"/>
      <c r="F1253" s="24"/>
      <c r="G1253" s="24"/>
      <c r="H1253" s="358"/>
      <c r="I1253" s="932"/>
      <c r="J1253" s="932"/>
      <c r="K1253" s="932"/>
      <c r="L1253" s="932"/>
      <c r="M1253" s="932"/>
      <c r="N1253" s="225"/>
    </row>
    <row r="1254" spans="1:65">
      <c r="A1254" s="224"/>
      <c r="B1254" s="24"/>
      <c r="C1254" s="24"/>
      <c r="D1254" s="24"/>
      <c r="E1254" s="24"/>
      <c r="F1254" s="24"/>
      <c r="G1254" s="24"/>
      <c r="H1254" s="357"/>
      <c r="I1254" s="932"/>
      <c r="J1254" s="932"/>
      <c r="K1254" s="932"/>
      <c r="L1254" s="932"/>
      <c r="M1254" s="932"/>
      <c r="N1254" s="225"/>
    </row>
    <row r="1255" spans="1:65" ht="13.95" customHeight="1">
      <c r="A1255" s="224"/>
      <c r="B1255" s="24"/>
      <c r="C1255" s="24"/>
      <c r="D1255" s="24"/>
      <c r="E1255" s="24"/>
      <c r="F1255" s="24"/>
      <c r="G1255" s="24"/>
      <c r="H1255" s="358"/>
      <c r="I1255" s="932"/>
      <c r="J1255" s="932"/>
      <c r="K1255" s="932"/>
      <c r="L1255" s="932"/>
      <c r="M1255" s="932"/>
      <c r="N1255" s="225"/>
    </row>
    <row r="1256" spans="1:65" ht="13.95" customHeight="1">
      <c r="A1256" s="224"/>
      <c r="B1256" s="24"/>
      <c r="C1256" s="24"/>
      <c r="D1256" s="24"/>
      <c r="E1256" s="24"/>
      <c r="F1256" s="24"/>
      <c r="G1256" s="24"/>
      <c r="H1256" s="357">
        <v>4</v>
      </c>
      <c r="I1256" s="932" t="str">
        <f>IF(B$1233="",BM1256,BE1256)</f>
        <v>The more pain from unmet IMMIGRATION needs, the more you generalize for relief with specifics-avoidant IMMIGRATION politics.</v>
      </c>
      <c r="J1256" s="932"/>
      <c r="K1256" s="932"/>
      <c r="L1256" s="932"/>
      <c r="M1256" s="932"/>
      <c r="N1256" s="225"/>
      <c r="BD1256" s="2">
        <v>4</v>
      </c>
      <c r="BE1256" s="37" t="str">
        <f>CONCATENATE(BG1256,BH1256,BI1256,BJ1256,BK1256,".")</f>
        <v>The more pain from unmet IMMIGRATION needs, the more you generalize for relief with specifics-avoidant IMMIGRATION politics.</v>
      </c>
      <c r="BF1256" s="47" t="s">
        <v>3</v>
      </c>
      <c r="BG1256" s="2" t="s">
        <v>741</v>
      </c>
      <c r="BH1256" s="2" t="str">
        <f>BJ1252</f>
        <v>IMMIGRATION</v>
      </c>
      <c r="BI1256" s="2" t="s">
        <v>742</v>
      </c>
      <c r="BJ1256" s="2" t="str">
        <f>BH1244</f>
        <v>IMMIGRATION</v>
      </c>
      <c r="BK1256" s="2" t="s">
        <v>740</v>
      </c>
      <c r="BM1256" s="2" t="s">
        <v>736</v>
      </c>
    </row>
    <row r="1257" spans="1:65">
      <c r="A1257" s="224"/>
      <c r="B1257" s="24"/>
      <c r="C1257" s="24"/>
      <c r="D1257" s="24"/>
      <c r="E1257" s="24"/>
      <c r="F1257" s="24"/>
      <c r="G1257" s="24"/>
      <c r="H1257" s="358"/>
      <c r="I1257" s="932"/>
      <c r="J1257" s="932"/>
      <c r="K1257" s="932"/>
      <c r="L1257" s="932"/>
      <c r="M1257" s="932"/>
      <c r="N1257" s="225"/>
    </row>
    <row r="1258" spans="1:65">
      <c r="A1258" s="224"/>
      <c r="B1258" s="24"/>
      <c r="C1258" s="24"/>
      <c r="D1258" s="24"/>
      <c r="E1258" s="24"/>
      <c r="F1258" s="24"/>
      <c r="G1258" s="24"/>
      <c r="H1258" s="357"/>
      <c r="I1258" s="932"/>
      <c r="J1258" s="932"/>
      <c r="K1258" s="932"/>
      <c r="L1258" s="932"/>
      <c r="M1258" s="932"/>
      <c r="N1258" s="225"/>
    </row>
    <row r="1259" spans="1:65" ht="13.95" customHeight="1">
      <c r="A1259" s="224"/>
      <c r="B1259" s="24"/>
      <c r="C1259" s="24"/>
      <c r="D1259" s="24"/>
      <c r="E1259" s="24"/>
      <c r="F1259" s="24"/>
      <c r="G1259" s="24"/>
      <c r="H1259" s="358"/>
      <c r="I1259" s="932"/>
      <c r="J1259" s="932"/>
      <c r="K1259" s="932"/>
      <c r="L1259" s="932"/>
      <c r="M1259" s="932"/>
      <c r="N1259" s="225"/>
    </row>
    <row r="1260" spans="1:65">
      <c r="A1260" s="224"/>
      <c r="B1260" s="24"/>
      <c r="C1260" s="24"/>
      <c r="D1260" s="24"/>
      <c r="E1260" s="24"/>
      <c r="F1260" s="24"/>
      <c r="G1260" s="24"/>
      <c r="H1260" s="357">
        <v>5</v>
      </c>
      <c r="I1260" s="932" t="str">
        <f>IF(B$1233="",BM1260,BE1260)</f>
        <v>The more you generalize how we all should respond to the issue of IMMIGRATION….</v>
      </c>
      <c r="J1260" s="932"/>
      <c r="K1260" s="932"/>
      <c r="L1260" s="932"/>
      <c r="M1260" s="932"/>
      <c r="N1260" s="225"/>
      <c r="BD1260" s="2">
        <v>5</v>
      </c>
      <c r="BE1260" s="37" t="str">
        <f>CONCATENATE(BG1260,BH1260,BI1260,BJ1260,".")</f>
        <v>The more you generalize how we all should respond to the issue of IMMIGRATION….</v>
      </c>
      <c r="BF1260" s="47" t="s">
        <v>3</v>
      </c>
      <c r="BG1260" s="2" t="s">
        <v>726</v>
      </c>
      <c r="BH1260" s="2" t="str">
        <f>BH1248</f>
        <v>IMMIGRATION</v>
      </c>
      <c r="BI1260" s="2" t="s">
        <v>734</v>
      </c>
      <c r="BM1260" s="2" t="s">
        <v>737</v>
      </c>
    </row>
    <row r="1261" spans="1:65">
      <c r="A1261" s="224"/>
      <c r="B1261" s="24"/>
      <c r="C1261" s="24"/>
      <c r="D1261" s="24"/>
      <c r="E1261" s="24"/>
      <c r="F1261" s="24"/>
      <c r="G1261" s="24"/>
      <c r="H1261" s="358"/>
      <c r="I1261" s="932"/>
      <c r="J1261" s="932"/>
      <c r="K1261" s="932"/>
      <c r="L1261" s="932"/>
      <c r="M1261" s="932"/>
      <c r="N1261" s="225"/>
    </row>
    <row r="1262" spans="1:65">
      <c r="A1262" s="224"/>
      <c r="B1262" s="24"/>
      <c r="C1262" s="24"/>
      <c r="D1262" s="24"/>
      <c r="E1262" s="24"/>
      <c r="F1262" s="24"/>
      <c r="G1262" s="24"/>
      <c r="H1262" s="357"/>
      <c r="I1262" s="932"/>
      <c r="J1262" s="932"/>
      <c r="K1262" s="932"/>
      <c r="L1262" s="932"/>
      <c r="M1262" s="932"/>
      <c r="N1262" s="225"/>
    </row>
    <row r="1263" spans="1:65" ht="13.95" customHeight="1">
      <c r="A1263" s="224"/>
      <c r="B1263" s="24"/>
      <c r="C1263" s="24"/>
      <c r="D1263" s="24"/>
      <c r="E1263" s="24"/>
      <c r="F1263" s="24"/>
      <c r="G1263" s="24"/>
      <c r="H1263" s="356" t="s">
        <v>763</v>
      </c>
      <c r="I1263" s="230"/>
      <c r="J1263" s="230"/>
      <c r="K1263" s="230"/>
      <c r="L1263" s="230"/>
      <c r="M1263" s="230"/>
      <c r="N1263" s="225"/>
    </row>
    <row r="1264" spans="1:65">
      <c r="A1264" s="224"/>
      <c r="B1264" s="24"/>
      <c r="C1264" s="24"/>
      <c r="D1264" s="24"/>
      <c r="E1264" s="24"/>
      <c r="F1264" s="24"/>
      <c r="G1264" s="24"/>
      <c r="H1264" s="340"/>
      <c r="I1264" s="24"/>
      <c r="J1264" s="24"/>
      <c r="K1264" s="24"/>
      <c r="L1264" s="24"/>
      <c r="M1264" s="24"/>
      <c r="N1264" s="225"/>
    </row>
    <row r="1265" spans="1:65">
      <c r="A1265" s="224"/>
      <c r="B1265" s="24"/>
      <c r="C1265" s="24"/>
      <c r="D1265" s="24"/>
      <c r="E1265" s="24"/>
      <c r="F1265" s="24"/>
      <c r="G1265" s="24"/>
      <c r="H1265" s="357">
        <v>1</v>
      </c>
      <c r="I1265" s="932" t="str">
        <f>IF(B$1233="",BM1265,BE1265)</f>
        <v>The less you generalize for relief with IMMIGRATION politics, the more responsive you are to specific needs affected by IMMIGRATION.</v>
      </c>
      <c r="J1265" s="932"/>
      <c r="K1265" s="932"/>
      <c r="L1265" s="932"/>
      <c r="M1265" s="932"/>
      <c r="N1265" s="225"/>
      <c r="BD1265" s="2">
        <v>1</v>
      </c>
      <c r="BE1265" s="37" t="str">
        <f>CONCATENATE(BG1265,BH1265,BI1265,BJ1265,".")</f>
        <v>The less you generalize for relief with IMMIGRATION politics, the more responsive you are to specific needs affected by IMMIGRATION.</v>
      </c>
      <c r="BF1265" s="47" t="s">
        <v>3</v>
      </c>
      <c r="BG1265" s="2" t="s">
        <v>753</v>
      </c>
      <c r="BH1265" s="2" t="str">
        <f>BH1244</f>
        <v>IMMIGRATION</v>
      </c>
      <c r="BI1265" s="2" t="s">
        <v>754</v>
      </c>
      <c r="BJ1265" s="2" t="str">
        <f>BJ1244</f>
        <v>IMMIGRATION</v>
      </c>
      <c r="BM1265" s="2" t="s">
        <v>800</v>
      </c>
    </row>
    <row r="1266" spans="1:65">
      <c r="A1266" s="224"/>
      <c r="B1266" s="24"/>
      <c r="C1266" s="24"/>
      <c r="D1266" s="24"/>
      <c r="E1266" s="24"/>
      <c r="F1266" s="24"/>
      <c r="G1266" s="24"/>
      <c r="H1266" s="340"/>
      <c r="I1266" s="932"/>
      <c r="J1266" s="932"/>
      <c r="K1266" s="932"/>
      <c r="L1266" s="932"/>
      <c r="M1266" s="932"/>
      <c r="N1266" s="225"/>
    </row>
    <row r="1267" spans="1:65">
      <c r="A1267" s="224"/>
      <c r="B1267" s="24"/>
      <c r="C1267" s="24"/>
      <c r="D1267" s="24"/>
      <c r="E1267" s="24"/>
      <c r="F1267" s="24"/>
      <c r="G1267" s="24"/>
      <c r="H1267" s="340"/>
      <c r="I1267" s="932"/>
      <c r="J1267" s="932"/>
      <c r="K1267" s="932"/>
      <c r="L1267" s="932"/>
      <c r="M1267" s="932"/>
      <c r="N1267" s="225"/>
    </row>
    <row r="1268" spans="1:65">
      <c r="A1268" s="224"/>
      <c r="B1268" s="24"/>
      <c r="C1268" s="24"/>
      <c r="D1268" s="24"/>
      <c r="E1268" s="24"/>
      <c r="F1268" s="24"/>
      <c r="G1268" s="24"/>
      <c r="H1268" s="340"/>
      <c r="I1268" s="932"/>
      <c r="J1268" s="932"/>
      <c r="K1268" s="932"/>
      <c r="L1268" s="932"/>
      <c r="M1268" s="932"/>
      <c r="N1268" s="225"/>
    </row>
    <row r="1269" spans="1:65">
      <c r="A1269" s="224"/>
      <c r="B1269" s="24"/>
      <c r="C1269" s="24"/>
      <c r="D1269" s="24"/>
      <c r="E1269" s="24"/>
      <c r="F1269" s="24"/>
      <c r="G1269" s="24"/>
      <c r="H1269" s="357">
        <v>2</v>
      </c>
      <c r="I1269" s="932" t="str">
        <f>IF(B$1233="",BM1269,BE1269)</f>
        <v>The more responsive to specific needs affected by IMMIGRATION, the more of your IMMIGRATION affected needs fully resolve.</v>
      </c>
      <c r="J1269" s="932"/>
      <c r="K1269" s="932"/>
      <c r="L1269" s="932"/>
      <c r="M1269" s="932"/>
      <c r="N1269" s="225"/>
      <c r="BD1269" s="2">
        <v>2</v>
      </c>
      <c r="BE1269" s="37" t="str">
        <f>CONCATENATE(BG1269,BH1269,BI1269,BJ1269,BK1269,".")</f>
        <v>The more responsive to specific needs affected by IMMIGRATION, the more of your IMMIGRATION affected needs fully resolve.</v>
      </c>
      <c r="BF1269" s="47" t="s">
        <v>3</v>
      </c>
      <c r="BG1269" s="2" t="s">
        <v>755</v>
      </c>
      <c r="BH1269" s="2" t="str">
        <f>BH1248</f>
        <v>IMMIGRATION</v>
      </c>
      <c r="BI1269" s="2" t="s">
        <v>756</v>
      </c>
      <c r="BJ1269" s="2" t="str">
        <f>BJ1248</f>
        <v>IMMIGRATION</v>
      </c>
      <c r="BK1269" s="2" t="s">
        <v>730</v>
      </c>
      <c r="BM1269" s="2" t="s">
        <v>801</v>
      </c>
    </row>
    <row r="1270" spans="1:65">
      <c r="A1270" s="224"/>
      <c r="B1270" s="24"/>
      <c r="C1270" s="24"/>
      <c r="D1270" s="24"/>
      <c r="E1270" s="24"/>
      <c r="F1270" s="24"/>
      <c r="G1270" s="24"/>
      <c r="H1270" s="358"/>
      <c r="I1270" s="932"/>
      <c r="J1270" s="932"/>
      <c r="K1270" s="932"/>
      <c r="L1270" s="932"/>
      <c r="M1270" s="932"/>
      <c r="N1270" s="225"/>
    </row>
    <row r="1271" spans="1:65">
      <c r="A1271" s="224"/>
      <c r="B1271" s="24"/>
      <c r="C1271" s="24"/>
      <c r="D1271" s="24"/>
      <c r="E1271" s="24"/>
      <c r="F1271" s="24"/>
      <c r="G1271" s="24"/>
      <c r="H1271" s="357"/>
      <c r="I1271" s="932"/>
      <c r="J1271" s="932"/>
      <c r="K1271" s="932"/>
      <c r="L1271" s="932"/>
      <c r="M1271" s="932"/>
      <c r="N1271" s="225"/>
    </row>
    <row r="1272" spans="1:65">
      <c r="A1272" s="224"/>
      <c r="B1272" s="24"/>
      <c r="C1272" s="24"/>
      <c r="D1272" s="24"/>
      <c r="E1272" s="24"/>
      <c r="F1272" s="24"/>
      <c r="G1272" s="24"/>
      <c r="H1272" s="358"/>
      <c r="I1272" s="932"/>
      <c r="J1272" s="932"/>
      <c r="K1272" s="932"/>
      <c r="L1272" s="932"/>
      <c r="M1272" s="932"/>
      <c r="N1272" s="225"/>
    </row>
    <row r="1273" spans="1:65">
      <c r="A1273" s="224"/>
      <c r="B1273" s="24"/>
      <c r="C1273" s="24"/>
      <c r="D1273" s="24"/>
      <c r="E1273" s="24"/>
      <c r="F1273" s="24"/>
      <c r="G1273" s="24"/>
      <c r="H1273" s="357">
        <v>3</v>
      </c>
      <c r="I1273" s="932" t="str">
        <f>IF(B$1233="",BM1273,BE1273)</f>
        <v>The more of your IMMIGRATION affected needs fully resolve, the less pain around the IMMIGRATION issue you naturally suffer.</v>
      </c>
      <c r="J1273" s="932"/>
      <c r="K1273" s="932"/>
      <c r="L1273" s="932"/>
      <c r="M1273" s="932"/>
      <c r="N1273" s="225"/>
      <c r="BD1273" s="2">
        <v>3</v>
      </c>
      <c r="BE1273" s="37" t="str">
        <f>CONCATENATE(BG1273,BH1273,BI1273,BJ1273,BK1273,".")</f>
        <v>The more of your IMMIGRATION affected needs fully resolve, the less pain around the IMMIGRATION issue you naturally suffer.</v>
      </c>
      <c r="BF1273" s="47" t="s">
        <v>3</v>
      </c>
      <c r="BG1273" s="2" t="s">
        <v>757</v>
      </c>
      <c r="BH1273" s="2" t="str">
        <f>BH1252</f>
        <v>IMMIGRATION</v>
      </c>
      <c r="BI1273" s="2" t="s">
        <v>758</v>
      </c>
      <c r="BJ1273" s="2" t="str">
        <f>BJ1252</f>
        <v>IMMIGRATION</v>
      </c>
      <c r="BK1273" s="2" t="s">
        <v>733</v>
      </c>
      <c r="BM1273" s="2" t="s">
        <v>802</v>
      </c>
    </row>
    <row r="1274" spans="1:65">
      <c r="A1274" s="224"/>
      <c r="B1274" s="24"/>
      <c r="C1274" s="24"/>
      <c r="D1274" s="24"/>
      <c r="E1274" s="24"/>
      <c r="F1274" s="24"/>
      <c r="G1274" s="24"/>
      <c r="H1274" s="358"/>
      <c r="I1274" s="932"/>
      <c r="J1274" s="932"/>
      <c r="K1274" s="932"/>
      <c r="L1274" s="932"/>
      <c r="M1274" s="932"/>
      <c r="N1274" s="225"/>
    </row>
    <row r="1275" spans="1:65">
      <c r="A1275" s="224"/>
      <c r="B1275" s="24"/>
      <c r="C1275" s="24"/>
      <c r="D1275" s="24"/>
      <c r="E1275" s="24"/>
      <c r="F1275" s="24"/>
      <c r="G1275" s="24"/>
      <c r="H1275" s="357"/>
      <c r="I1275" s="932"/>
      <c r="J1275" s="932"/>
      <c r="K1275" s="932"/>
      <c r="L1275" s="932"/>
      <c r="M1275" s="932"/>
      <c r="N1275" s="225"/>
    </row>
    <row r="1276" spans="1:65">
      <c r="A1276" s="224"/>
      <c r="B1276" s="24"/>
      <c r="C1276" s="24"/>
      <c r="D1276" s="24"/>
      <c r="E1276" s="24"/>
      <c r="F1276" s="24"/>
      <c r="G1276" s="24"/>
      <c r="H1276" s="358"/>
      <c r="I1276" s="932"/>
      <c r="J1276" s="932"/>
      <c r="K1276" s="932"/>
      <c r="L1276" s="932"/>
      <c r="M1276" s="932"/>
      <c r="N1276" s="225"/>
    </row>
    <row r="1277" spans="1:65">
      <c r="A1277" s="224"/>
      <c r="B1277" s="24"/>
      <c r="C1277" s="24"/>
      <c r="D1277" s="24"/>
      <c r="E1277" s="24"/>
      <c r="F1277" s="24"/>
      <c r="G1277" s="24"/>
      <c r="H1277" s="357">
        <v>4</v>
      </c>
      <c r="I1277" s="932" t="str">
        <f>IF(B$1233="",BM1277,BE1277)</f>
        <v>The less pain from unmet IMMIGRATION needs, the less you generalize for relief by using IMMIGRATION politics as a stepping stone to address overlooked specifics.</v>
      </c>
      <c r="J1277" s="932"/>
      <c r="K1277" s="932"/>
      <c r="L1277" s="932"/>
      <c r="M1277" s="932"/>
      <c r="N1277" s="225"/>
      <c r="BD1277" s="2">
        <v>4</v>
      </c>
      <c r="BE1277" s="37" t="str">
        <f>CONCATENATE(BG1277,BH1277,BI1277,BJ1277,BK1277,)</f>
        <v>The less pain from unmet IMMIGRATION needs, the less you generalize for relief by using IMMIGRATION politics as a stepping stone to address overlooked specifics.</v>
      </c>
      <c r="BF1277" s="47" t="s">
        <v>3</v>
      </c>
      <c r="BG1277" s="2" t="s">
        <v>759</v>
      </c>
      <c r="BH1277" s="2" t="str">
        <f>BH1256</f>
        <v>IMMIGRATION</v>
      </c>
      <c r="BI1277" s="2" t="s">
        <v>760</v>
      </c>
      <c r="BJ1277" s="2" t="str">
        <f>BJ1256</f>
        <v>IMMIGRATION</v>
      </c>
      <c r="BK1277" s="2" t="s">
        <v>761</v>
      </c>
      <c r="BM1277" s="2" t="s">
        <v>803</v>
      </c>
    </row>
    <row r="1278" spans="1:65">
      <c r="A1278" s="224"/>
      <c r="B1278" s="24"/>
      <c r="C1278" s="24"/>
      <c r="D1278" s="24"/>
      <c r="E1278" s="24"/>
      <c r="F1278" s="24"/>
      <c r="G1278" s="24"/>
      <c r="H1278" s="358"/>
      <c r="I1278" s="932"/>
      <c r="J1278" s="932"/>
      <c r="K1278" s="932"/>
      <c r="L1278" s="932"/>
      <c r="M1278" s="932"/>
      <c r="N1278" s="225"/>
    </row>
    <row r="1279" spans="1:65">
      <c r="A1279" s="224"/>
      <c r="B1279" s="24"/>
      <c r="C1279" s="24"/>
      <c r="D1279" s="24"/>
      <c r="E1279" s="24"/>
      <c r="F1279" s="24"/>
      <c r="G1279" s="24"/>
      <c r="H1279" s="357"/>
      <c r="I1279" s="932"/>
      <c r="J1279" s="932"/>
      <c r="K1279" s="932"/>
      <c r="L1279" s="932"/>
      <c r="M1279" s="932"/>
      <c r="N1279" s="225"/>
    </row>
    <row r="1280" spans="1:65">
      <c r="A1280" s="224"/>
      <c r="B1280" s="24"/>
      <c r="C1280" s="24"/>
      <c r="D1280" s="24"/>
      <c r="E1280" s="24"/>
      <c r="F1280" s="24"/>
      <c r="G1280" s="24"/>
      <c r="H1280" s="358"/>
      <c r="I1280" s="932"/>
      <c r="J1280" s="932"/>
      <c r="K1280" s="932"/>
      <c r="L1280" s="932"/>
      <c r="M1280" s="932"/>
      <c r="N1280" s="225"/>
    </row>
    <row r="1281" spans="1:65" ht="13.95" customHeight="1">
      <c r="A1281" s="224"/>
      <c r="B1281" s="24"/>
      <c r="C1281" s="24"/>
      <c r="D1281" s="24"/>
      <c r="E1281" s="24"/>
      <c r="F1281" s="24"/>
      <c r="G1281" s="24"/>
      <c r="H1281" s="340"/>
      <c r="I1281" s="24"/>
      <c r="J1281" s="234"/>
      <c r="K1281" s="234"/>
      <c r="L1281" s="234"/>
      <c r="M1281" s="234"/>
      <c r="N1281" s="225"/>
      <c r="BD1281" s="2">
        <v>5</v>
      </c>
      <c r="BE1281" s="37" t="str">
        <f>CONCATENATE(BG1281,BH1281,BI1281,BJ1281,".")</f>
        <v>The less you generalize how we all should respond to the issue of IMMIGRATION….</v>
      </c>
      <c r="BF1281" s="47" t="s">
        <v>3</v>
      </c>
      <c r="BG1281" s="2" t="s">
        <v>762</v>
      </c>
      <c r="BH1281" s="2" t="str">
        <f>BH1260</f>
        <v>IMMIGRATION</v>
      </c>
      <c r="BI1281" s="2" t="s">
        <v>734</v>
      </c>
      <c r="BM1281" s="2" t="s">
        <v>804</v>
      </c>
    </row>
    <row r="1282" spans="1:65">
      <c r="A1282" s="224"/>
      <c r="B1282" s="24"/>
      <c r="C1282" s="24"/>
      <c r="D1282" s="24"/>
      <c r="E1282" s="24"/>
      <c r="F1282" s="24"/>
      <c r="G1282" s="24"/>
      <c r="H1282" s="357">
        <v>5</v>
      </c>
      <c r="I1282" s="932" t="str">
        <f>IF(B$1233="",BM1281,BE1281)</f>
        <v>The less you generalize how we all should respond to the issue of IMMIGRATION….</v>
      </c>
      <c r="J1282" s="932"/>
      <c r="K1282" s="932"/>
      <c r="L1282" s="932"/>
      <c r="M1282" s="932"/>
      <c r="N1282" s="225"/>
    </row>
    <row r="1283" spans="1:65">
      <c r="A1283" s="224"/>
      <c r="B1283" s="24"/>
      <c r="C1283" s="24"/>
      <c r="D1283" s="24"/>
      <c r="E1283" s="24"/>
      <c r="F1283" s="24"/>
      <c r="G1283" s="24"/>
      <c r="H1283" s="340"/>
      <c r="I1283" s="932"/>
      <c r="J1283" s="932"/>
      <c r="K1283" s="932"/>
      <c r="L1283" s="932"/>
      <c r="M1283" s="932"/>
      <c r="N1283" s="225"/>
    </row>
    <row r="1284" spans="1:65">
      <c r="A1284" s="226"/>
      <c r="B1284" s="231"/>
      <c r="C1284" s="231"/>
      <c r="D1284" s="231"/>
      <c r="E1284" s="231"/>
      <c r="F1284" s="231"/>
      <c r="G1284" s="231"/>
      <c r="H1284" s="342"/>
      <c r="I1284" s="231"/>
      <c r="J1284" s="231"/>
      <c r="K1284" s="231"/>
      <c r="L1284" s="231"/>
      <c r="M1284" s="231"/>
      <c r="N1284" s="228"/>
    </row>
    <row r="1285" spans="1:65" ht="30" customHeight="1">
      <c r="A1285" s="220" t="s">
        <v>1148</v>
      </c>
      <c r="B1285" s="914" t="s">
        <v>1211</v>
      </c>
      <c r="C1285" s="914"/>
      <c r="D1285" s="914"/>
      <c r="E1285" s="914"/>
      <c r="F1285" s="914"/>
      <c r="G1285" s="914"/>
      <c r="H1285" s="914"/>
      <c r="I1285" s="914"/>
      <c r="J1285" s="914"/>
      <c r="K1285" s="914"/>
      <c r="L1285" s="914"/>
      <c r="M1285" s="182"/>
      <c r="N1285" s="232" t="s">
        <v>1149</v>
      </c>
    </row>
    <row r="1286" spans="1:65">
      <c r="A1286" s="224"/>
      <c r="B1286" s="949" t="s">
        <v>1238</v>
      </c>
      <c r="C1286" s="949"/>
      <c r="D1286" s="949"/>
      <c r="E1286" s="949"/>
      <c r="F1286" s="949"/>
      <c r="G1286" s="949"/>
      <c r="H1286" s="949"/>
      <c r="I1286" s="949"/>
      <c r="J1286" s="949"/>
      <c r="K1286" s="949"/>
      <c r="L1286" s="949"/>
      <c r="M1286" s="949"/>
      <c r="N1286" s="225"/>
    </row>
    <row r="1287" spans="1:65" ht="13.95" customHeight="1">
      <c r="A1287" s="224"/>
      <c r="B1287" s="949"/>
      <c r="C1287" s="949"/>
      <c r="D1287" s="949"/>
      <c r="E1287" s="949"/>
      <c r="F1287" s="949"/>
      <c r="G1287" s="949"/>
      <c r="H1287" s="949"/>
      <c r="I1287" s="949"/>
      <c r="J1287" s="949"/>
      <c r="K1287" s="949"/>
      <c r="L1287" s="949"/>
      <c r="M1287" s="949"/>
      <c r="N1287" s="225"/>
    </row>
    <row r="1288" spans="1:65" ht="14.4" customHeight="1">
      <c r="A1288" s="224"/>
      <c r="B1288" s="949"/>
      <c r="C1288" s="949"/>
      <c r="D1288" s="949"/>
      <c r="E1288" s="949"/>
      <c r="F1288" s="949"/>
      <c r="G1288" s="949"/>
      <c r="H1288" s="949"/>
      <c r="I1288" s="949"/>
      <c r="J1288" s="949"/>
      <c r="K1288" s="949"/>
      <c r="L1288" s="949"/>
      <c r="M1288" s="949"/>
      <c r="N1288" s="225"/>
    </row>
    <row r="1289" spans="1:65" ht="13.95" customHeight="1">
      <c r="A1289" s="224"/>
      <c r="B1289" s="917" t="s">
        <v>1239</v>
      </c>
      <c r="C1289" s="917"/>
      <c r="D1289" s="917"/>
      <c r="E1289" s="917"/>
      <c r="F1289" s="917"/>
      <c r="G1289" s="917"/>
      <c r="H1289" s="917"/>
      <c r="I1289" s="917"/>
      <c r="J1289" s="917"/>
      <c r="K1289" s="917"/>
      <c r="L1289" s="917"/>
      <c r="M1289" s="917"/>
      <c r="N1289" s="225"/>
    </row>
    <row r="1290" spans="1:65">
      <c r="A1290" s="224"/>
      <c r="B1290" s="917"/>
      <c r="C1290" s="917"/>
      <c r="D1290" s="917"/>
      <c r="E1290" s="917"/>
      <c r="F1290" s="917"/>
      <c r="G1290" s="917"/>
      <c r="H1290" s="917"/>
      <c r="I1290" s="917"/>
      <c r="J1290" s="917"/>
      <c r="K1290" s="917"/>
      <c r="L1290" s="917"/>
      <c r="M1290" s="917"/>
      <c r="N1290" s="225"/>
    </row>
    <row r="1291" spans="1:65">
      <c r="A1291" s="224"/>
      <c r="B1291" s="917"/>
      <c r="C1291" s="917"/>
      <c r="D1291" s="917"/>
      <c r="E1291" s="917"/>
      <c r="F1291" s="917"/>
      <c r="G1291" s="917"/>
      <c r="H1291" s="917"/>
      <c r="I1291" s="917"/>
      <c r="J1291" s="917"/>
      <c r="K1291" s="917"/>
      <c r="L1291" s="917"/>
      <c r="M1291" s="917"/>
      <c r="N1291" s="225"/>
    </row>
    <row r="1292" spans="1:65" ht="15.6" customHeight="1">
      <c r="A1292" s="224"/>
      <c r="B1292" s="917"/>
      <c r="C1292" s="917"/>
      <c r="D1292" s="917"/>
      <c r="E1292" s="917"/>
      <c r="F1292" s="917"/>
      <c r="G1292" s="917"/>
      <c r="H1292" s="917"/>
      <c r="I1292" s="917"/>
      <c r="J1292" s="917"/>
      <c r="K1292" s="917"/>
      <c r="L1292" s="917"/>
      <c r="M1292" s="917"/>
      <c r="N1292" s="225"/>
    </row>
    <row r="1293" spans="1:65" ht="16.2">
      <c r="A1293" s="312"/>
      <c r="B1293" s="311"/>
      <c r="C1293" s="133"/>
      <c r="D1293" s="133"/>
      <c r="E1293" s="133"/>
      <c r="F1293" s="133"/>
      <c r="G1293" s="133"/>
      <c r="H1293" s="359"/>
      <c r="I1293" s="134"/>
      <c r="J1293" s="134"/>
      <c r="K1293" s="134"/>
      <c r="L1293" s="134"/>
      <c r="M1293" s="134"/>
      <c r="N1293" s="233"/>
      <c r="BE1293" s="49" t="str">
        <f t="shared" ref="BE1293:BL1293" si="20">BE1163</f>
        <v>IMM</v>
      </c>
      <c r="BF1293" s="49" t="str">
        <f t="shared" si="20"/>
        <v>CLI</v>
      </c>
      <c r="BG1293" s="49" t="str">
        <f t="shared" si="20"/>
        <v>GUN</v>
      </c>
      <c r="BH1293" s="49" t="str">
        <f t="shared" si="20"/>
        <v>ABO</v>
      </c>
      <c r="BI1293" s="49" t="str">
        <f t="shared" si="20"/>
        <v>HEA</v>
      </c>
      <c r="BJ1293" s="49" t="str">
        <f t="shared" si="20"/>
        <v>CRI</v>
      </c>
      <c r="BK1293" s="49" t="str">
        <f t="shared" si="20"/>
        <v>ECO</v>
      </c>
      <c r="BL1293" s="49" t="str">
        <f t="shared" si="20"/>
        <v>RAC</v>
      </c>
      <c r="BM1293" s="47" t="s">
        <v>3</v>
      </c>
    </row>
    <row r="1294" spans="1:65" ht="15.6" customHeight="1">
      <c r="A1294" s="312"/>
      <c r="B1294" s="1097" t="str">
        <f>BB1294</f>
        <v>The more you affirm my need to include worthy migrants, the easier to respect your need to stay safe from violent migrants.</v>
      </c>
      <c r="C1294" s="1097"/>
      <c r="D1294" s="1097"/>
      <c r="E1294" s="1097"/>
      <c r="F1294" s="1097"/>
      <c r="G1294" s="133"/>
      <c r="H1294" s="360"/>
      <c r="I1294" s="1098" t="str">
        <f>BB1296</f>
        <v>The more you affirm my need to stay safe from lawless migrants, the easier to respect your need to include legitimate migrants.</v>
      </c>
      <c r="J1294" s="1098"/>
      <c r="K1294" s="1098"/>
      <c r="L1294" s="1098"/>
      <c r="M1294" s="1098"/>
      <c r="N1294" s="233"/>
      <c r="BB1294" s="2" t="str">
        <f>IF($C$1047=BB$1047,BE1294,IF($C$1047=BB$1048,BF1294,IF($C$1047=BB$1049,BG1294,IF($C$1047=BB$1050,BH1294,IF($C$1047=BB$1051,BI1294,IF($C$1047=BB$1052,BJ1294,IF($C$1047=BB$1053,BK1294,IF($C$1047=BB$1054,BL1294,""))))))))</f>
        <v>The more you affirm my need to include worthy migrants, the easier to respect your need to stay safe from violent migrants.</v>
      </c>
      <c r="BD1294" s="131" t="s">
        <v>602</v>
      </c>
      <c r="BE1294" s="2" t="s">
        <v>606</v>
      </c>
      <c r="BF1294" s="2" t="s">
        <v>598</v>
      </c>
      <c r="BG1294" s="2" t="s">
        <v>610</v>
      </c>
      <c r="BH1294" s="2" t="s">
        <v>614</v>
      </c>
      <c r="BI1294" s="2" t="s">
        <v>632</v>
      </c>
      <c r="BJ1294" s="2" t="s">
        <v>620</v>
      </c>
      <c r="BK1294" s="2" t="s">
        <v>624</v>
      </c>
      <c r="BL1294" s="2" t="s">
        <v>628</v>
      </c>
      <c r="BM1294" s="47" t="s">
        <v>3</v>
      </c>
    </row>
    <row r="1295" spans="1:65" ht="15" customHeight="1">
      <c r="A1295" s="312"/>
      <c r="B1295" s="1097"/>
      <c r="C1295" s="1097"/>
      <c r="D1295" s="1097"/>
      <c r="E1295" s="1097"/>
      <c r="F1295" s="1097"/>
      <c r="G1295" s="133"/>
      <c r="H1295" s="360"/>
      <c r="I1295" s="1098"/>
      <c r="J1295" s="1098"/>
      <c r="K1295" s="1098"/>
      <c r="L1295" s="1098"/>
      <c r="M1295" s="1098"/>
      <c r="N1295" s="233"/>
      <c r="BB1295" s="2" t="str">
        <f>IF($C$1047=BB$1047,BE1295,IF($C$1047=BB$1048,BF1295,IF($C$1047=BB$1049,BG1295,IF($C$1047=BB$1050,BH1295,IF($C$1047=BB$1051,BI1295,IF($C$1047=BB$1052,BJ1295,IF($C$1047=BB$1053,BK1295,IF($C$1047=BB$1054,BL1295,""))))))))</f>
        <v>But the more you insist we all blend in to some melting pot, the less I can serve your need for local or national cohesion.</v>
      </c>
      <c r="BD1295" s="131" t="s">
        <v>603</v>
      </c>
      <c r="BE1295" s="2" t="s">
        <v>607</v>
      </c>
      <c r="BF1295" s="2" t="s">
        <v>599</v>
      </c>
      <c r="BG1295" s="2" t="s">
        <v>611</v>
      </c>
      <c r="BH1295" s="2" t="s">
        <v>615</v>
      </c>
      <c r="BI1295" s="132" t="s">
        <v>618</v>
      </c>
      <c r="BJ1295" s="2" t="s">
        <v>621</v>
      </c>
      <c r="BK1295" s="2" t="s">
        <v>625</v>
      </c>
      <c r="BL1295" s="2" t="s">
        <v>629</v>
      </c>
      <c r="BM1295" s="47" t="s">
        <v>3</v>
      </c>
    </row>
    <row r="1296" spans="1:65" ht="15" customHeight="1">
      <c r="A1296" s="312"/>
      <c r="B1296" s="1097"/>
      <c r="C1296" s="1097"/>
      <c r="D1296" s="1097"/>
      <c r="E1296" s="1097"/>
      <c r="F1296" s="1097"/>
      <c r="G1296" s="133"/>
      <c r="H1296" s="360"/>
      <c r="I1296" s="1098"/>
      <c r="J1296" s="1098"/>
      <c r="K1296" s="1098"/>
      <c r="L1296" s="1098"/>
      <c r="M1296" s="1098"/>
      <c r="N1296" s="233"/>
      <c r="BB1296" s="2" t="str">
        <f>IF($C$1047=BB$1047,BE1296,IF($C$1047=BB$1048,BF1296,IF($C$1047=BB$1049,BG1296,IF($C$1047=BB$1050,BH1296,IF($C$1047=BB$1051,BI1296,IF($C$1047=BB$1052,BJ1296,IF($C$1047=BB$1053,BK1296,IF($C$1047=BB$1054,BL1296,""))))))))</f>
        <v>The more you affirm my need to stay safe from lawless migrants, the easier to respect your need to include legitimate migrants.</v>
      </c>
      <c r="BD1296" s="131" t="s">
        <v>604</v>
      </c>
      <c r="BE1296" s="2" t="s">
        <v>608</v>
      </c>
      <c r="BF1296" s="2" t="s">
        <v>600</v>
      </c>
      <c r="BG1296" s="2" t="s">
        <v>612</v>
      </c>
      <c r="BH1296" s="2" t="s">
        <v>616</v>
      </c>
      <c r="BI1296" s="2" t="s">
        <v>619</v>
      </c>
      <c r="BJ1296" s="2" t="s">
        <v>622</v>
      </c>
      <c r="BK1296" s="2" t="s">
        <v>626</v>
      </c>
      <c r="BL1296" s="2" t="s">
        <v>630</v>
      </c>
      <c r="BM1296" s="47" t="s">
        <v>3</v>
      </c>
    </row>
    <row r="1297" spans="1:65" ht="15" customHeight="1">
      <c r="A1297" s="312"/>
      <c r="B1297" s="1097"/>
      <c r="C1297" s="1097"/>
      <c r="D1297" s="1097"/>
      <c r="E1297" s="1097"/>
      <c r="F1297" s="1097"/>
      <c r="G1297" s="133"/>
      <c r="H1297" s="360"/>
      <c r="I1297" s="1098"/>
      <c r="J1297" s="1098"/>
      <c r="K1297" s="1098"/>
      <c r="L1297" s="1098"/>
      <c r="M1297" s="1098"/>
      <c r="N1297" s="233"/>
      <c r="BB1297" s="2" t="str">
        <f>IF($C$1047=BB$1047,BE1297,IF($C$1047=BB$1048,BF1297,IF($C$1047=BB$1049,BG1297,IF($C$1047=BB$1050,BH1297,IF($C$1047=BB$1051,BI1297,IF($C$1047=BB$1052,BJ1297,IF($C$1047=BB$1053,BK1297,IF($C$1047=BB$1054,BL1297,""))))))))</f>
        <v>But the more you insist we compromise our national cohesion, the less I can accept their lack of acculturation.</v>
      </c>
      <c r="BD1297" s="131" t="s">
        <v>605</v>
      </c>
      <c r="BE1297" s="2" t="s">
        <v>609</v>
      </c>
      <c r="BF1297" s="2" t="s">
        <v>601</v>
      </c>
      <c r="BG1297" s="2" t="s">
        <v>613</v>
      </c>
      <c r="BH1297" s="2" t="s">
        <v>617</v>
      </c>
      <c r="BI1297" s="2" t="s">
        <v>633</v>
      </c>
      <c r="BJ1297" s="2" t="s">
        <v>623</v>
      </c>
      <c r="BK1297" s="2" t="s">
        <v>627</v>
      </c>
      <c r="BL1297" s="2" t="s">
        <v>631</v>
      </c>
      <c r="BM1297" s="47" t="s">
        <v>3</v>
      </c>
    </row>
    <row r="1298" spans="1:65" ht="13.95" customHeight="1">
      <c r="A1298" s="312"/>
      <c r="B1298" s="1097"/>
      <c r="C1298" s="1097"/>
      <c r="D1298" s="1097"/>
      <c r="E1298" s="1097"/>
      <c r="F1298" s="1097"/>
      <c r="G1298" s="133"/>
      <c r="H1298" s="360"/>
      <c r="I1298" s="1098"/>
      <c r="J1298" s="1098"/>
      <c r="K1298" s="1098"/>
      <c r="L1298" s="1098"/>
      <c r="M1298" s="1098"/>
      <c r="N1298" s="233"/>
    </row>
    <row r="1299" spans="1:65" ht="13.95" customHeight="1">
      <c r="A1299" s="312"/>
      <c r="B1299" s="1097"/>
      <c r="C1299" s="1097"/>
      <c r="D1299" s="1097"/>
      <c r="E1299" s="1097"/>
      <c r="F1299" s="1097"/>
      <c r="G1299" s="133"/>
      <c r="H1299" s="360"/>
      <c r="I1299" s="1098"/>
      <c r="J1299" s="1098"/>
      <c r="K1299" s="1098"/>
      <c r="L1299" s="1098"/>
      <c r="M1299" s="1098"/>
      <c r="N1299" s="233"/>
    </row>
    <row r="1300" spans="1:65" ht="13.95" customHeight="1">
      <c r="A1300" s="312"/>
      <c r="B1300" s="1097"/>
      <c r="C1300" s="1097"/>
      <c r="D1300" s="1097"/>
      <c r="E1300" s="1097"/>
      <c r="F1300" s="1097"/>
      <c r="G1300" s="133"/>
      <c r="H1300" s="360"/>
      <c r="I1300" s="1098"/>
      <c r="J1300" s="1098"/>
      <c r="K1300" s="1098"/>
      <c r="L1300" s="1098"/>
      <c r="M1300" s="1098"/>
      <c r="N1300" s="233"/>
    </row>
    <row r="1301" spans="1:65" ht="13.95" customHeight="1">
      <c r="A1301" s="312"/>
      <c r="B1301" s="1097"/>
      <c r="C1301" s="1097"/>
      <c r="D1301" s="1097"/>
      <c r="E1301" s="1097"/>
      <c r="F1301" s="1097"/>
      <c r="G1301" s="133"/>
      <c r="H1301" s="360"/>
      <c r="I1301" s="1098"/>
      <c r="J1301" s="1098"/>
      <c r="K1301" s="1098"/>
      <c r="L1301" s="1098"/>
      <c r="M1301" s="1098"/>
      <c r="N1301" s="233"/>
      <c r="BE1301" s="159" t="s">
        <v>985</v>
      </c>
    </row>
    <row r="1302" spans="1:65" ht="13.95" customHeight="1">
      <c r="A1302" s="312"/>
      <c r="B1302" s="1100"/>
      <c r="C1302" s="1100" t="s">
        <v>553</v>
      </c>
      <c r="D1302" s="3"/>
      <c r="E1302" s="3"/>
      <c r="F1302" s="3"/>
      <c r="G1302" s="1100"/>
      <c r="H1302" s="1101"/>
      <c r="I1302" s="134"/>
      <c r="J1302" s="134"/>
      <c r="K1302" s="134"/>
      <c r="L1302" s="1102" t="s">
        <v>552</v>
      </c>
      <c r="M1302" s="134"/>
      <c r="N1302" s="233"/>
      <c r="BE1302" s="159" t="s">
        <v>986</v>
      </c>
    </row>
    <row r="1303" spans="1:65" ht="13.95" customHeight="1">
      <c r="A1303" s="312"/>
      <c r="B1303" s="1100"/>
      <c r="C1303" s="1100"/>
      <c r="D1303" s="3"/>
      <c r="E1303" s="3"/>
      <c r="F1303" s="3"/>
      <c r="G1303" s="1100"/>
      <c r="H1303" s="1101"/>
      <c r="I1303" s="134"/>
      <c r="J1303" s="134"/>
      <c r="K1303" s="134"/>
      <c r="L1303" s="1102"/>
      <c r="M1303" s="134"/>
      <c r="N1303" s="233"/>
      <c r="BE1303" s="159" t="s">
        <v>984</v>
      </c>
    </row>
    <row r="1304" spans="1:65" ht="13.95" customHeight="1">
      <c r="A1304" s="312"/>
      <c r="B1304" s="1100"/>
      <c r="C1304" s="1100"/>
      <c r="D1304" s="3"/>
      <c r="E1304" s="3"/>
      <c r="F1304" s="3"/>
      <c r="G1304" s="1100"/>
      <c r="H1304" s="1101"/>
      <c r="I1304" s="134"/>
      <c r="J1304" s="134"/>
      <c r="K1304" s="134"/>
      <c r="L1304" s="1102"/>
      <c r="M1304" s="134"/>
      <c r="N1304" s="233"/>
      <c r="BE1304" s="159" t="s">
        <v>987</v>
      </c>
    </row>
    <row r="1305" spans="1:65" ht="13.95" customHeight="1">
      <c r="A1305" s="312"/>
      <c r="B1305" s="1100"/>
      <c r="C1305" s="1100"/>
      <c r="D1305" s="3"/>
      <c r="E1305" s="3"/>
      <c r="F1305" s="3"/>
      <c r="G1305" s="1100"/>
      <c r="H1305" s="1101"/>
      <c r="I1305" s="134"/>
      <c r="J1305" s="134"/>
      <c r="K1305" s="134"/>
      <c r="L1305" s="1102"/>
      <c r="M1305" s="134"/>
      <c r="N1305" s="233"/>
      <c r="BE1305" s="159" t="s">
        <v>988</v>
      </c>
    </row>
    <row r="1306" spans="1:65" ht="13.95" customHeight="1">
      <c r="A1306" s="312"/>
      <c r="B1306" s="1100"/>
      <c r="C1306" s="1100"/>
      <c r="D1306" s="3"/>
      <c r="E1306" s="3"/>
      <c r="F1306" s="3"/>
      <c r="G1306" s="1100"/>
      <c r="H1306" s="1101"/>
      <c r="I1306" s="134"/>
      <c r="J1306" s="134"/>
      <c r="K1306" s="134"/>
      <c r="L1306" s="1102"/>
      <c r="M1306" s="134"/>
      <c r="N1306" s="233"/>
    </row>
    <row r="1307" spans="1:65" ht="13.95" customHeight="1">
      <c r="A1307" s="312"/>
      <c r="B1307" s="1097" t="str">
        <f>BB1295</f>
        <v>But the more you insist we all blend in to some melting pot, the less I can serve your need for local or national cohesion.</v>
      </c>
      <c r="C1307" s="1097"/>
      <c r="D1307" s="1097"/>
      <c r="E1307" s="1097"/>
      <c r="F1307" s="1097"/>
      <c r="G1307" s="133"/>
      <c r="H1307" s="360"/>
      <c r="I1307" s="1098" t="str">
        <f>BB1297</f>
        <v>But the more you insist we compromise our national cohesion, the less I can accept their lack of acculturation.</v>
      </c>
      <c r="J1307" s="1098"/>
      <c r="K1307" s="1098"/>
      <c r="L1307" s="1098"/>
      <c r="M1307" s="1098"/>
      <c r="N1307" s="233"/>
      <c r="BF1307" s="37" t="str">
        <f>IF(B1233=BB1047,BF1047,IF(B1233=BB1048,BF1048,IF(B1233=BB1049,BF1049,IF(B1233=BB1050,BF1050,IF(B1233=BB1051,BF1051,IF(B1233=BB1052,BF1052,IF(B1233=BB1053,BF1053,IF(B1233=BB1054,BF1054,IF(B1233=0,"",IF(B1233="",""))))))))))</f>
        <v>immigration</v>
      </c>
    </row>
    <row r="1308" spans="1:65" ht="13.95" customHeight="1">
      <c r="A1308" s="312"/>
      <c r="B1308" s="1097"/>
      <c r="C1308" s="1097"/>
      <c r="D1308" s="1097"/>
      <c r="E1308" s="1097"/>
      <c r="F1308" s="1097"/>
      <c r="G1308" s="133"/>
      <c r="H1308" s="360"/>
      <c r="I1308" s="1098"/>
      <c r="J1308" s="1098"/>
      <c r="K1308" s="1098"/>
      <c r="L1308" s="1098"/>
      <c r="M1308" s="1098"/>
      <c r="N1308" s="233"/>
      <c r="BC1308" s="2" t="str">
        <f>IF(OR(B1233=0,B1233=""),"",CONCATENATE(BE1308,BF1308,BG1308))</f>
        <v>This wording helps me relate better to both sides of immigration politics.</v>
      </c>
      <c r="BE1308" s="2" t="s">
        <v>978</v>
      </c>
      <c r="BF1308" s="2" t="str">
        <f>IF(BF$1307="","divisive",BF$1307)</f>
        <v>immigration</v>
      </c>
      <c r="BG1308" s="2" t="s">
        <v>979</v>
      </c>
    </row>
    <row r="1309" spans="1:65" ht="13.95" customHeight="1">
      <c r="A1309" s="312"/>
      <c r="B1309" s="1097"/>
      <c r="C1309" s="1097"/>
      <c r="D1309" s="1097"/>
      <c r="E1309" s="1097"/>
      <c r="F1309" s="1097"/>
      <c r="G1309" s="133"/>
      <c r="H1309" s="360"/>
      <c r="I1309" s="1098"/>
      <c r="J1309" s="1098"/>
      <c r="K1309" s="1098"/>
      <c r="L1309" s="1098"/>
      <c r="M1309" s="1098"/>
      <c r="N1309" s="233"/>
      <c r="BC1309" s="2" t="str">
        <f>IF(OR(B1233=0,B1233=""),"",CONCATENATE(BE1309,BF1309,BG1309))</f>
        <v>Now I can better understand immigration politics' competing priorities.</v>
      </c>
      <c r="BE1309" s="2" t="s">
        <v>980</v>
      </c>
      <c r="BF1309" s="2" t="str">
        <f>BF1308</f>
        <v>immigration</v>
      </c>
      <c r="BG1309" s="2" t="s">
        <v>983</v>
      </c>
    </row>
    <row r="1310" spans="1:65" ht="13.95" customHeight="1">
      <c r="A1310" s="312"/>
      <c r="B1310" s="1097"/>
      <c r="C1310" s="1097"/>
      <c r="D1310" s="1097"/>
      <c r="E1310" s="1097"/>
      <c r="F1310" s="1097"/>
      <c r="G1310" s="133"/>
      <c r="H1310" s="360"/>
      <c r="I1310" s="1098"/>
      <c r="J1310" s="1098"/>
      <c r="K1310" s="1098"/>
      <c r="L1310" s="1098"/>
      <c r="M1310" s="1098"/>
      <c r="N1310" s="233"/>
      <c r="BC1310" s="2" t="str">
        <f>IF(OR(B1233=0,B1233=""),"",CONCATENATE(BE1310,BF1310,BG1310))</f>
        <v>This wording helps me let go of trusted immigration generalizations.</v>
      </c>
      <c r="BE1310" s="2" t="s">
        <v>981</v>
      </c>
      <c r="BF1310" s="2" t="str">
        <f>IF(BF$1307="","hateful",BF$1307)</f>
        <v>immigration</v>
      </c>
      <c r="BG1310" s="2" t="s">
        <v>982</v>
      </c>
    </row>
    <row r="1311" spans="1:65" ht="13.95" customHeight="1">
      <c r="A1311" s="312"/>
      <c r="B1311" s="1097"/>
      <c r="C1311" s="1097"/>
      <c r="D1311" s="1097"/>
      <c r="E1311" s="1097"/>
      <c r="F1311" s="1097"/>
      <c r="G1311" s="133"/>
      <c r="H1311" s="360"/>
      <c r="I1311" s="1098"/>
      <c r="J1311" s="1098"/>
      <c r="K1311" s="1098"/>
      <c r="L1311" s="1098"/>
      <c r="M1311" s="1098"/>
      <c r="N1311" s="233"/>
    </row>
    <row r="1312" spans="1:65" ht="13.95" customHeight="1">
      <c r="A1312" s="312"/>
      <c r="B1312" s="1097"/>
      <c r="C1312" s="1097"/>
      <c r="D1312" s="1097"/>
      <c r="E1312" s="1097"/>
      <c r="F1312" s="1097"/>
      <c r="G1312" s="133"/>
      <c r="H1312" s="360"/>
      <c r="I1312" s="1098"/>
      <c r="J1312" s="1098"/>
      <c r="K1312" s="1098"/>
      <c r="L1312" s="1098"/>
      <c r="M1312" s="1098"/>
      <c r="N1312" s="233"/>
    </row>
    <row r="1313" spans="1:63" ht="13.95" customHeight="1">
      <c r="A1313" s="312"/>
      <c r="B1313" s="1097"/>
      <c r="C1313" s="1097"/>
      <c r="D1313" s="1097"/>
      <c r="E1313" s="1097"/>
      <c r="F1313" s="1097"/>
      <c r="G1313" s="133"/>
      <c r="H1313" s="360"/>
      <c r="I1313" s="1098"/>
      <c r="J1313" s="1098"/>
      <c r="K1313" s="1098"/>
      <c r="L1313" s="1098"/>
      <c r="M1313" s="1098"/>
      <c r="N1313" s="233"/>
    </row>
    <row r="1314" spans="1:63" ht="13.95" customHeight="1">
      <c r="A1314" s="312"/>
      <c r="B1314" s="1097"/>
      <c r="C1314" s="1097"/>
      <c r="D1314" s="1097"/>
      <c r="E1314" s="1097"/>
      <c r="F1314" s="1097"/>
      <c r="G1314" s="133"/>
      <c r="H1314" s="360"/>
      <c r="I1314" s="1098"/>
      <c r="J1314" s="1098"/>
      <c r="K1314" s="1098"/>
      <c r="L1314" s="1098"/>
      <c r="M1314" s="1098"/>
      <c r="N1314" s="233"/>
      <c r="BG1314" s="2" t="s">
        <v>990</v>
      </c>
      <c r="BH1314" s="2" t="s">
        <v>718</v>
      </c>
      <c r="BI1314" s="2" t="s">
        <v>999</v>
      </c>
      <c r="BJ1314" s="2" t="s">
        <v>720</v>
      </c>
      <c r="BK1314" s="2" t="s">
        <v>989</v>
      </c>
    </row>
    <row r="1315" spans="1:63">
      <c r="A1315" s="312"/>
      <c r="B1315" s="133"/>
      <c r="C1315" s="133"/>
      <c r="D1315" s="133"/>
      <c r="E1315" s="133"/>
      <c r="F1315" s="133"/>
      <c r="G1315" s="133"/>
      <c r="H1315" s="359"/>
      <c r="I1315" s="134"/>
      <c r="J1315" s="134"/>
      <c r="K1315" s="134"/>
      <c r="L1315" s="134"/>
      <c r="M1315" s="134"/>
      <c r="N1315" s="225"/>
      <c r="BF1315" s="2">
        <v>15</v>
      </c>
      <c r="BG1315" s="2">
        <f>BF1315-3</f>
        <v>12</v>
      </c>
      <c r="BH1315" s="2">
        <f>BG1315-3</f>
        <v>9</v>
      </c>
      <c r="BI1315" s="2">
        <f>BH1315-3</f>
        <v>6</v>
      </c>
      <c r="BJ1315" s="2">
        <f>BI1315-3</f>
        <v>3</v>
      </c>
      <c r="BK1315" s="2">
        <f>BJ1315-3</f>
        <v>0</v>
      </c>
    </row>
    <row r="1316" spans="1:63" ht="16.95" customHeight="1" thickBot="1">
      <c r="A1316" s="224"/>
      <c r="B1316" s="24"/>
      <c r="C1316" s="24"/>
      <c r="D1316" s="24"/>
      <c r="E1316" s="24"/>
      <c r="F1316" s="24"/>
      <c r="G1316" s="24"/>
      <c r="H1316" s="340"/>
      <c r="I1316" s="24"/>
      <c r="J1316" s="24"/>
      <c r="K1316" s="24"/>
      <c r="L1316" s="24"/>
      <c r="M1316" s="24"/>
      <c r="N1316" s="225"/>
    </row>
    <row r="1317" spans="1:63" ht="16.95" customHeight="1">
      <c r="A1317" s="224"/>
      <c r="B1317" s="1103" t="str">
        <f>BC1308</f>
        <v>This wording helps me relate better to both sides of immigration politics.</v>
      </c>
      <c r="C1317" s="1103"/>
      <c r="D1317" s="1103"/>
      <c r="E1317" s="1103"/>
      <c r="F1317" s="1103"/>
      <c r="G1317" s="1103"/>
      <c r="H1317" s="1104"/>
      <c r="I1317" s="1050"/>
      <c r="J1317" s="919"/>
      <c r="K1317" s="919"/>
      <c r="L1317" s="919"/>
      <c r="M1317" s="920"/>
      <c r="N1317" s="225"/>
      <c r="BE1317" s="2">
        <f>IF(I1317=BE$1301,5,IF(I1317=BE$1302,4,IF(I1317=BE$1303,3,IF(I1317=BE$1304,2,IF(I1317=BE$1305,1,0)))))</f>
        <v>0</v>
      </c>
    </row>
    <row r="1318" spans="1:63" ht="16.95" customHeight="1" thickBot="1">
      <c r="A1318" s="224"/>
      <c r="B1318" s="1103"/>
      <c r="C1318" s="1103"/>
      <c r="D1318" s="1103"/>
      <c r="E1318" s="1103"/>
      <c r="F1318" s="1103"/>
      <c r="G1318" s="1103"/>
      <c r="H1318" s="1104"/>
      <c r="I1318" s="1051"/>
      <c r="J1318" s="921"/>
      <c r="K1318" s="921"/>
      <c r="L1318" s="921"/>
      <c r="M1318" s="922"/>
      <c r="N1318" s="225"/>
      <c r="BE1318" s="2">
        <f>IF(I1319=BE$1301,5,IF(I1319=BE$1302,4,IF(I1319=BE$1303,3,IF(I1319=BE$1304,2,IF(I1319=BE$1305,1,0)))))</f>
        <v>0</v>
      </c>
    </row>
    <row r="1319" spans="1:63" ht="16.95" customHeight="1">
      <c r="A1319" s="224"/>
      <c r="B1319" s="1103" t="str">
        <f>BC1309</f>
        <v>Now I can better understand immigration politics' competing priorities.</v>
      </c>
      <c r="C1319" s="1103"/>
      <c r="D1319" s="1103"/>
      <c r="E1319" s="1103"/>
      <c r="F1319" s="1103"/>
      <c r="G1319" s="1103"/>
      <c r="H1319" s="1104"/>
      <c r="I1319" s="1050"/>
      <c r="J1319" s="919"/>
      <c r="K1319" s="919"/>
      <c r="L1319" s="919"/>
      <c r="M1319" s="920"/>
      <c r="N1319" s="225"/>
      <c r="BE1319" s="2">
        <f>IF(I1321=BE$1301,5,IF(I1321=BE$1302,4,IF(I1321=BE$1303,3,IF(I1321=BE$1304,2,IF(I1321=BE$1305,1,0)))))</f>
        <v>0</v>
      </c>
    </row>
    <row r="1320" spans="1:63" ht="16.95" customHeight="1" thickBot="1">
      <c r="A1320" s="224"/>
      <c r="B1320" s="1103"/>
      <c r="C1320" s="1103"/>
      <c r="D1320" s="1103"/>
      <c r="E1320" s="1103"/>
      <c r="F1320" s="1103"/>
      <c r="G1320" s="1103"/>
      <c r="H1320" s="1104"/>
      <c r="I1320" s="1051"/>
      <c r="J1320" s="921"/>
      <c r="K1320" s="921"/>
      <c r="L1320" s="921"/>
      <c r="M1320" s="922"/>
      <c r="N1320" s="225"/>
      <c r="BE1320" s="37">
        <f>SUM(BE1317:BE1319)</f>
        <v>0</v>
      </c>
    </row>
    <row r="1321" spans="1:63" ht="16.95" customHeight="1">
      <c r="A1321" s="224"/>
      <c r="B1321" s="1103" t="str">
        <f>BC1310</f>
        <v>This wording helps me let go of trusted immigration generalizations.</v>
      </c>
      <c r="C1321" s="1103"/>
      <c r="D1321" s="1103"/>
      <c r="E1321" s="1103"/>
      <c r="F1321" s="1103"/>
      <c r="G1321" s="1103"/>
      <c r="H1321" s="1104"/>
      <c r="I1321" s="1050"/>
      <c r="J1321" s="919"/>
      <c r="K1321" s="919"/>
      <c r="L1321" s="919"/>
      <c r="M1321" s="920"/>
      <c r="N1321" s="225"/>
      <c r="BE1321" s="37" t="str">
        <f>IF(AND(BE1320&gt;=BK1315,BE1320&lt;BJ1315),BK1314,IF(AND(BE1320&gt;=BJ1315,BE1320&lt;BI1315),BJ1314,IF(AND(BE1320&gt;=BI1315,BE1320&lt;BH1315),BI1314,IF(AND(BE1320&gt;=BH1315,BE1320&lt;BG1315),BH1314,IF(AND(BE1320&gt;=BG1315,BE1320&lt;=BF1315),BG1314)))))</f>
        <v>low</v>
      </c>
    </row>
    <row r="1322" spans="1:63" ht="16.95" customHeight="1" thickBot="1">
      <c r="A1322" s="224"/>
      <c r="B1322" s="1103"/>
      <c r="C1322" s="1103"/>
      <c r="D1322" s="1103"/>
      <c r="E1322" s="1103"/>
      <c r="F1322" s="1103"/>
      <c r="G1322" s="1103"/>
      <c r="H1322" s="1104"/>
      <c r="I1322" s="1051"/>
      <c r="J1322" s="921"/>
      <c r="K1322" s="921"/>
      <c r="L1322" s="921"/>
      <c r="M1322" s="922"/>
      <c r="N1322" s="225"/>
    </row>
    <row r="1323" spans="1:63" ht="10.199999999999999" customHeight="1">
      <c r="A1323" s="224"/>
      <c r="B1323" s="24"/>
      <c r="C1323" s="24"/>
      <c r="D1323" s="24"/>
      <c r="E1323" s="24"/>
      <c r="F1323" s="24"/>
      <c r="G1323" s="24"/>
      <c r="H1323" s="340"/>
      <c r="I1323" s="24"/>
      <c r="J1323" s="24"/>
      <c r="K1323" s="24"/>
      <c r="L1323" s="24"/>
      <c r="M1323" s="24"/>
      <c r="N1323" s="225"/>
      <c r="BC1323" s="2" t="str">
        <f>IF(BE1317=0,"",CONCATENATE(BE1323,BF1323,BG1323,BH1323,BI1323,BJ1323))</f>
        <v/>
      </c>
      <c r="BE1323" s="2" t="s">
        <v>1000</v>
      </c>
      <c r="BF1323" s="2" t="str">
        <f>BE1321</f>
        <v>low</v>
      </c>
      <c r="BG1323" s="2" t="s">
        <v>1007</v>
      </c>
      <c r="BH1323" s="2" t="s">
        <v>1008</v>
      </c>
      <c r="BI1323" s="2" t="str">
        <f>IF($B$1233="","",$BF$1307)</f>
        <v>immigration</v>
      </c>
      <c r="BJ1323" s="2" t="s">
        <v>1009</v>
      </c>
    </row>
    <row r="1324" spans="1:63" ht="13.95" customHeight="1">
      <c r="A1324" s="224"/>
      <c r="B1324" s="935" t="str">
        <f>BC1329</f>
        <v>Are you ready to escape the clutches of overgeneralizing immigration politics? After choosing an issue, select above how well you can agree with these radically different approaches to immigration politics. Replace being led with taking the lead.</v>
      </c>
      <c r="C1324" s="935"/>
      <c r="D1324" s="935"/>
      <c r="E1324" s="935"/>
      <c r="F1324" s="935"/>
      <c r="G1324" s="935"/>
      <c r="H1324" s="935"/>
      <c r="I1324" s="935"/>
      <c r="J1324" s="935"/>
      <c r="K1324" s="935"/>
      <c r="L1324" s="935"/>
      <c r="M1324" s="935"/>
      <c r="N1324" s="225"/>
      <c r="BC1324" s="2" t="str">
        <f>IF(BE1318=0,"",CONCATENATE(BE1324,BF1324,BG1324))</f>
        <v/>
      </c>
      <c r="BE1324" s="2" t="s">
        <v>1005</v>
      </c>
      <c r="BF1324" s="2" t="str">
        <f>IF($B$1233="","",$BF$1307)</f>
        <v>immigration</v>
      </c>
      <c r="BG1324" s="2" t="s">
        <v>1001</v>
      </c>
    </row>
    <row r="1325" spans="1:63" ht="13.95" customHeight="1">
      <c r="A1325" s="224"/>
      <c r="B1325" s="935"/>
      <c r="C1325" s="935"/>
      <c r="D1325" s="935"/>
      <c r="E1325" s="935"/>
      <c r="F1325" s="935"/>
      <c r="G1325" s="935"/>
      <c r="H1325" s="935"/>
      <c r="I1325" s="935"/>
      <c r="J1325" s="935"/>
      <c r="K1325" s="935"/>
      <c r="L1325" s="935"/>
      <c r="M1325" s="935"/>
      <c r="N1325" s="225"/>
      <c r="BC1325" s="2" t="str">
        <f>IF(BE1319=0,"",CONCATENATE(BE1325,BF1325,BG1325,BH1325,BI1325,BJ1325))</f>
        <v/>
      </c>
      <c r="BE1325" s="2" t="s">
        <v>1006</v>
      </c>
      <c r="BF1325" s="2" t="str">
        <f>IF($B$1233="","",$BF$1307)</f>
        <v>immigration</v>
      </c>
      <c r="BG1325" s="2" t="s">
        <v>1002</v>
      </c>
      <c r="BH1325" s="2" t="str">
        <f>IF($B$1233="","",$BF$1307)</f>
        <v>immigration</v>
      </c>
      <c r="BI1325" s="2" t="s">
        <v>1003</v>
      </c>
      <c r="BJ1325" s="2" t="s">
        <v>1004</v>
      </c>
    </row>
    <row r="1326" spans="1:63" ht="13.95" customHeight="1">
      <c r="A1326" s="224"/>
      <c r="B1326" s="935"/>
      <c r="C1326" s="935"/>
      <c r="D1326" s="935"/>
      <c r="E1326" s="935"/>
      <c r="F1326" s="935"/>
      <c r="G1326" s="935"/>
      <c r="H1326" s="935"/>
      <c r="I1326" s="935"/>
      <c r="J1326" s="935"/>
      <c r="K1326" s="935"/>
      <c r="L1326" s="935"/>
      <c r="M1326" s="935"/>
      <c r="N1326" s="225"/>
      <c r="BC1326" s="2" t="str">
        <f>CONCATENATE(BE1326,BF1326,BG1326,BH1326,BI1326)</f>
        <v>Are you ready to escape the clutches of overgeneralizing immigration politics? After choosing an issue, select above how well you can agree with these radically different approaches to immigration politics. Replace being led with taking the lead.</v>
      </c>
      <c r="BE1326" s="2" t="s">
        <v>1010</v>
      </c>
      <c r="BF1326" s="2" t="str">
        <f>IF($B$1233="","",$BF$1307)</f>
        <v>immigration</v>
      </c>
      <c r="BG1326" s="2" t="s">
        <v>1012</v>
      </c>
      <c r="BH1326" s="2" t="str">
        <f>IF($B$1233="","",$BF$1307)</f>
        <v>immigration</v>
      </c>
      <c r="BI1326" s="2" t="s">
        <v>1011</v>
      </c>
    </row>
    <row r="1327" spans="1:63" ht="13.95" customHeight="1">
      <c r="A1327" s="224"/>
      <c r="B1327" s="935"/>
      <c r="C1327" s="935"/>
      <c r="D1327" s="935"/>
      <c r="E1327" s="935"/>
      <c r="F1327" s="935"/>
      <c r="G1327" s="935"/>
      <c r="H1327" s="935"/>
      <c r="I1327" s="935"/>
      <c r="J1327" s="935"/>
      <c r="K1327" s="935"/>
      <c r="L1327" s="935"/>
      <c r="M1327" s="935"/>
      <c r="N1327" s="225"/>
      <c r="BC1327" s="2" t="str">
        <f>CONCATENATE(BC1323,BC1324,BC1325)</f>
        <v/>
      </c>
    </row>
    <row r="1328" spans="1:63" ht="13.95" customHeight="1">
      <c r="A1328" s="224"/>
      <c r="B1328" s="935"/>
      <c r="C1328" s="935"/>
      <c r="D1328" s="935"/>
      <c r="E1328" s="935"/>
      <c r="F1328" s="935"/>
      <c r="G1328" s="935"/>
      <c r="H1328" s="935"/>
      <c r="I1328" s="935"/>
      <c r="J1328" s="935"/>
      <c r="K1328" s="935"/>
      <c r="L1328" s="935"/>
      <c r="M1328" s="935"/>
      <c r="N1328" s="225"/>
    </row>
    <row r="1329" spans="1:69" ht="13.95" customHeight="1">
      <c r="A1329" s="224"/>
      <c r="B1329" s="935"/>
      <c r="C1329" s="935"/>
      <c r="D1329" s="935"/>
      <c r="E1329" s="935"/>
      <c r="F1329" s="935"/>
      <c r="G1329" s="935"/>
      <c r="H1329" s="935"/>
      <c r="I1329" s="935"/>
      <c r="J1329" s="935"/>
      <c r="K1329" s="935"/>
      <c r="L1329" s="935"/>
      <c r="M1329" s="935"/>
      <c r="N1329" s="225"/>
      <c r="BC1329" s="2" t="str">
        <f>IF(BE1320=0,BC1326,BC1327)</f>
        <v>Are you ready to escape the clutches of overgeneralizing immigration politics? After choosing an issue, select above how well you can agree with these radically different approaches to immigration politics. Replace being led with taking the lead.</v>
      </c>
    </row>
    <row r="1330" spans="1:69" ht="4.95" customHeight="1">
      <c r="A1330" s="226"/>
      <c r="B1330" s="231"/>
      <c r="C1330" s="231"/>
      <c r="D1330" s="231"/>
      <c r="E1330" s="231"/>
      <c r="F1330" s="231"/>
      <c r="G1330" s="231"/>
      <c r="H1330" s="342"/>
      <c r="I1330" s="231"/>
      <c r="J1330" s="231"/>
      <c r="K1330" s="231"/>
      <c r="L1330" s="231"/>
      <c r="M1330" s="231"/>
      <c r="N1330" s="228"/>
    </row>
    <row r="1331" spans="1:69" ht="30" customHeight="1">
      <c r="A1331" s="220" t="s">
        <v>1148</v>
      </c>
      <c r="B1331" s="916" t="s">
        <v>773</v>
      </c>
      <c r="C1331" s="916"/>
      <c r="D1331" s="916"/>
      <c r="E1331" s="916"/>
      <c r="F1331" s="916"/>
      <c r="G1331" s="916"/>
      <c r="H1331" s="916"/>
      <c r="I1331" s="916"/>
      <c r="J1331" s="916"/>
      <c r="K1331" s="916"/>
      <c r="L1331" s="221"/>
      <c r="M1331" s="222"/>
      <c r="N1331" s="223" t="s">
        <v>1149</v>
      </c>
    </row>
    <row r="1332" spans="1:69">
      <c r="A1332" s="224"/>
      <c r="B1332" s="24"/>
      <c r="C1332" s="24"/>
      <c r="D1332" s="24"/>
      <c r="E1332" s="24"/>
      <c r="F1332" s="24"/>
      <c r="G1332" s="24"/>
      <c r="H1332" s="340"/>
      <c r="I1332" s="24"/>
      <c r="J1332" s="24"/>
      <c r="K1332" s="24"/>
      <c r="L1332" s="24"/>
      <c r="M1332" s="24"/>
      <c r="N1332" s="225"/>
    </row>
    <row r="1333" spans="1:69">
      <c r="A1333" s="224"/>
      <c r="B1333" s="24"/>
      <c r="C1333" s="24"/>
      <c r="D1333" s="24"/>
      <c r="E1333" s="24"/>
      <c r="F1333" s="24"/>
      <c r="G1333" s="24"/>
      <c r="H1333" s="340"/>
      <c r="I1333" s="24"/>
      <c r="J1333" s="24"/>
      <c r="K1333" s="24"/>
      <c r="L1333" s="24"/>
      <c r="M1333" s="24"/>
      <c r="N1333" s="225"/>
    </row>
    <row r="1334" spans="1:69">
      <c r="A1334" s="224"/>
      <c r="B1334" s="24"/>
      <c r="C1334" s="24"/>
      <c r="D1334" s="24"/>
      <c r="E1334" s="24"/>
      <c r="F1334" s="24"/>
      <c r="G1334" s="24"/>
      <c r="H1334" s="340"/>
      <c r="I1334" s="24"/>
      <c r="J1334" s="24"/>
      <c r="K1334" s="24"/>
      <c r="L1334" s="24"/>
      <c r="M1334" s="24"/>
      <c r="N1334" s="225"/>
    </row>
    <row r="1335" spans="1:69">
      <c r="A1335" s="224"/>
      <c r="B1335" s="24"/>
      <c r="C1335" s="24"/>
      <c r="D1335" s="24"/>
      <c r="E1335" s="24"/>
      <c r="F1335" s="24"/>
      <c r="G1335" s="24"/>
      <c r="H1335" s="356" t="s">
        <v>779</v>
      </c>
      <c r="I1335" s="24"/>
      <c r="J1335" s="24"/>
      <c r="K1335" s="24"/>
      <c r="L1335" s="24"/>
      <c r="M1335" s="24"/>
      <c r="N1335" s="225"/>
    </row>
    <row r="1336" spans="1:69">
      <c r="A1336" s="224"/>
      <c r="B1336" s="24"/>
      <c r="C1336" s="24"/>
      <c r="D1336" s="24"/>
      <c r="E1336" s="24"/>
      <c r="F1336" s="24"/>
      <c r="G1336" s="24"/>
      <c r="H1336" s="340"/>
      <c r="I1336" s="24"/>
      <c r="J1336" s="24"/>
      <c r="K1336" s="24"/>
      <c r="L1336" s="24"/>
      <c r="M1336" s="24"/>
      <c r="N1336" s="225"/>
    </row>
    <row r="1337" spans="1:69">
      <c r="A1337" s="224"/>
      <c r="B1337" s="24"/>
      <c r="C1337" s="24"/>
      <c r="D1337" s="24"/>
      <c r="E1337" s="24"/>
      <c r="F1337" s="24"/>
      <c r="G1337" s="24"/>
      <c r="H1337" s="357">
        <v>1</v>
      </c>
      <c r="I1337" s="932" t="str">
        <f>IF(B$1233="",BM1337,BE1337)</f>
        <v>The less aware of other’s needs impacted by IMMIGRATION, the more you rely on constricting laws about IMMIGRATION.</v>
      </c>
      <c r="J1337" s="932"/>
      <c r="K1337" s="932"/>
      <c r="L1337" s="932"/>
      <c r="M1337" s="932"/>
      <c r="N1337" s="225"/>
      <c r="BD1337" s="2">
        <v>1</v>
      </c>
      <c r="BE1337" s="37" t="str">
        <f>CONCATENATE(BG1337,BH1337,BI1337,BJ1337,".")</f>
        <v>The less aware of other’s needs impacted by IMMIGRATION, the more you rely on constricting laws about IMMIGRATION.</v>
      </c>
      <c r="BF1337" s="47" t="s">
        <v>3</v>
      </c>
      <c r="BG1337" s="2" t="s">
        <v>790</v>
      </c>
      <c r="BH1337" s="2" t="str">
        <f>IF(OR($B$1233=0,$B$1233=""),"a politicized issue",$B$1233)</f>
        <v>IMMIGRATION</v>
      </c>
      <c r="BI1337" s="2" t="s">
        <v>780</v>
      </c>
      <c r="BJ1337" s="2" t="str">
        <f>BH1337</f>
        <v>IMMIGRATION</v>
      </c>
      <c r="BM1337" s="2" t="str">
        <f>CONCATENATE(BN1337,BO1337,BP1337,BQ1337)</f>
        <v>The less aware of other's needs impacted by a politial issue, the more you rely on constricting laws for that issue.</v>
      </c>
      <c r="BN1337" s="2" t="s">
        <v>785</v>
      </c>
      <c r="BO1337" s="2" t="s">
        <v>814</v>
      </c>
      <c r="BP1337" s="2" t="s">
        <v>807</v>
      </c>
      <c r="BQ1337" s="2" t="s">
        <v>806</v>
      </c>
    </row>
    <row r="1338" spans="1:69">
      <c r="A1338" s="224"/>
      <c r="B1338" s="24"/>
      <c r="C1338" s="24"/>
      <c r="D1338" s="24"/>
      <c r="E1338" s="24"/>
      <c r="F1338" s="24"/>
      <c r="G1338" s="24"/>
      <c r="H1338" s="340"/>
      <c r="I1338" s="932"/>
      <c r="J1338" s="932"/>
      <c r="K1338" s="932"/>
      <c r="L1338" s="932"/>
      <c r="M1338" s="932"/>
      <c r="N1338" s="225"/>
    </row>
    <row r="1339" spans="1:69">
      <c r="A1339" s="224"/>
      <c r="B1339" s="24"/>
      <c r="C1339" s="24"/>
      <c r="D1339" s="24"/>
      <c r="E1339" s="24"/>
      <c r="F1339" s="24"/>
      <c r="G1339" s="24"/>
      <c r="H1339" s="340"/>
      <c r="I1339" s="932"/>
      <c r="J1339" s="932"/>
      <c r="K1339" s="932"/>
      <c r="L1339" s="932"/>
      <c r="M1339" s="932"/>
      <c r="N1339" s="225"/>
    </row>
    <row r="1340" spans="1:69">
      <c r="A1340" s="224"/>
      <c r="B1340" s="24"/>
      <c r="C1340" s="24"/>
      <c r="D1340" s="24"/>
      <c r="E1340" s="24"/>
      <c r="F1340" s="24"/>
      <c r="G1340" s="24"/>
      <c r="H1340" s="340"/>
      <c r="I1340" s="932"/>
      <c r="J1340" s="932"/>
      <c r="K1340" s="932"/>
      <c r="L1340" s="932"/>
      <c r="M1340" s="932"/>
      <c r="N1340" s="225"/>
    </row>
    <row r="1341" spans="1:69">
      <c r="A1341" s="224"/>
      <c r="B1341" s="24"/>
      <c r="C1341" s="24"/>
      <c r="D1341" s="24"/>
      <c r="E1341" s="24"/>
      <c r="F1341" s="24"/>
      <c r="G1341" s="24"/>
      <c r="H1341" s="357">
        <v>2</v>
      </c>
      <c r="I1341" s="932" t="str">
        <f>IF(B$1233="",BM1341,BE1341)</f>
        <v>The more you rely on laws about IMMIGRATION, the less you engage others impacted by IMMIGRATION.</v>
      </c>
      <c r="J1341" s="932"/>
      <c r="K1341" s="932"/>
      <c r="L1341" s="932"/>
      <c r="M1341" s="932"/>
      <c r="N1341" s="225"/>
      <c r="BD1341" s="2">
        <v>2</v>
      </c>
      <c r="BE1341" s="37" t="str">
        <f>CONCATENATE(BG1341,BH1341,BI1341,BJ1341,BK1341,".")</f>
        <v>The more you rely on laws about IMMIGRATION, the less you engage others impacted by IMMIGRATION.</v>
      </c>
      <c r="BF1341" s="47" t="s">
        <v>3</v>
      </c>
      <c r="BG1341" s="2" t="s">
        <v>781</v>
      </c>
      <c r="BH1341" s="2" t="str">
        <f>BH1337</f>
        <v>IMMIGRATION</v>
      </c>
      <c r="BI1341" s="2" t="s">
        <v>782</v>
      </c>
      <c r="BJ1341" s="2" t="str">
        <f>BH1341</f>
        <v>IMMIGRATION</v>
      </c>
      <c r="BM1341" s="2" t="str">
        <f>CONCATENATE(BN1341,BO1341,BP1341,BQ1341)</f>
        <v>The more you rely on laws for that political issue, the less you engage others impacted by that particular issue.</v>
      </c>
      <c r="BN1341" s="2" t="s">
        <v>725</v>
      </c>
      <c r="BO1341" s="2" t="s">
        <v>808</v>
      </c>
      <c r="BP1341" s="2" t="s">
        <v>811</v>
      </c>
      <c r="BQ1341" s="2" t="s">
        <v>815</v>
      </c>
    </row>
    <row r="1342" spans="1:69">
      <c r="A1342" s="224"/>
      <c r="B1342" s="24"/>
      <c r="C1342" s="24"/>
      <c r="D1342" s="24"/>
      <c r="E1342" s="24"/>
      <c r="F1342" s="24"/>
      <c r="G1342" s="24"/>
      <c r="H1342" s="358"/>
      <c r="I1342" s="932"/>
      <c r="J1342" s="932"/>
      <c r="K1342" s="932"/>
      <c r="L1342" s="932"/>
      <c r="M1342" s="932"/>
      <c r="N1342" s="225"/>
    </row>
    <row r="1343" spans="1:69">
      <c r="A1343" s="224"/>
      <c r="B1343" s="24"/>
      <c r="C1343" s="24"/>
      <c r="D1343" s="24"/>
      <c r="E1343" s="24"/>
      <c r="F1343" s="24"/>
      <c r="G1343" s="24"/>
      <c r="H1343" s="357"/>
      <c r="I1343" s="932"/>
      <c r="J1343" s="932"/>
      <c r="K1343" s="932"/>
      <c r="L1343" s="932"/>
      <c r="M1343" s="932"/>
      <c r="N1343" s="225"/>
    </row>
    <row r="1344" spans="1:69">
      <c r="A1344" s="224"/>
      <c r="B1344" s="24"/>
      <c r="C1344" s="24"/>
      <c r="D1344" s="24"/>
      <c r="E1344" s="24"/>
      <c r="F1344" s="24"/>
      <c r="G1344" s="24"/>
      <c r="H1344" s="358"/>
      <c r="I1344" s="932"/>
      <c r="J1344" s="932"/>
      <c r="K1344" s="932"/>
      <c r="L1344" s="932"/>
      <c r="M1344" s="932"/>
      <c r="N1344" s="225"/>
    </row>
    <row r="1345" spans="1:69">
      <c r="A1345" s="224"/>
      <c r="B1345" s="24"/>
      <c r="C1345" s="24"/>
      <c r="D1345" s="24"/>
      <c r="E1345" s="24"/>
      <c r="F1345" s="24"/>
      <c r="G1345" s="24"/>
      <c r="H1345" s="357">
        <v>3</v>
      </c>
      <c r="I1345" s="932" t="str">
        <f>IF(B$1233="",BM1345,BE1345)</f>
        <v>The less you engage others impacted by IMMIGRATION, the more you alienate others when addressing IMMIGRATION.</v>
      </c>
      <c r="J1345" s="932"/>
      <c r="K1345" s="932"/>
      <c r="L1345" s="932"/>
      <c r="M1345" s="932"/>
      <c r="N1345" s="225"/>
      <c r="BD1345" s="2">
        <v>3</v>
      </c>
      <c r="BE1345" s="37" t="str">
        <f>CONCATENATE(BG1345,BH1345,BI1345,BJ1345,BK1345,".")</f>
        <v>The less you engage others impacted by IMMIGRATION, the more you alienate others when addressing IMMIGRATION.</v>
      </c>
      <c r="BF1345" s="47" t="s">
        <v>3</v>
      </c>
      <c r="BG1345" s="2" t="s">
        <v>783</v>
      </c>
      <c r="BH1345" s="2" t="str">
        <f>BH1341</f>
        <v>IMMIGRATION</v>
      </c>
      <c r="BI1345" s="2" t="s">
        <v>784</v>
      </c>
      <c r="BJ1345" s="2" t="str">
        <f>BH1345</f>
        <v>IMMIGRATION</v>
      </c>
      <c r="BM1345" s="2" t="str">
        <f>CONCATENATE(BN1345,BO1345,BP1345,BQ1345)</f>
        <v>The less you engagage others impacted by that political issue, the more you alienate others when addressing that issue.</v>
      </c>
      <c r="BN1345" s="2" t="s">
        <v>785</v>
      </c>
      <c r="BO1345" s="2" t="s">
        <v>809</v>
      </c>
      <c r="BP1345" s="2" t="s">
        <v>807</v>
      </c>
      <c r="BQ1345" s="2" t="s">
        <v>813</v>
      </c>
    </row>
    <row r="1346" spans="1:69">
      <c r="A1346" s="224"/>
      <c r="B1346" s="24"/>
      <c r="C1346" s="24"/>
      <c r="D1346" s="24"/>
      <c r="E1346" s="24"/>
      <c r="F1346" s="24"/>
      <c r="G1346" s="24"/>
      <c r="H1346" s="358"/>
      <c r="I1346" s="932"/>
      <c r="J1346" s="932"/>
      <c r="K1346" s="932"/>
      <c r="L1346" s="932"/>
      <c r="M1346" s="932"/>
      <c r="N1346" s="225"/>
    </row>
    <row r="1347" spans="1:69">
      <c r="A1347" s="224"/>
      <c r="B1347" s="24"/>
      <c r="C1347" s="24"/>
      <c r="D1347" s="24"/>
      <c r="E1347" s="24"/>
      <c r="F1347" s="24"/>
      <c r="G1347" s="24"/>
      <c r="H1347" s="357"/>
      <c r="I1347" s="932"/>
      <c r="J1347" s="932"/>
      <c r="K1347" s="932"/>
      <c r="L1347" s="932"/>
      <c r="M1347" s="932"/>
      <c r="N1347" s="225"/>
    </row>
    <row r="1348" spans="1:69">
      <c r="A1348" s="224"/>
      <c r="B1348" s="24"/>
      <c r="C1348" s="24"/>
      <c r="D1348" s="24"/>
      <c r="E1348" s="24"/>
      <c r="F1348" s="24"/>
      <c r="G1348" s="24"/>
      <c r="H1348" s="358"/>
      <c r="I1348" s="932"/>
      <c r="J1348" s="932"/>
      <c r="K1348" s="932"/>
      <c r="L1348" s="932"/>
      <c r="M1348" s="932"/>
      <c r="N1348" s="225"/>
    </row>
    <row r="1349" spans="1:69">
      <c r="A1349" s="224"/>
      <c r="B1349" s="24"/>
      <c r="C1349" s="24"/>
      <c r="D1349" s="24"/>
      <c r="E1349" s="24"/>
      <c r="F1349" s="24"/>
      <c r="G1349" s="24"/>
      <c r="H1349" s="357">
        <v>4</v>
      </c>
      <c r="I1349" s="932" t="str">
        <f>IF(B$1233="",BM1349,BE1349)</f>
        <v>The more you alienate others when addressing IMMIGRATION, the less aware of other's needs impacted by IMMIGRATION.</v>
      </c>
      <c r="J1349" s="932"/>
      <c r="K1349" s="932"/>
      <c r="L1349" s="932"/>
      <c r="M1349" s="932"/>
      <c r="N1349" s="225"/>
      <c r="BD1349" s="2">
        <v>4</v>
      </c>
      <c r="BE1349" s="37" t="str">
        <f>CONCATENATE(BG1349,BH1349,BI1349,BJ1349,BK1349,".")</f>
        <v>The more you alienate others when addressing IMMIGRATION, the less aware of other's needs impacted by IMMIGRATION.</v>
      </c>
      <c r="BF1349" s="47" t="s">
        <v>3</v>
      </c>
      <c r="BG1349" s="2" t="s">
        <v>786</v>
      </c>
      <c r="BH1349" s="2" t="str">
        <f>BH1345</f>
        <v>IMMIGRATION</v>
      </c>
      <c r="BI1349" s="2" t="s">
        <v>787</v>
      </c>
      <c r="BJ1349" s="2" t="str">
        <f>BH1349</f>
        <v>IMMIGRATION</v>
      </c>
      <c r="BM1349" s="2" t="str">
        <f>CONCATENATE(BN1349,BO1349,BP1349,BQ1349)</f>
        <v>The more you alienate others when addressing that political issue, the less aware of other's needs affected by that issue.</v>
      </c>
      <c r="BN1349" s="2" t="s">
        <v>725</v>
      </c>
      <c r="BO1349" s="2" t="s">
        <v>810</v>
      </c>
      <c r="BP1349" s="2" t="s">
        <v>811</v>
      </c>
      <c r="BQ1349" s="2" t="s">
        <v>812</v>
      </c>
    </row>
    <row r="1350" spans="1:69">
      <c r="A1350" s="224"/>
      <c r="B1350" s="24"/>
      <c r="C1350" s="24"/>
      <c r="D1350" s="24"/>
      <c r="E1350" s="24"/>
      <c r="F1350" s="24"/>
      <c r="G1350" s="24"/>
      <c r="H1350" s="358"/>
      <c r="I1350" s="932"/>
      <c r="J1350" s="932"/>
      <c r="K1350" s="932"/>
      <c r="L1350" s="932"/>
      <c r="M1350" s="932"/>
      <c r="N1350" s="225"/>
    </row>
    <row r="1351" spans="1:69">
      <c r="A1351" s="224"/>
      <c r="B1351" s="24"/>
      <c r="C1351" s="24"/>
      <c r="D1351" s="24"/>
      <c r="E1351" s="24"/>
      <c r="F1351" s="24"/>
      <c r="G1351" s="24"/>
      <c r="H1351" s="357"/>
      <c r="I1351" s="932"/>
      <c r="J1351" s="932"/>
      <c r="K1351" s="932"/>
      <c r="L1351" s="932"/>
      <c r="M1351" s="932"/>
      <c r="N1351" s="225"/>
    </row>
    <row r="1352" spans="1:69">
      <c r="A1352" s="224"/>
      <c r="B1352" s="24"/>
      <c r="C1352" s="24"/>
      <c r="D1352" s="24"/>
      <c r="E1352" s="24"/>
      <c r="F1352" s="24"/>
      <c r="G1352" s="24"/>
      <c r="H1352" s="358"/>
      <c r="I1352" s="932"/>
      <c r="J1352" s="932"/>
      <c r="K1352" s="932"/>
      <c r="L1352" s="932"/>
      <c r="M1352" s="932"/>
      <c r="N1352" s="225"/>
    </row>
    <row r="1353" spans="1:69">
      <c r="A1353" s="224"/>
      <c r="B1353" s="24"/>
      <c r="C1353" s="24"/>
      <c r="D1353" s="24"/>
      <c r="E1353" s="24"/>
      <c r="F1353" s="24"/>
      <c r="G1353" s="24"/>
      <c r="H1353" s="357">
        <v>5</v>
      </c>
      <c r="I1353" s="932" t="str">
        <f>IF(B$1233="",BM1353,BE1353)</f>
        <v>The less aware of other's IMMIGRATION impacted needs….</v>
      </c>
      <c r="J1353" s="932"/>
      <c r="K1353" s="932"/>
      <c r="L1353" s="932"/>
      <c r="M1353" s="932"/>
      <c r="N1353" s="225"/>
      <c r="BD1353" s="2">
        <v>5</v>
      </c>
      <c r="BE1353" s="37" t="str">
        <f>CONCATENATE(BG1353,BH1353,BI1353,BJ1353,".")</f>
        <v>The less aware of other's IMMIGRATION impacted needs….</v>
      </c>
      <c r="BF1353" s="47" t="s">
        <v>3</v>
      </c>
      <c r="BG1353" s="2" t="s">
        <v>788</v>
      </c>
      <c r="BH1353" s="2" t="str">
        <f>BH1349</f>
        <v>IMMIGRATION</v>
      </c>
      <c r="BI1353" s="2" t="s">
        <v>789</v>
      </c>
      <c r="BM1353" s="2" t="str">
        <f>CONCATENATE(BN1353,BO1353)</f>
        <v>The less aware of other's impacted needs by that issue…</v>
      </c>
      <c r="BN1353" s="2" t="s">
        <v>785</v>
      </c>
      <c r="BO1353" s="2" t="s">
        <v>805</v>
      </c>
    </row>
    <row r="1354" spans="1:69">
      <c r="A1354" s="224"/>
      <c r="B1354" s="24"/>
      <c r="C1354" s="24"/>
      <c r="D1354" s="24"/>
      <c r="E1354" s="24"/>
      <c r="F1354" s="24"/>
      <c r="G1354" s="24"/>
      <c r="H1354" s="358"/>
      <c r="I1354" s="932"/>
      <c r="J1354" s="932"/>
      <c r="K1354" s="932"/>
      <c r="L1354" s="932"/>
      <c r="M1354" s="932"/>
      <c r="N1354" s="225"/>
    </row>
    <row r="1355" spans="1:69">
      <c r="A1355" s="224"/>
      <c r="B1355" s="24"/>
      <c r="C1355" s="24"/>
      <c r="D1355" s="24"/>
      <c r="E1355" s="24"/>
      <c r="F1355" s="24"/>
      <c r="G1355" s="24"/>
      <c r="H1355" s="357"/>
      <c r="I1355" s="932"/>
      <c r="J1355" s="932"/>
      <c r="K1355" s="932"/>
      <c r="L1355" s="932"/>
      <c r="M1355" s="932"/>
      <c r="N1355" s="225"/>
    </row>
    <row r="1356" spans="1:69">
      <c r="A1356" s="224"/>
      <c r="B1356" s="24"/>
      <c r="C1356" s="24"/>
      <c r="D1356" s="24"/>
      <c r="E1356" s="24"/>
      <c r="F1356" s="24"/>
      <c r="G1356" s="24"/>
      <c r="H1356" s="356" t="s">
        <v>778</v>
      </c>
      <c r="I1356" s="230"/>
      <c r="J1356" s="230"/>
      <c r="K1356" s="230"/>
      <c r="L1356" s="230"/>
      <c r="M1356" s="230"/>
      <c r="N1356" s="225"/>
    </row>
    <row r="1357" spans="1:69">
      <c r="A1357" s="224"/>
      <c r="B1357" s="24"/>
      <c r="C1357" s="24"/>
      <c r="D1357" s="24"/>
      <c r="E1357" s="24"/>
      <c r="F1357" s="24"/>
      <c r="G1357" s="24"/>
      <c r="H1357" s="340"/>
      <c r="I1357" s="24"/>
      <c r="J1357" s="24"/>
      <c r="K1357" s="24"/>
      <c r="L1357" s="24"/>
      <c r="M1357" s="24"/>
      <c r="N1357" s="225"/>
    </row>
    <row r="1358" spans="1:69">
      <c r="A1358" s="224"/>
      <c r="B1358" s="24"/>
      <c r="C1358" s="24"/>
      <c r="D1358" s="24"/>
      <c r="E1358" s="24"/>
      <c r="F1358" s="24"/>
      <c r="G1358" s="24"/>
      <c r="H1358" s="357">
        <v>1</v>
      </c>
      <c r="I1358" s="932" t="str">
        <f>IF(B$1233="",BM1358,BE1358)</f>
        <v>The more aware of other’s needs impacted by IMMIGRATION, the less you rely on constricting laws about IMMIGRATION.</v>
      </c>
      <c r="J1358" s="932"/>
      <c r="K1358" s="932"/>
      <c r="L1358" s="932"/>
      <c r="M1358" s="932"/>
      <c r="N1358" s="225"/>
      <c r="BD1358" s="2">
        <v>1</v>
      </c>
      <c r="BE1358" s="37" t="str">
        <f>CONCATENATE(BG1358,BH1358,BI1358,BJ1358,".")</f>
        <v>The more aware of other’s needs impacted by IMMIGRATION, the less you rely on constricting laws about IMMIGRATION.</v>
      </c>
      <c r="BF1358" s="47" t="s">
        <v>3</v>
      </c>
      <c r="BG1358" s="2" t="s">
        <v>791</v>
      </c>
      <c r="BH1358" s="2" t="str">
        <f>BH1337</f>
        <v>IMMIGRATION</v>
      </c>
      <c r="BI1358" s="2" t="s">
        <v>792</v>
      </c>
      <c r="BJ1358" s="2" t="str">
        <f>BH1358</f>
        <v>IMMIGRATION</v>
      </c>
      <c r="BM1358" s="2" t="str">
        <f>CONCATENATE(BN1358,BO1358,BP1358,BQ1358)</f>
        <v>The more aware of other's needs impacted by a politial issue, the less you rely on constricting laws for that issue.</v>
      </c>
      <c r="BN1358" s="2" t="s">
        <v>725</v>
      </c>
      <c r="BO1358" s="2" t="s">
        <v>814</v>
      </c>
      <c r="BP1358" s="2" t="s">
        <v>811</v>
      </c>
      <c r="BQ1358" s="2" t="s">
        <v>806</v>
      </c>
    </row>
    <row r="1359" spans="1:69">
      <c r="A1359" s="224"/>
      <c r="B1359" s="24"/>
      <c r="C1359" s="24"/>
      <c r="D1359" s="24"/>
      <c r="E1359" s="24"/>
      <c r="F1359" s="24"/>
      <c r="G1359" s="24"/>
      <c r="H1359" s="340"/>
      <c r="I1359" s="932"/>
      <c r="J1359" s="932"/>
      <c r="K1359" s="932"/>
      <c r="L1359" s="932"/>
      <c r="M1359" s="932"/>
      <c r="N1359" s="225"/>
    </row>
    <row r="1360" spans="1:69">
      <c r="A1360" s="224"/>
      <c r="B1360" s="24"/>
      <c r="C1360" s="24"/>
      <c r="D1360" s="24"/>
      <c r="E1360" s="24"/>
      <c r="F1360" s="24"/>
      <c r="G1360" s="24"/>
      <c r="H1360" s="340"/>
      <c r="I1360" s="932"/>
      <c r="J1360" s="932"/>
      <c r="K1360" s="932"/>
      <c r="L1360" s="932"/>
      <c r="M1360" s="932"/>
      <c r="N1360" s="225"/>
    </row>
    <row r="1361" spans="1:69">
      <c r="A1361" s="224"/>
      <c r="B1361" s="24"/>
      <c r="C1361" s="24"/>
      <c r="D1361" s="24"/>
      <c r="E1361" s="24"/>
      <c r="F1361" s="24"/>
      <c r="G1361" s="24"/>
      <c r="H1361" s="340"/>
      <c r="I1361" s="932"/>
      <c r="J1361" s="932"/>
      <c r="K1361" s="932"/>
      <c r="L1361" s="932"/>
      <c r="M1361" s="932"/>
      <c r="N1361" s="225"/>
    </row>
    <row r="1362" spans="1:69">
      <c r="A1362" s="224"/>
      <c r="B1362" s="24"/>
      <c r="C1362" s="24"/>
      <c r="D1362" s="24"/>
      <c r="E1362" s="24"/>
      <c r="F1362" s="24"/>
      <c r="G1362" s="24"/>
      <c r="H1362" s="357">
        <v>2</v>
      </c>
      <c r="I1362" s="932" t="str">
        <f>IF(B$1233="",BM1362,BE1362)</f>
        <v>The less you rely on laws about IMMIGRATION, the more you engage others impacted by IMMIGRATION.</v>
      </c>
      <c r="J1362" s="932"/>
      <c r="K1362" s="932"/>
      <c r="L1362" s="932"/>
      <c r="M1362" s="932"/>
      <c r="N1362" s="225"/>
      <c r="BD1362" s="2">
        <v>2</v>
      </c>
      <c r="BE1362" s="37" t="str">
        <f>CONCATENATE(BG1362,BH1362,BI1362,BJ1362,BK1362,".")</f>
        <v>The less you rely on laws about IMMIGRATION, the more you engage others impacted by IMMIGRATION.</v>
      </c>
      <c r="BF1362" s="47" t="s">
        <v>3</v>
      </c>
      <c r="BG1362" s="2" t="s">
        <v>793</v>
      </c>
      <c r="BH1362" s="2" t="str">
        <f>BH1358</f>
        <v>IMMIGRATION</v>
      </c>
      <c r="BI1362" s="2" t="s">
        <v>794</v>
      </c>
      <c r="BJ1362" s="2" t="str">
        <f>BH1362</f>
        <v>IMMIGRATION</v>
      </c>
      <c r="BM1362" s="2" t="str">
        <f>CONCATENATE(BN1362,BO1362,BP1362,BQ1362)</f>
        <v>The less you rely on laws for that political issue, the more you engage others impacted by that particular issue.</v>
      </c>
      <c r="BN1362" s="2" t="s">
        <v>785</v>
      </c>
      <c r="BO1362" s="2" t="s">
        <v>808</v>
      </c>
      <c r="BP1362" s="2" t="s">
        <v>807</v>
      </c>
      <c r="BQ1362" s="2" t="s">
        <v>815</v>
      </c>
    </row>
    <row r="1363" spans="1:69">
      <c r="A1363" s="224"/>
      <c r="B1363" s="24"/>
      <c r="C1363" s="24"/>
      <c r="D1363" s="24"/>
      <c r="E1363" s="24"/>
      <c r="F1363" s="24"/>
      <c r="G1363" s="24"/>
      <c r="H1363" s="358"/>
      <c r="I1363" s="932"/>
      <c r="J1363" s="932"/>
      <c r="K1363" s="932"/>
      <c r="L1363" s="932"/>
      <c r="M1363" s="932"/>
      <c r="N1363" s="225"/>
    </row>
    <row r="1364" spans="1:69">
      <c r="A1364" s="224"/>
      <c r="B1364" s="24"/>
      <c r="C1364" s="24"/>
      <c r="D1364" s="24"/>
      <c r="E1364" s="24"/>
      <c r="F1364" s="24"/>
      <c r="G1364" s="24"/>
      <c r="H1364" s="357"/>
      <c r="I1364" s="932"/>
      <c r="J1364" s="932"/>
      <c r="K1364" s="932"/>
      <c r="L1364" s="932"/>
      <c r="M1364" s="932"/>
      <c r="N1364" s="225"/>
    </row>
    <row r="1365" spans="1:69">
      <c r="A1365" s="224"/>
      <c r="B1365" s="24"/>
      <c r="C1365" s="24"/>
      <c r="D1365" s="24"/>
      <c r="E1365" s="24"/>
      <c r="F1365" s="24"/>
      <c r="G1365" s="24"/>
      <c r="H1365" s="358"/>
      <c r="I1365" s="932"/>
      <c r="J1365" s="932"/>
      <c r="K1365" s="932"/>
      <c r="L1365" s="932"/>
      <c r="M1365" s="932"/>
      <c r="N1365" s="225"/>
    </row>
    <row r="1366" spans="1:69">
      <c r="A1366" s="224"/>
      <c r="B1366" s="24"/>
      <c r="C1366" s="24"/>
      <c r="D1366" s="24"/>
      <c r="E1366" s="24"/>
      <c r="F1366" s="24"/>
      <c r="G1366" s="24"/>
      <c r="H1366" s="357">
        <v>3</v>
      </c>
      <c r="I1366" s="932" t="str">
        <f>IF(B$1233="",BM1366,BE1366)</f>
        <v>The more you engage others impacted by IMMIGRATION, the less you alienate others when addressing IMMIGRATION.</v>
      </c>
      <c r="J1366" s="932"/>
      <c r="K1366" s="932"/>
      <c r="L1366" s="932"/>
      <c r="M1366" s="932"/>
      <c r="N1366" s="225"/>
      <c r="BD1366" s="2">
        <v>3</v>
      </c>
      <c r="BE1366" s="37" t="str">
        <f>CONCATENATE(BG1366,BH1366,BI1366,BJ1366,".")</f>
        <v>The more you engage others impacted by IMMIGRATION, the less you alienate others when addressing IMMIGRATION.</v>
      </c>
      <c r="BF1366" s="47" t="s">
        <v>3</v>
      </c>
      <c r="BG1366" s="2" t="s">
        <v>795</v>
      </c>
      <c r="BH1366" s="2" t="str">
        <f>BH1362</f>
        <v>IMMIGRATION</v>
      </c>
      <c r="BI1366" s="2" t="s">
        <v>796</v>
      </c>
      <c r="BJ1366" s="2" t="str">
        <f>BH1366</f>
        <v>IMMIGRATION</v>
      </c>
      <c r="BM1366" s="2" t="str">
        <f>CONCATENATE(BN1366,BO1366,BP1366,BQ1366)</f>
        <v>The more you engagage others impacted by that political issue, the less you alienate others when addressing that issue.</v>
      </c>
      <c r="BN1366" s="2" t="s">
        <v>725</v>
      </c>
      <c r="BO1366" s="2" t="s">
        <v>809</v>
      </c>
      <c r="BP1366" s="2" t="s">
        <v>811</v>
      </c>
      <c r="BQ1366" s="2" t="s">
        <v>813</v>
      </c>
    </row>
    <row r="1367" spans="1:69">
      <c r="A1367" s="224"/>
      <c r="B1367" s="24"/>
      <c r="C1367" s="24"/>
      <c r="D1367" s="24"/>
      <c r="E1367" s="24"/>
      <c r="F1367" s="24"/>
      <c r="G1367" s="24"/>
      <c r="H1367" s="358"/>
      <c r="I1367" s="932"/>
      <c r="J1367" s="932"/>
      <c r="K1367" s="932"/>
      <c r="L1367" s="932"/>
      <c r="M1367" s="932"/>
      <c r="N1367" s="225"/>
    </row>
    <row r="1368" spans="1:69">
      <c r="A1368" s="224"/>
      <c r="B1368" s="24"/>
      <c r="C1368" s="24"/>
      <c r="D1368" s="24"/>
      <c r="E1368" s="24"/>
      <c r="F1368" s="24"/>
      <c r="G1368" s="24"/>
      <c r="H1368" s="357"/>
      <c r="I1368" s="932"/>
      <c r="J1368" s="932"/>
      <c r="K1368" s="932"/>
      <c r="L1368" s="932"/>
      <c r="M1368" s="932"/>
      <c r="N1368" s="225"/>
    </row>
    <row r="1369" spans="1:69">
      <c r="A1369" s="224"/>
      <c r="B1369" s="24"/>
      <c r="C1369" s="24"/>
      <c r="D1369" s="24"/>
      <c r="E1369" s="24"/>
      <c r="F1369" s="24"/>
      <c r="G1369" s="24"/>
      <c r="H1369" s="358"/>
      <c r="I1369" s="932"/>
      <c r="J1369" s="932"/>
      <c r="K1369" s="932"/>
      <c r="L1369" s="932"/>
      <c r="M1369" s="932"/>
      <c r="N1369" s="225"/>
    </row>
    <row r="1370" spans="1:69" ht="13.95" customHeight="1">
      <c r="A1370" s="224"/>
      <c r="B1370" s="24"/>
      <c r="C1370" s="24"/>
      <c r="D1370" s="24"/>
      <c r="E1370" s="24"/>
      <c r="F1370" s="24"/>
      <c r="G1370" s="24"/>
      <c r="H1370" s="357">
        <v>4</v>
      </c>
      <c r="I1370" s="932" t="str">
        <f>IF(B$1233="",BM1370,BE1370)</f>
        <v>The less you alienate others when addressing IMMIGRATION, the more aware of other's needs impacted by IMMIGRATION.</v>
      </c>
      <c r="J1370" s="932"/>
      <c r="K1370" s="932"/>
      <c r="L1370" s="932"/>
      <c r="M1370" s="932"/>
      <c r="N1370" s="225"/>
      <c r="BD1370" s="2">
        <v>4</v>
      </c>
      <c r="BE1370" s="37" t="str">
        <f>CONCATENATE(BG1370,BH1370,BI1370,BJ1370,BK1370,".")</f>
        <v>The less you alienate others when addressing IMMIGRATION, the more aware of other's needs impacted by IMMIGRATION.</v>
      </c>
      <c r="BF1370" s="47" t="s">
        <v>3</v>
      </c>
      <c r="BG1370" s="2" t="s">
        <v>797</v>
      </c>
      <c r="BH1370" s="2" t="str">
        <f>BH1366</f>
        <v>IMMIGRATION</v>
      </c>
      <c r="BI1370" s="2" t="s">
        <v>798</v>
      </c>
      <c r="BJ1370" s="2" t="str">
        <f>BH1370</f>
        <v>IMMIGRATION</v>
      </c>
      <c r="BM1370" s="2" t="str">
        <f>CONCATENATE(BN1370,BO1370,BP1370,BQ1370)</f>
        <v>The less you alienate others when addressing that political issue, the more aware of other's needs affected by that issue.</v>
      </c>
      <c r="BN1370" s="2" t="s">
        <v>785</v>
      </c>
      <c r="BO1370" s="2" t="s">
        <v>810</v>
      </c>
      <c r="BP1370" s="2" t="s">
        <v>807</v>
      </c>
      <c r="BQ1370" s="2" t="s">
        <v>812</v>
      </c>
    </row>
    <row r="1371" spans="1:69">
      <c r="A1371" s="224"/>
      <c r="B1371" s="24"/>
      <c r="C1371" s="24"/>
      <c r="D1371" s="24"/>
      <c r="E1371" s="24"/>
      <c r="F1371" s="24"/>
      <c r="G1371" s="24"/>
      <c r="H1371" s="358"/>
      <c r="I1371" s="932"/>
      <c r="J1371" s="932"/>
      <c r="K1371" s="932"/>
      <c r="L1371" s="932"/>
      <c r="M1371" s="932"/>
      <c r="N1371" s="225"/>
    </row>
    <row r="1372" spans="1:69">
      <c r="A1372" s="224"/>
      <c r="B1372" s="24"/>
      <c r="C1372" s="24"/>
      <c r="D1372" s="24"/>
      <c r="E1372" s="24"/>
      <c r="F1372" s="24"/>
      <c r="G1372" s="24"/>
      <c r="H1372" s="357"/>
      <c r="I1372" s="932"/>
      <c r="J1372" s="932"/>
      <c r="K1372" s="932"/>
      <c r="L1372" s="932"/>
      <c r="M1372" s="932"/>
      <c r="N1372" s="225"/>
    </row>
    <row r="1373" spans="1:69">
      <c r="A1373" s="224"/>
      <c r="B1373" s="24"/>
      <c r="C1373" s="24"/>
      <c r="D1373" s="24"/>
      <c r="E1373" s="24"/>
      <c r="F1373" s="24"/>
      <c r="G1373" s="24"/>
      <c r="H1373" s="358"/>
      <c r="I1373" s="932"/>
      <c r="J1373" s="932"/>
      <c r="K1373" s="932"/>
      <c r="L1373" s="932"/>
      <c r="M1373" s="932"/>
      <c r="N1373" s="225"/>
    </row>
    <row r="1374" spans="1:69">
      <c r="A1374" s="224"/>
      <c r="B1374" s="24"/>
      <c r="C1374" s="24"/>
      <c r="D1374" s="24"/>
      <c r="E1374" s="24"/>
      <c r="F1374" s="24"/>
      <c r="G1374" s="24"/>
      <c r="H1374" s="357">
        <v>5</v>
      </c>
      <c r="I1374" s="932" t="str">
        <f>IF(B$1233="",BM1374,BE1374)</f>
        <v>The more aware of other's IMMIGRATION impacted needs….</v>
      </c>
      <c r="J1374" s="932"/>
      <c r="K1374" s="932"/>
      <c r="L1374" s="932"/>
      <c r="M1374" s="932"/>
      <c r="N1374" s="225"/>
      <c r="BD1374" s="2">
        <v>5</v>
      </c>
      <c r="BE1374" s="37" t="str">
        <f>CONCATENATE(BG1374,BH1374,BI1374,BJ1374,".")</f>
        <v>The more aware of other's IMMIGRATION impacted needs….</v>
      </c>
      <c r="BF1374" s="47" t="s">
        <v>3</v>
      </c>
      <c r="BG1374" s="2" t="s">
        <v>799</v>
      </c>
      <c r="BH1374" s="2" t="str">
        <f>BH1370</f>
        <v>IMMIGRATION</v>
      </c>
      <c r="BI1374" s="2" t="s">
        <v>789</v>
      </c>
      <c r="BM1374" s="2" t="str">
        <f>CONCATENATE(BN1374,BO1374)</f>
        <v>The more aware of other's impacted needs by that issue…</v>
      </c>
      <c r="BN1374" s="2" t="s">
        <v>725</v>
      </c>
      <c r="BO1374" s="2" t="s">
        <v>805</v>
      </c>
    </row>
    <row r="1375" spans="1:69" ht="13.95" customHeight="1">
      <c r="A1375" s="224"/>
      <c r="B1375" s="24"/>
      <c r="C1375" s="24"/>
      <c r="D1375" s="24"/>
      <c r="E1375" s="24"/>
      <c r="F1375" s="24"/>
      <c r="G1375" s="24"/>
      <c r="H1375" s="340"/>
      <c r="I1375" s="932"/>
      <c r="J1375" s="932"/>
      <c r="K1375" s="932"/>
      <c r="L1375" s="932"/>
      <c r="M1375" s="932"/>
      <c r="N1375" s="225"/>
    </row>
    <row r="1376" spans="1:69">
      <c r="A1376" s="224"/>
      <c r="B1376" s="24"/>
      <c r="C1376" s="24"/>
      <c r="D1376" s="24"/>
      <c r="E1376" s="24"/>
      <c r="F1376" s="24"/>
      <c r="G1376" s="24"/>
      <c r="H1376" s="340"/>
      <c r="I1376" s="932"/>
      <c r="J1376" s="932"/>
      <c r="K1376" s="932"/>
      <c r="L1376" s="932"/>
      <c r="M1376" s="932"/>
      <c r="N1376" s="225"/>
    </row>
    <row r="1377" spans="1:81">
      <c r="A1377" s="226"/>
      <c r="B1377" s="231"/>
      <c r="C1377" s="231"/>
      <c r="D1377" s="231"/>
      <c r="E1377" s="231"/>
      <c r="F1377" s="231"/>
      <c r="G1377" s="231"/>
      <c r="H1377" s="342"/>
      <c r="I1377" s="231"/>
      <c r="J1377" s="231"/>
      <c r="K1377" s="231"/>
      <c r="L1377" s="231"/>
      <c r="M1377" s="231"/>
      <c r="N1377" s="228"/>
    </row>
    <row r="1378" spans="1:81" ht="30" customHeight="1">
      <c r="A1378" s="220" t="s">
        <v>1148</v>
      </c>
      <c r="B1378" s="914" t="s">
        <v>1212</v>
      </c>
      <c r="C1378" s="914"/>
      <c r="D1378" s="914"/>
      <c r="E1378" s="914"/>
      <c r="F1378" s="914"/>
      <c r="G1378" s="914"/>
      <c r="H1378" s="914"/>
      <c r="I1378" s="914"/>
      <c r="J1378" s="914"/>
      <c r="K1378" s="914"/>
      <c r="L1378" s="914"/>
      <c r="M1378" s="182"/>
      <c r="N1378" s="232" t="s">
        <v>1149</v>
      </c>
    </row>
    <row r="1379" spans="1:81">
      <c r="A1379" s="224"/>
      <c r="B1379" s="949" t="s">
        <v>1240</v>
      </c>
      <c r="C1379" s="949"/>
      <c r="D1379" s="949"/>
      <c r="E1379" s="949"/>
      <c r="F1379" s="949"/>
      <c r="G1379" s="949"/>
      <c r="H1379" s="949"/>
      <c r="I1379" s="949"/>
      <c r="J1379" s="949"/>
      <c r="K1379" s="949"/>
      <c r="L1379" s="949"/>
      <c r="M1379" s="949"/>
      <c r="N1379" s="225"/>
    </row>
    <row r="1380" spans="1:81">
      <c r="A1380" s="224"/>
      <c r="B1380" s="949"/>
      <c r="C1380" s="949"/>
      <c r="D1380" s="949"/>
      <c r="E1380" s="949"/>
      <c r="F1380" s="949"/>
      <c r="G1380" s="949"/>
      <c r="H1380" s="949"/>
      <c r="I1380" s="949"/>
      <c r="J1380" s="949"/>
      <c r="K1380" s="949"/>
      <c r="L1380" s="949"/>
      <c r="M1380" s="949"/>
      <c r="N1380" s="225"/>
    </row>
    <row r="1381" spans="1:81">
      <c r="A1381" s="224"/>
      <c r="B1381" s="949"/>
      <c r="C1381" s="949"/>
      <c r="D1381" s="949"/>
      <c r="E1381" s="949"/>
      <c r="F1381" s="949"/>
      <c r="G1381" s="949"/>
      <c r="H1381" s="949"/>
      <c r="I1381" s="949"/>
      <c r="J1381" s="949"/>
      <c r="K1381" s="949"/>
      <c r="L1381" s="949"/>
      <c r="M1381" s="949"/>
      <c r="N1381" s="225"/>
    </row>
    <row r="1382" spans="1:81" ht="13.95" customHeight="1">
      <c r="A1382" s="224"/>
      <c r="B1382" s="917" t="s">
        <v>1241</v>
      </c>
      <c r="C1382" s="917"/>
      <c r="D1382" s="917"/>
      <c r="E1382" s="917"/>
      <c r="F1382" s="917"/>
      <c r="G1382" s="917"/>
      <c r="H1382" s="917"/>
      <c r="I1382" s="917"/>
      <c r="J1382" s="917"/>
      <c r="K1382" s="917"/>
      <c r="L1382" s="917"/>
      <c r="M1382" s="917"/>
      <c r="N1382" s="225"/>
    </row>
    <row r="1383" spans="1:81">
      <c r="A1383" s="224"/>
      <c r="B1383" s="917"/>
      <c r="C1383" s="917"/>
      <c r="D1383" s="917"/>
      <c r="E1383" s="917"/>
      <c r="F1383" s="917"/>
      <c r="G1383" s="917"/>
      <c r="H1383" s="917"/>
      <c r="I1383" s="917"/>
      <c r="J1383" s="917"/>
      <c r="K1383" s="917"/>
      <c r="L1383" s="917"/>
      <c r="M1383" s="917"/>
      <c r="N1383" s="225"/>
    </row>
    <row r="1384" spans="1:81">
      <c r="A1384" s="224"/>
      <c r="B1384" s="917"/>
      <c r="C1384" s="917"/>
      <c r="D1384" s="917"/>
      <c r="E1384" s="917"/>
      <c r="F1384" s="917"/>
      <c r="G1384" s="917"/>
      <c r="H1384" s="917"/>
      <c r="I1384" s="917"/>
      <c r="J1384" s="917"/>
      <c r="K1384" s="917"/>
      <c r="L1384" s="917"/>
      <c r="M1384" s="917"/>
      <c r="N1384" s="225"/>
    </row>
    <row r="1385" spans="1:81">
      <c r="A1385" s="224"/>
      <c r="B1385" s="917"/>
      <c r="C1385" s="917"/>
      <c r="D1385" s="917"/>
      <c r="E1385" s="917"/>
      <c r="F1385" s="917"/>
      <c r="G1385" s="917"/>
      <c r="H1385" s="917"/>
      <c r="I1385" s="917"/>
      <c r="J1385" s="917"/>
      <c r="K1385" s="917"/>
      <c r="L1385" s="917"/>
      <c r="M1385" s="917"/>
      <c r="N1385" s="225"/>
    </row>
    <row r="1386" spans="1:81">
      <c r="A1386" s="224"/>
      <c r="B1386" s="1099"/>
      <c r="C1386" s="1099"/>
      <c r="D1386" s="1099"/>
      <c r="E1386" s="1099"/>
      <c r="F1386" s="1099"/>
      <c r="G1386" s="1099"/>
      <c r="H1386" s="1099"/>
      <c r="I1386" s="1099"/>
      <c r="J1386" s="1099"/>
      <c r="K1386" s="1099"/>
      <c r="L1386" s="1099"/>
      <c r="M1386" s="1099"/>
      <c r="N1386" s="225"/>
    </row>
    <row r="1387" spans="1:81">
      <c r="A1387" s="224"/>
      <c r="B1387" s="24"/>
      <c r="C1387" s="24"/>
      <c r="D1387" s="24"/>
      <c r="E1387" s="24"/>
      <c r="F1387" s="24"/>
      <c r="G1387" s="24"/>
      <c r="H1387" s="340"/>
      <c r="I1387" s="24"/>
      <c r="J1387" s="24"/>
      <c r="K1387" s="24"/>
      <c r="L1387" s="24"/>
      <c r="M1387" s="24"/>
      <c r="N1387" s="225"/>
    </row>
    <row r="1388" spans="1:81" ht="18.600000000000001" customHeight="1">
      <c r="A1388" s="224"/>
      <c r="B1388" s="1025" t="str">
        <f>BB1389</f>
        <v>If we win for immigrants crossing the border, I will respect its impact on your border security concerns.</v>
      </c>
      <c r="C1388" s="1025"/>
      <c r="D1388" s="1025"/>
      <c r="E1388" s="1025"/>
      <c r="F1388" s="1025"/>
      <c r="G1388" s="24"/>
      <c r="H1388" s="340"/>
      <c r="I1388" s="1094" t="str">
        <f>BB1391</f>
        <v>If we win at border security, I will respect its impact on the immigrants you care about crossing the border.</v>
      </c>
      <c r="J1388" s="1094"/>
      <c r="K1388" s="1094"/>
      <c r="L1388" s="1094"/>
      <c r="M1388" s="1094"/>
      <c r="N1388" s="225"/>
      <c r="BE1388" s="49" t="str">
        <f t="shared" ref="BE1388:BL1388" si="21">BE1293</f>
        <v>IMM</v>
      </c>
      <c r="BF1388" s="49" t="str">
        <f t="shared" si="21"/>
        <v>CLI</v>
      </c>
      <c r="BG1388" s="49" t="str">
        <f t="shared" si="21"/>
        <v>GUN</v>
      </c>
      <c r="BH1388" s="49" t="str">
        <f t="shared" si="21"/>
        <v>ABO</v>
      </c>
      <c r="BI1388" s="49" t="str">
        <f t="shared" si="21"/>
        <v>HEA</v>
      </c>
      <c r="BJ1388" s="49" t="str">
        <f t="shared" si="21"/>
        <v>CRI</v>
      </c>
      <c r="BK1388" s="49" t="str">
        <f t="shared" si="21"/>
        <v>ECO</v>
      </c>
      <c r="BL1388" s="49" t="str">
        <f t="shared" si="21"/>
        <v>RAC</v>
      </c>
      <c r="BM1388" s="47" t="s">
        <v>3</v>
      </c>
    </row>
    <row r="1389" spans="1:81" ht="13.95" customHeight="1">
      <c r="A1389" s="224"/>
      <c r="B1389" s="1025"/>
      <c r="C1389" s="1025"/>
      <c r="D1389" s="1025"/>
      <c r="E1389" s="1025"/>
      <c r="F1389" s="1025"/>
      <c r="G1389" s="24"/>
      <c r="H1389" s="340"/>
      <c r="I1389" s="1094"/>
      <c r="J1389" s="1094"/>
      <c r="K1389" s="1094"/>
      <c r="L1389" s="1094"/>
      <c r="M1389" s="1094"/>
      <c r="N1389" s="225"/>
      <c r="BB1389" s="2" t="str">
        <f>IF($C$1047=BB$1047,BE1389,IF($C$1047=BB$1048,BF1389,IF($C$1047=BB$1049,BG1389,IF($C$1047=BB$1050,BH1389,IF($C$1047=BB$1051,BI1389,IF($C$1047=BB$1052,BJ1389,IF($C$1047=BB$1053,BK1389,IF($C$1047=BB$1054,BL1389,""))))))))</f>
        <v>If we win for immigrants crossing the border, I will respect its impact on your border security concerns.</v>
      </c>
      <c r="BD1389" s="131" t="s">
        <v>602</v>
      </c>
      <c r="BE1389" s="2" t="str">
        <f>CONCATENATE(BV1389,BV1390,BV1391,BV1392)</f>
        <v>If we win for immigrants crossing the border, I will respect its impact on your border security concerns.</v>
      </c>
      <c r="BF1389" s="2" t="str">
        <f>CONCATENATE(BW1389,BW1390,BW1391,BW1392)</f>
        <v>If we win with environmental controls, I will respect how they impact your strenuously regulated life.</v>
      </c>
      <c r="BG1389" s="2" t="str">
        <f>CONCATENATE(BX1389,BX1390,BX1391,BX1392)</f>
        <v>If we win strengthen gun control, I will respect its impact on your right and need to arm yourself.</v>
      </c>
      <c r="BH1389" s="2" t="str">
        <f>CONCATENATE(BY1389,BY1390,BY1391,BY1392)</f>
        <v>If we win reproductive rights, I will respect its impact on your need to give voice to the unborn.</v>
      </c>
      <c r="BI1389" s="2" t="s">
        <v>842</v>
      </c>
      <c r="BJ1389" s="2" t="s">
        <v>892</v>
      </c>
      <c r="BK1389" s="2" t="s">
        <v>847</v>
      </c>
      <c r="BL1389" s="2" t="s">
        <v>893</v>
      </c>
      <c r="BM1389" s="47" t="s">
        <v>3</v>
      </c>
      <c r="BN1389" s="2" t="s">
        <v>855</v>
      </c>
      <c r="BU1389" s="131" t="s">
        <v>602</v>
      </c>
      <c r="BV1389" s="2" t="s">
        <v>857</v>
      </c>
      <c r="BW1389" s="2" t="s">
        <v>857</v>
      </c>
      <c r="BX1389" s="2" t="s">
        <v>857</v>
      </c>
      <c r="BY1389" s="2" t="s">
        <v>857</v>
      </c>
      <c r="BZ1389" s="2" t="s">
        <v>857</v>
      </c>
      <c r="CA1389" s="2" t="s">
        <v>857</v>
      </c>
      <c r="CB1389" s="2" t="s">
        <v>857</v>
      </c>
      <c r="CC1389" s="2" t="s">
        <v>857</v>
      </c>
    </row>
    <row r="1390" spans="1:81" ht="13.95" customHeight="1">
      <c r="A1390" s="224"/>
      <c r="B1390" s="1025"/>
      <c r="C1390" s="1025"/>
      <c r="D1390" s="1025"/>
      <c r="E1390" s="1025"/>
      <c r="F1390" s="1025"/>
      <c r="G1390" s="24"/>
      <c r="H1390" s="340"/>
      <c r="I1390" s="1094"/>
      <c r="J1390" s="1094"/>
      <c r="K1390" s="1094"/>
      <c r="L1390" s="1094"/>
      <c r="M1390" s="1094"/>
      <c r="N1390" s="225"/>
      <c r="BB1390" s="2" t="str">
        <f>IF($C$1047=BB$1047,BE1390,IF($C$1047=BB$1048,BF1390,IF($C$1047=BB$1049,BG1390,IF($C$1047=BB$1050,BH1390,IF($C$1047=BB$1051,BI1390,IF($C$1047=BB$1052,BJ1390,IF($C$1047=BB$1053,BK1390,IF($C$1047=BB$1054,BL1390,""))))))))</f>
        <v>If we lose immigrant rights, I will expect you to appreciate how devastating this can be to our impacted families and communities.</v>
      </c>
      <c r="BD1390" s="131" t="s">
        <v>603</v>
      </c>
      <c r="BE1390" s="2" t="str">
        <f>CONCATENATE(BV1393,BV1394,BV1395,BV1396)</f>
        <v>If we lose immigrant rights, I will expect you to appreciate how devastating this can be to our impacted families and communities.</v>
      </c>
      <c r="BF1390" s="2" t="str">
        <f>CONCATENATE(BW1393,BW1394,BW1395,BW1396)</f>
        <v>If we fail to stem climate change, I will expect you to appreciate the alarming impact on our affected habitats.</v>
      </c>
      <c r="BG1390" s="2" t="str">
        <f>CONCATENATE(BX1393,BX1394,BX1395,BX1396)</f>
        <v>If we lose gun control, I will expect you to appreciate my fears of gun violence with each mass shooting.</v>
      </c>
      <c r="BH1390" s="2" t="str">
        <f>CONCATENATE(BY1393,BY1394,BY1395,BY1396)</f>
        <v>If we lose reproductive rights, I will expect you to appreciate its impact on our reproductive health needs.</v>
      </c>
      <c r="BI1390" s="2" t="s">
        <v>891</v>
      </c>
      <c r="BJ1390" s="2" t="s">
        <v>845</v>
      </c>
      <c r="BK1390" s="2" t="s">
        <v>848</v>
      </c>
      <c r="BL1390" s="2" t="s">
        <v>852</v>
      </c>
      <c r="BM1390" s="47" t="s">
        <v>3</v>
      </c>
      <c r="BN1390" s="2" t="s">
        <v>856</v>
      </c>
      <c r="BV1390" s="2" t="s">
        <v>861</v>
      </c>
      <c r="BW1390" s="2" t="s">
        <v>868</v>
      </c>
      <c r="BX1390" s="2" t="s">
        <v>876</v>
      </c>
      <c r="BY1390" s="2" t="s">
        <v>882</v>
      </c>
    </row>
    <row r="1391" spans="1:81" ht="13.95" customHeight="1">
      <c r="A1391" s="224"/>
      <c r="B1391" s="1025"/>
      <c r="C1391" s="1025"/>
      <c r="D1391" s="1025"/>
      <c r="E1391" s="1025"/>
      <c r="F1391" s="1025"/>
      <c r="G1391" s="24"/>
      <c r="H1391" s="340"/>
      <c r="I1391" s="1094"/>
      <c r="J1391" s="1094"/>
      <c r="K1391" s="1094"/>
      <c r="L1391" s="1094"/>
      <c r="M1391" s="1094"/>
      <c r="N1391" s="225"/>
      <c r="BB1391" s="2" t="str">
        <f>IF($C$1047=BB$1047,BE1391,IF($C$1047=BB$1048,BF1391,IF($C$1047=BB$1049,BG1391,IF($C$1047=BB$1050,BH1391,IF($C$1047=BB$1051,BI1391,IF($C$1047=BB$1052,BJ1391,IF($C$1047=BB$1053,BK1391,IF($C$1047=BB$1054,BL1391,""))))))))</f>
        <v>If we win at border security, I will respect its impact on the immigrants you care about crossing the border.</v>
      </c>
      <c r="BD1391" s="131" t="s">
        <v>604</v>
      </c>
      <c r="BE1391" s="2" t="str">
        <f>CONCATENATE(BV1397,BV1398,BV1399,BV1400)</f>
        <v>If we win at border security, I will respect its impact on the immigrants you care about crossing the border.</v>
      </c>
      <c r="BF1391" s="2" t="str">
        <f>CONCATENATE(BW1397,BW1398,BW1399,BW1400)</f>
        <v>If we allow nature to correct itself, I will respect how my deregulated business could impact you.</v>
      </c>
      <c r="BG1391" s="2" t="str">
        <f>CONCATENATE(BX1397,BX1398,BX1399,BX1400)</f>
        <v>If we win to counter gun control, I will respect your trauma from various forms of gun violence.</v>
      </c>
      <c r="BH1391" s="2" t="str">
        <f>CONCATENATE(BY1397,BY1398,BY1399,BY1400)</f>
        <v xml:space="preserve">If we win rights for the unborn, I will respect its impact on your reproductive health needs. </v>
      </c>
      <c r="BI1391" s="2" t="s">
        <v>843</v>
      </c>
      <c r="BJ1391" s="2" t="s">
        <v>851</v>
      </c>
      <c r="BK1391" s="2" t="s">
        <v>849</v>
      </c>
      <c r="BL1391" s="2" t="s">
        <v>853</v>
      </c>
      <c r="BM1391" s="47" t="s">
        <v>3</v>
      </c>
      <c r="BN1391" s="2" t="s">
        <v>855</v>
      </c>
      <c r="BV1391" s="2" t="s">
        <v>858</v>
      </c>
      <c r="BW1391" s="2" t="s">
        <v>858</v>
      </c>
      <c r="BX1391" s="2" t="s">
        <v>858</v>
      </c>
      <c r="BY1391" s="2" t="s">
        <v>858</v>
      </c>
      <c r="BZ1391" s="2" t="s">
        <v>858</v>
      </c>
      <c r="CA1391" s="2" t="s">
        <v>858</v>
      </c>
      <c r="CB1391" s="2" t="s">
        <v>858</v>
      </c>
      <c r="CC1391" s="2" t="s">
        <v>858</v>
      </c>
    </row>
    <row r="1392" spans="1:81" ht="15" customHeight="1">
      <c r="A1392" s="224"/>
      <c r="B1392" s="1025"/>
      <c r="C1392" s="1025"/>
      <c r="D1392" s="1025"/>
      <c r="E1392" s="1025"/>
      <c r="F1392" s="1025"/>
      <c r="G1392" s="24"/>
      <c r="H1392" s="340"/>
      <c r="I1392" s="1094"/>
      <c r="J1392" s="1094"/>
      <c r="K1392" s="1094"/>
      <c r="L1392" s="1094"/>
      <c r="M1392" s="1094"/>
      <c r="N1392" s="225"/>
      <c r="BB1392" s="2" t="str">
        <f>IF($C$1047=BB$1047,BE1392,IF($C$1047=BB$1048,BF1392,IF($C$1047=BB$1049,BG1392,IF($C$1047=BB$1050,BH1392,IF($C$1047=BB$1051,BI1392,IF($C$1047=BB$1052,BJ1392,IF($C$1047=BB$1053,BK1392,IF($C$1047=BB$1054,BL1392,""))))))))</f>
        <v>If we lose border security, I will expect you to appreciate how devastating this can be to our impacted families and communities.</v>
      </c>
      <c r="BD1392" s="131" t="s">
        <v>605</v>
      </c>
      <c r="BE1392" s="2" t="str">
        <f>CONCATENATE(BV1401,BV1402,BV1403,BV1404)</f>
        <v>If we lose border security, I will expect you to appreciate how devastating this can be to our impacted families and communities.</v>
      </c>
      <c r="BF1392" s="2" t="str">
        <f>CONCATENATE(BW1401,BW1402,BW1403,BW1404)</f>
        <v>If subjected further to onereous regulations, I will expect you to appreciate my reduced capacity to provide for you.</v>
      </c>
      <c r="BG1392" s="2" t="str">
        <f>CONCATENATE(BX1401,BX1402,BX1403,BX1404)</f>
        <v>If we lose gun rights, I will expect you to appreciate its impact on my right and need to arm myself.</v>
      </c>
      <c r="BH1392" s="2" t="str">
        <f>CONCATENATE(BY1401,BY1402,BY1403,BY1404)</f>
        <v>If we lose rights for the unborn, I will expect you to appreciate its impact on the voiceless unborn.</v>
      </c>
      <c r="BI1392" s="2" t="s">
        <v>844</v>
      </c>
      <c r="BJ1392" s="2" t="s">
        <v>846</v>
      </c>
      <c r="BK1392" s="2" t="s">
        <v>854</v>
      </c>
      <c r="BL1392" s="2" t="s">
        <v>894</v>
      </c>
      <c r="BM1392" s="47" t="s">
        <v>3</v>
      </c>
      <c r="BN1392" s="2" t="s">
        <v>856</v>
      </c>
      <c r="BV1392" s="2" t="s">
        <v>862</v>
      </c>
      <c r="BW1392" s="2" t="s">
        <v>869</v>
      </c>
      <c r="BX1392" s="2" t="s">
        <v>877</v>
      </c>
      <c r="BY1392" s="2" t="s">
        <v>883</v>
      </c>
    </row>
    <row r="1393" spans="1:81" ht="13.95" customHeight="1">
      <c r="A1393" s="224"/>
      <c r="B1393" s="1025"/>
      <c r="C1393" s="1025"/>
      <c r="D1393" s="1025"/>
      <c r="E1393" s="1025"/>
      <c r="F1393" s="1025"/>
      <c r="G1393" s="24"/>
      <c r="H1393" s="340"/>
      <c r="I1393" s="1094"/>
      <c r="J1393" s="1094"/>
      <c r="K1393" s="1094"/>
      <c r="L1393" s="1094"/>
      <c r="M1393" s="1094"/>
      <c r="N1393" s="225"/>
      <c r="BU1393" s="131" t="s">
        <v>603</v>
      </c>
      <c r="BV1393" s="2" t="s">
        <v>860</v>
      </c>
      <c r="BW1393" s="2" t="s">
        <v>860</v>
      </c>
      <c r="BX1393" s="2" t="s">
        <v>860</v>
      </c>
      <c r="BY1393" s="2" t="s">
        <v>860</v>
      </c>
      <c r="BZ1393" s="2" t="s">
        <v>860</v>
      </c>
      <c r="CA1393" s="2" t="s">
        <v>860</v>
      </c>
      <c r="CB1393" s="2" t="s">
        <v>860</v>
      </c>
      <c r="CC1393" s="2" t="s">
        <v>860</v>
      </c>
    </row>
    <row r="1394" spans="1:81" ht="13.95" customHeight="1">
      <c r="A1394" s="224"/>
      <c r="B1394" s="1025"/>
      <c r="C1394" s="1025"/>
      <c r="D1394" s="1025"/>
      <c r="E1394" s="1025"/>
      <c r="F1394" s="1025"/>
      <c r="G1394" s="24"/>
      <c r="H1394" s="340"/>
      <c r="I1394" s="1094"/>
      <c r="J1394" s="1094"/>
      <c r="K1394" s="1094"/>
      <c r="L1394" s="1094"/>
      <c r="M1394" s="1094"/>
      <c r="N1394" s="225"/>
      <c r="BV1394" s="2" t="s">
        <v>863</v>
      </c>
      <c r="BW1394" s="2" t="s">
        <v>870</v>
      </c>
      <c r="BX1394" s="2" t="s">
        <v>878</v>
      </c>
      <c r="BY1394" s="2" t="s">
        <v>884</v>
      </c>
    </row>
    <row r="1395" spans="1:81" ht="13.95" customHeight="1">
      <c r="A1395" s="224"/>
      <c r="B1395" s="1025"/>
      <c r="C1395" s="1025"/>
      <c r="D1395" s="1025"/>
      <c r="E1395" s="1025"/>
      <c r="F1395" s="1025"/>
      <c r="G1395" s="24"/>
      <c r="H1395" s="340"/>
      <c r="I1395" s="1094"/>
      <c r="J1395" s="1094"/>
      <c r="K1395" s="1094"/>
      <c r="L1395" s="1094"/>
      <c r="M1395" s="1094"/>
      <c r="N1395" s="225"/>
      <c r="BV1395" s="2" t="s">
        <v>859</v>
      </c>
      <c r="BW1395" s="2" t="s">
        <v>859</v>
      </c>
      <c r="BX1395" s="2" t="s">
        <v>859</v>
      </c>
      <c r="BY1395" s="2" t="s">
        <v>859</v>
      </c>
      <c r="BZ1395" s="2" t="s">
        <v>859</v>
      </c>
      <c r="CA1395" s="2" t="s">
        <v>859</v>
      </c>
      <c r="CB1395" s="2" t="s">
        <v>859</v>
      </c>
      <c r="CC1395" s="2" t="s">
        <v>859</v>
      </c>
    </row>
    <row r="1396" spans="1:81" ht="14.4" customHeight="1">
      <c r="A1396" s="224"/>
      <c r="B1396" s="24"/>
      <c r="C1396" s="24"/>
      <c r="D1396" s="24"/>
      <c r="E1396" s="24"/>
      <c r="F1396" s="24"/>
      <c r="G1396" s="1095" t="s">
        <v>553</v>
      </c>
      <c r="H1396" s="1096" t="s">
        <v>552</v>
      </c>
      <c r="I1396" s="24"/>
      <c r="J1396" s="24"/>
      <c r="K1396" s="24"/>
      <c r="L1396" s="24"/>
      <c r="M1396" s="24"/>
      <c r="N1396" s="225"/>
      <c r="BE1396" s="159" t="s">
        <v>985</v>
      </c>
      <c r="BV1396" s="2" t="s">
        <v>864</v>
      </c>
      <c r="BW1396" s="2" t="s">
        <v>871</v>
      </c>
      <c r="BX1396" s="2" t="s">
        <v>879</v>
      </c>
      <c r="BY1396" s="2" t="s">
        <v>885</v>
      </c>
    </row>
    <row r="1397" spans="1:81" ht="14.4" customHeight="1">
      <c r="A1397" s="224"/>
      <c r="B1397" s="24"/>
      <c r="C1397" s="24"/>
      <c r="D1397" s="24"/>
      <c r="E1397" s="24"/>
      <c r="F1397" s="24"/>
      <c r="G1397" s="1095"/>
      <c r="H1397" s="1096"/>
      <c r="I1397" s="24"/>
      <c r="J1397" s="24"/>
      <c r="K1397" s="24"/>
      <c r="L1397" s="24"/>
      <c r="M1397" s="24"/>
      <c r="N1397" s="225"/>
      <c r="BE1397" s="159" t="s">
        <v>986</v>
      </c>
      <c r="BU1397" s="131" t="s">
        <v>604</v>
      </c>
      <c r="BV1397" s="2" t="s">
        <v>857</v>
      </c>
      <c r="BW1397" s="2" t="s">
        <v>860</v>
      </c>
      <c r="BX1397" s="2" t="s">
        <v>857</v>
      </c>
      <c r="BY1397" s="2" t="s">
        <v>857</v>
      </c>
      <c r="BZ1397" s="2" t="s">
        <v>857</v>
      </c>
      <c r="CA1397" s="2" t="s">
        <v>857</v>
      </c>
      <c r="CB1397" s="2" t="s">
        <v>857</v>
      </c>
      <c r="CC1397" s="2" t="s">
        <v>857</v>
      </c>
    </row>
    <row r="1398" spans="1:81" ht="13.95" customHeight="1">
      <c r="A1398" s="224"/>
      <c r="B1398" s="24"/>
      <c r="C1398" s="24"/>
      <c r="D1398" s="24"/>
      <c r="E1398" s="24"/>
      <c r="F1398" s="24"/>
      <c r="G1398" s="1095"/>
      <c r="H1398" s="1096"/>
      <c r="I1398" s="24"/>
      <c r="J1398" s="24"/>
      <c r="K1398" s="24"/>
      <c r="L1398" s="24"/>
      <c r="M1398" s="24"/>
      <c r="N1398" s="225"/>
      <c r="BE1398" s="159" t="s">
        <v>984</v>
      </c>
      <c r="BV1398" s="2" t="s">
        <v>865</v>
      </c>
      <c r="BW1398" s="2" t="s">
        <v>872</v>
      </c>
      <c r="BX1398" s="2" t="s">
        <v>914</v>
      </c>
      <c r="BY1398" s="2" t="s">
        <v>886</v>
      </c>
    </row>
    <row r="1399" spans="1:81" ht="13.95" customHeight="1">
      <c r="A1399" s="224"/>
      <c r="B1399" s="24"/>
      <c r="C1399" s="24"/>
      <c r="D1399" s="24"/>
      <c r="E1399" s="24"/>
      <c r="F1399" s="24"/>
      <c r="G1399" s="1095"/>
      <c r="H1399" s="1096"/>
      <c r="I1399" s="24"/>
      <c r="J1399" s="24"/>
      <c r="K1399" s="24"/>
      <c r="L1399" s="24"/>
      <c r="M1399" s="24"/>
      <c r="N1399" s="225"/>
      <c r="BE1399" s="159" t="s">
        <v>987</v>
      </c>
      <c r="BV1399" s="2" t="s">
        <v>858</v>
      </c>
      <c r="BW1399" s="2" t="s">
        <v>858</v>
      </c>
      <c r="BX1399" s="2" t="s">
        <v>858</v>
      </c>
      <c r="BY1399" s="2" t="s">
        <v>858</v>
      </c>
      <c r="BZ1399" s="2" t="s">
        <v>858</v>
      </c>
      <c r="CA1399" s="2" t="s">
        <v>858</v>
      </c>
      <c r="CB1399" s="2" t="s">
        <v>858</v>
      </c>
      <c r="CC1399" s="2" t="s">
        <v>858</v>
      </c>
    </row>
    <row r="1400" spans="1:81" ht="13.95" customHeight="1">
      <c r="A1400" s="224"/>
      <c r="B1400" s="24"/>
      <c r="C1400" s="24"/>
      <c r="D1400" s="24"/>
      <c r="E1400" s="24"/>
      <c r="F1400" s="24"/>
      <c r="G1400" s="1095"/>
      <c r="H1400" s="1096"/>
      <c r="I1400" s="24"/>
      <c r="J1400" s="24"/>
      <c r="K1400" s="24"/>
      <c r="L1400" s="24"/>
      <c r="M1400" s="24"/>
      <c r="N1400" s="225"/>
      <c r="BE1400" s="159" t="s">
        <v>988</v>
      </c>
      <c r="BV1400" s="2" t="s">
        <v>866</v>
      </c>
      <c r="BW1400" s="2" t="s">
        <v>873</v>
      </c>
      <c r="BX1400" s="2" t="s">
        <v>890</v>
      </c>
      <c r="BY1400" s="2" t="s">
        <v>887</v>
      </c>
    </row>
    <row r="1401" spans="1:81" ht="13.95" customHeight="1">
      <c r="A1401" s="224"/>
      <c r="B1401" s="1025" t="str">
        <f>BB1390</f>
        <v>If we lose immigrant rights, I will expect you to appreciate how devastating this can be to our impacted families and communities.</v>
      </c>
      <c r="C1401" s="1025"/>
      <c r="D1401" s="1025"/>
      <c r="E1401" s="1025"/>
      <c r="F1401" s="1025"/>
      <c r="G1401" s="24"/>
      <c r="H1401" s="340"/>
      <c r="I1401" s="1094" t="str">
        <f>BB1392</f>
        <v>If we lose border security, I will expect you to appreciate how devastating this can be to our impacted families and communities.</v>
      </c>
      <c r="J1401" s="1094"/>
      <c r="K1401" s="1094"/>
      <c r="L1401" s="1094"/>
      <c r="M1401" s="1094"/>
      <c r="N1401" s="225"/>
      <c r="BU1401" s="131" t="s">
        <v>605</v>
      </c>
      <c r="BV1401" s="2" t="s">
        <v>860</v>
      </c>
      <c r="BW1401" s="2" t="s">
        <v>850</v>
      </c>
      <c r="BX1401" s="2" t="s">
        <v>860</v>
      </c>
      <c r="BY1401" s="2" t="s">
        <v>860</v>
      </c>
      <c r="BZ1401" s="2" t="s">
        <v>860</v>
      </c>
      <c r="CA1401" s="2" t="s">
        <v>860</v>
      </c>
      <c r="CB1401" s="2" t="s">
        <v>860</v>
      </c>
      <c r="CC1401" s="2" t="s">
        <v>860</v>
      </c>
    </row>
    <row r="1402" spans="1:81" ht="13.95" customHeight="1">
      <c r="A1402" s="224"/>
      <c r="B1402" s="1025"/>
      <c r="C1402" s="1025"/>
      <c r="D1402" s="1025"/>
      <c r="E1402" s="1025"/>
      <c r="F1402" s="1025"/>
      <c r="G1402" s="24"/>
      <c r="H1402" s="340"/>
      <c r="I1402" s="1094"/>
      <c r="J1402" s="1094"/>
      <c r="K1402" s="1094"/>
      <c r="L1402" s="1094"/>
      <c r="M1402" s="1094"/>
      <c r="N1402" s="225"/>
      <c r="BF1402" s="37" t="str">
        <f>BF1307</f>
        <v>immigration</v>
      </c>
      <c r="BV1402" s="2" t="s">
        <v>867</v>
      </c>
      <c r="BW1402" s="2" t="s">
        <v>874</v>
      </c>
      <c r="BX1402" s="2" t="s">
        <v>880</v>
      </c>
      <c r="BY1402" s="2" t="s">
        <v>888</v>
      </c>
    </row>
    <row r="1403" spans="1:81" ht="13.95" customHeight="1">
      <c r="A1403" s="224"/>
      <c r="B1403" s="1025"/>
      <c r="C1403" s="1025"/>
      <c r="D1403" s="1025"/>
      <c r="E1403" s="1025"/>
      <c r="F1403" s="1025"/>
      <c r="G1403" s="24"/>
      <c r="H1403" s="340"/>
      <c r="I1403" s="1094"/>
      <c r="J1403" s="1094"/>
      <c r="K1403" s="1094"/>
      <c r="L1403" s="1094"/>
      <c r="M1403" s="1094"/>
      <c r="N1403" s="225"/>
      <c r="BC1403" s="2" t="str">
        <f>IF(OR(B$1233=0,B$1233=""),"",CONCATENATE(BE1403,BF1403,BG1403))</f>
        <v>This wording helps me engage with the opposing side of immigration politics.</v>
      </c>
      <c r="BE1403" s="2" t="s">
        <v>1013</v>
      </c>
      <c r="BF1403" s="2" t="str">
        <f>BF1402</f>
        <v>immigration</v>
      </c>
      <c r="BG1403" s="2" t="s">
        <v>979</v>
      </c>
      <c r="BV1403" s="2" t="s">
        <v>859</v>
      </c>
      <c r="BW1403" s="2" t="s">
        <v>859</v>
      </c>
      <c r="BX1403" s="2" t="s">
        <v>859</v>
      </c>
      <c r="BY1403" s="2" t="s">
        <v>859</v>
      </c>
      <c r="BZ1403" s="2" t="s">
        <v>859</v>
      </c>
      <c r="CA1403" s="2" t="s">
        <v>859</v>
      </c>
      <c r="CB1403" s="2" t="s">
        <v>859</v>
      </c>
      <c r="CC1403" s="2" t="s">
        <v>859</v>
      </c>
    </row>
    <row r="1404" spans="1:81" ht="13.95" customHeight="1">
      <c r="A1404" s="224"/>
      <c r="B1404" s="1025"/>
      <c r="C1404" s="1025"/>
      <c r="D1404" s="1025"/>
      <c r="E1404" s="1025"/>
      <c r="F1404" s="1025"/>
      <c r="G1404" s="24"/>
      <c r="H1404" s="340"/>
      <c r="I1404" s="1094"/>
      <c r="J1404" s="1094"/>
      <c r="K1404" s="1094"/>
      <c r="L1404" s="1094"/>
      <c r="M1404" s="1094"/>
      <c r="N1404" s="225"/>
      <c r="BC1404" s="2" t="str">
        <f>IF(OR(B$1233=0,B$1233=""),"",CONCATENATE(BE1404,BF1404,BG1404))</f>
        <v>Now I can be less dependent on laws requiring my response to immigration-related needs.</v>
      </c>
      <c r="BE1404" s="2" t="s">
        <v>1019</v>
      </c>
      <c r="BF1404" s="2" t="str">
        <f>BF1403</f>
        <v>immigration</v>
      </c>
      <c r="BG1404" s="47" t="s">
        <v>1018</v>
      </c>
      <c r="BV1404" s="2" t="s">
        <v>864</v>
      </c>
      <c r="BW1404" s="2" t="s">
        <v>875</v>
      </c>
      <c r="BX1404" s="2" t="s">
        <v>881</v>
      </c>
      <c r="BY1404" s="2" t="s">
        <v>889</v>
      </c>
    </row>
    <row r="1405" spans="1:81" ht="13.95" customHeight="1">
      <c r="A1405" s="224"/>
      <c r="B1405" s="1025"/>
      <c r="C1405" s="1025"/>
      <c r="D1405" s="1025"/>
      <c r="E1405" s="1025"/>
      <c r="F1405" s="1025"/>
      <c r="G1405" s="24"/>
      <c r="H1405" s="340"/>
      <c r="I1405" s="1094"/>
      <c r="J1405" s="1094"/>
      <c r="K1405" s="1094"/>
      <c r="L1405" s="1094"/>
      <c r="M1405" s="1094"/>
      <c r="N1405" s="225"/>
      <c r="BC1405" s="2" t="str">
        <f>IF(OR(B$1233=0,B$1233=""),"",CONCATENATE(BE1405,BF1405,BG1405))</f>
        <v>I can now better handle losing at immigration politics.</v>
      </c>
      <c r="BE1405" s="2" t="s">
        <v>1017</v>
      </c>
      <c r="BF1405" s="2" t="str">
        <f>BF1404</f>
        <v>immigration</v>
      </c>
      <c r="BG1405" s="2" t="s">
        <v>979</v>
      </c>
    </row>
    <row r="1406" spans="1:81" ht="13.95" customHeight="1">
      <c r="A1406" s="224"/>
      <c r="B1406" s="1025"/>
      <c r="C1406" s="1025"/>
      <c r="D1406" s="1025"/>
      <c r="E1406" s="1025"/>
      <c r="F1406" s="1025"/>
      <c r="G1406" s="24"/>
      <c r="H1406" s="340"/>
      <c r="I1406" s="1094"/>
      <c r="J1406" s="1094"/>
      <c r="K1406" s="1094"/>
      <c r="L1406" s="1094"/>
      <c r="M1406" s="1094"/>
      <c r="N1406" s="225"/>
    </row>
    <row r="1407" spans="1:81" ht="13.95" customHeight="1">
      <c r="A1407" s="224"/>
      <c r="B1407" s="1025"/>
      <c r="C1407" s="1025"/>
      <c r="D1407" s="1025"/>
      <c r="E1407" s="1025"/>
      <c r="F1407" s="1025"/>
      <c r="G1407" s="24"/>
      <c r="H1407" s="340"/>
      <c r="I1407" s="1094"/>
      <c r="J1407" s="1094"/>
      <c r="K1407" s="1094"/>
      <c r="L1407" s="1094"/>
      <c r="M1407" s="1094"/>
      <c r="N1407" s="225"/>
    </row>
    <row r="1408" spans="1:81">
      <c r="A1408" s="224"/>
      <c r="B1408" s="24"/>
      <c r="C1408" s="24"/>
      <c r="D1408" s="24"/>
      <c r="E1408" s="24"/>
      <c r="F1408" s="24"/>
      <c r="G1408" s="24"/>
      <c r="H1408" s="340"/>
      <c r="I1408" s="24"/>
      <c r="J1408" s="24"/>
      <c r="K1408" s="24"/>
      <c r="L1408" s="24"/>
      <c r="M1408" s="24"/>
      <c r="N1408" s="225"/>
    </row>
    <row r="1409" spans="1:63">
      <c r="A1409" s="224"/>
      <c r="B1409" s="24"/>
      <c r="C1409" s="24"/>
      <c r="D1409" s="24"/>
      <c r="E1409" s="24"/>
      <c r="F1409" s="24"/>
      <c r="G1409" s="24"/>
      <c r="H1409" s="340"/>
      <c r="I1409" s="24"/>
      <c r="J1409" s="24"/>
      <c r="K1409" s="24"/>
      <c r="L1409" s="24"/>
      <c r="M1409" s="24"/>
      <c r="N1409" s="225"/>
      <c r="BG1409" s="2" t="s">
        <v>990</v>
      </c>
      <c r="BH1409" s="2" t="s">
        <v>718</v>
      </c>
      <c r="BI1409" s="2" t="s">
        <v>999</v>
      </c>
      <c r="BJ1409" s="2" t="s">
        <v>720</v>
      </c>
      <c r="BK1409" s="2" t="s">
        <v>989</v>
      </c>
    </row>
    <row r="1410" spans="1:63" ht="10.199999999999999" customHeight="1" thickBot="1">
      <c r="A1410" s="224"/>
      <c r="B1410" s="24"/>
      <c r="C1410" s="24"/>
      <c r="D1410" s="24"/>
      <c r="E1410" s="24"/>
      <c r="F1410" s="24"/>
      <c r="G1410" s="24"/>
      <c r="H1410" s="340"/>
      <c r="I1410" s="24"/>
      <c r="J1410" s="24"/>
      <c r="K1410" s="24"/>
      <c r="L1410" s="24"/>
      <c r="M1410" s="24"/>
      <c r="N1410" s="225"/>
    </row>
    <row r="1411" spans="1:63" ht="16.95" customHeight="1">
      <c r="A1411" s="224"/>
      <c r="B1411" s="936" t="str">
        <f>BC1403</f>
        <v>This wording helps me engage with the opposing side of immigration politics.</v>
      </c>
      <c r="C1411" s="936"/>
      <c r="D1411" s="936"/>
      <c r="E1411" s="936"/>
      <c r="F1411" s="936"/>
      <c r="G1411" s="936"/>
      <c r="H1411" s="937"/>
      <c r="I1411" s="1050"/>
      <c r="J1411" s="919"/>
      <c r="K1411" s="919"/>
      <c r="L1411" s="919"/>
      <c r="M1411" s="920"/>
      <c r="N1411" s="225"/>
      <c r="BF1411" s="2">
        <v>15</v>
      </c>
      <c r="BG1411" s="2">
        <f>BF1411-3</f>
        <v>12</v>
      </c>
      <c r="BH1411" s="2">
        <f>BG1411-3</f>
        <v>9</v>
      </c>
      <c r="BI1411" s="2">
        <f>BH1411-3</f>
        <v>6</v>
      </c>
      <c r="BJ1411" s="2">
        <f>BI1411-3</f>
        <v>3</v>
      </c>
      <c r="BK1411" s="2">
        <f>BJ1411-3</f>
        <v>0</v>
      </c>
    </row>
    <row r="1412" spans="1:63" ht="16.95" customHeight="1" thickBot="1">
      <c r="A1412" s="224"/>
      <c r="B1412" s="936"/>
      <c r="C1412" s="936"/>
      <c r="D1412" s="936"/>
      <c r="E1412" s="936"/>
      <c r="F1412" s="936"/>
      <c r="G1412" s="936"/>
      <c r="H1412" s="937"/>
      <c r="I1412" s="1051"/>
      <c r="J1412" s="921"/>
      <c r="K1412" s="921"/>
      <c r="L1412" s="921"/>
      <c r="M1412" s="922"/>
      <c r="N1412" s="225"/>
      <c r="BE1412" s="2">
        <f>IF(I1411=BE$1301,5,IF(I1411=BE$1302,4,IF(I1411=BE$1303,3,IF(I1411=BE$1304,2,IF(I1411=BE$1305,1,0)))))</f>
        <v>0</v>
      </c>
    </row>
    <row r="1413" spans="1:63" ht="16.95" customHeight="1">
      <c r="A1413" s="224"/>
      <c r="B1413" s="936" t="str">
        <f>BC1404</f>
        <v>Now I can be less dependent on laws requiring my response to immigration-related needs.</v>
      </c>
      <c r="C1413" s="936"/>
      <c r="D1413" s="936"/>
      <c r="E1413" s="936"/>
      <c r="F1413" s="936"/>
      <c r="G1413" s="936"/>
      <c r="H1413" s="937"/>
      <c r="I1413" s="1050"/>
      <c r="J1413" s="919"/>
      <c r="K1413" s="919"/>
      <c r="L1413" s="919"/>
      <c r="M1413" s="920"/>
      <c r="N1413" s="225"/>
      <c r="BE1413" s="2">
        <f>IF(I1413=BE$1301,5,IF(I1413=BE$1302,4,IF(I1413=BE$1303,3,IF(I1413=BE$1304,2,IF(I1413=BE$1305,1,0)))))</f>
        <v>0</v>
      </c>
    </row>
    <row r="1414" spans="1:63" ht="16.95" customHeight="1" thickBot="1">
      <c r="A1414" s="224"/>
      <c r="B1414" s="936"/>
      <c r="C1414" s="936"/>
      <c r="D1414" s="936"/>
      <c r="E1414" s="936"/>
      <c r="F1414" s="936"/>
      <c r="G1414" s="936"/>
      <c r="H1414" s="937"/>
      <c r="I1414" s="1051"/>
      <c r="J1414" s="921"/>
      <c r="K1414" s="921"/>
      <c r="L1414" s="921"/>
      <c r="M1414" s="922"/>
      <c r="N1414" s="225"/>
      <c r="BE1414" s="2">
        <f>IF(I1415=BE$1301,5,IF(I1415=BE$1302,4,IF(I1415=BE$1303,3,IF(I1415=BE$1304,2,IF(I1415=BE$1305,1,0)))))</f>
        <v>0</v>
      </c>
    </row>
    <row r="1415" spans="1:63" ht="16.95" customHeight="1">
      <c r="A1415" s="224"/>
      <c r="B1415" s="936" t="str">
        <f>BC1405</f>
        <v>I can now better handle losing at immigration politics.</v>
      </c>
      <c r="C1415" s="936"/>
      <c r="D1415" s="936"/>
      <c r="E1415" s="936"/>
      <c r="F1415" s="936"/>
      <c r="G1415" s="936"/>
      <c r="H1415" s="937"/>
      <c r="I1415" s="1050"/>
      <c r="J1415" s="919"/>
      <c r="K1415" s="919"/>
      <c r="L1415" s="919"/>
      <c r="M1415" s="920"/>
      <c r="N1415" s="225"/>
      <c r="BE1415" s="37">
        <f>SUM(BE1412:BE1414)</f>
        <v>0</v>
      </c>
    </row>
    <row r="1416" spans="1:63" ht="16.95" customHeight="1" thickBot="1">
      <c r="A1416" s="224"/>
      <c r="B1416" s="936"/>
      <c r="C1416" s="936"/>
      <c r="D1416" s="936"/>
      <c r="E1416" s="936"/>
      <c r="F1416" s="936"/>
      <c r="G1416" s="936"/>
      <c r="H1416" s="937"/>
      <c r="I1416" s="1051"/>
      <c r="J1416" s="921"/>
      <c r="K1416" s="921"/>
      <c r="L1416" s="921"/>
      <c r="M1416" s="922"/>
      <c r="N1416" s="225"/>
      <c r="BE1416" s="37" t="str">
        <f>IF(AND(BE1415&gt;=BK1411,BE1415&lt;BJ1411),BK1409,IF(AND(BE1415&gt;=BJ1411,BE1415&lt;BI1411),BJ1409,IF(AND(BE1415&gt;=BI1411,BE1415&lt;BH1411),BI1409,IF(AND(BE1415&gt;=BH1411,BE1415&lt;BG1411),BH1409,IF(AND(BE1415&gt;=BG1411,BE1415&lt;=BF1411),BG1409)))))</f>
        <v>low</v>
      </c>
    </row>
    <row r="1417" spans="1:63" ht="4.95" customHeight="1">
      <c r="A1417" s="224"/>
      <c r="B1417" s="24"/>
      <c r="C1417" s="24"/>
      <c r="D1417" s="24"/>
      <c r="E1417" s="24"/>
      <c r="F1417" s="24"/>
      <c r="G1417" s="24"/>
      <c r="H1417" s="340"/>
      <c r="I1417" s="24"/>
      <c r="J1417" s="24"/>
      <c r="K1417" s="24"/>
      <c r="L1417" s="24"/>
      <c r="M1417" s="24"/>
      <c r="N1417" s="225"/>
    </row>
    <row r="1418" spans="1:63">
      <c r="A1418" s="224"/>
      <c r="B1418" s="935" t="str">
        <f>BC1423</f>
        <v>Are you ready to honor needs without alienating laws about immigration? After choosing an issue, select above how well you can agree with these radically different approaches to immigration politics. Replace being led with taking the lead.</v>
      </c>
      <c r="C1418" s="935"/>
      <c r="D1418" s="935"/>
      <c r="E1418" s="935"/>
      <c r="F1418" s="935"/>
      <c r="G1418" s="935"/>
      <c r="H1418" s="935"/>
      <c r="I1418" s="935"/>
      <c r="J1418" s="935"/>
      <c r="K1418" s="935"/>
      <c r="L1418" s="935"/>
      <c r="M1418" s="935"/>
      <c r="N1418" s="225"/>
      <c r="BC1418" s="2" t="str">
        <f>IF(BE1412=0,"",CONCATENATE(BE1418,BF1418,BG1418,BH1418,BI1418,BJ1418))</f>
        <v/>
      </c>
      <c r="BE1418" s="2" t="s">
        <v>1000</v>
      </c>
      <c r="BF1418" s="2" t="str">
        <f>BE1416</f>
        <v>low</v>
      </c>
      <c r="BG1418" s="2" t="s">
        <v>1007</v>
      </c>
      <c r="BH1418" s="2" t="s">
        <v>1020</v>
      </c>
      <c r="BI1418" s="2" t="str">
        <f>IF($B$1233="","",$BF$1307)</f>
        <v>immigration</v>
      </c>
      <c r="BJ1418" s="2" t="s">
        <v>1021</v>
      </c>
    </row>
    <row r="1419" spans="1:63">
      <c r="A1419" s="224"/>
      <c r="B1419" s="935"/>
      <c r="C1419" s="935"/>
      <c r="D1419" s="935"/>
      <c r="E1419" s="935"/>
      <c r="F1419" s="935"/>
      <c r="G1419" s="935"/>
      <c r="H1419" s="935"/>
      <c r="I1419" s="935"/>
      <c r="J1419" s="935"/>
      <c r="K1419" s="935"/>
      <c r="L1419" s="935"/>
      <c r="M1419" s="935"/>
      <c r="N1419" s="225"/>
      <c r="BC1419" s="2" t="str">
        <f>IF(BE1413=0,"",CONCATENATE(BE1419,BF1419,BG1419,BH1419,BI1419))</f>
        <v/>
      </c>
      <c r="BE1419" s="2" t="s">
        <v>1025</v>
      </c>
      <c r="BF1419" s="2" t="str">
        <f>IF($B$1233="","",$BF$1307)</f>
        <v>immigration</v>
      </c>
      <c r="BG1419" s="47" t="s">
        <v>1026</v>
      </c>
      <c r="BH1419" s="2" t="str">
        <f>IF($B$1233="","",$BF$1307)</f>
        <v>immigration</v>
      </c>
      <c r="BI1419" s="2" t="s">
        <v>1022</v>
      </c>
    </row>
    <row r="1420" spans="1:63">
      <c r="A1420" s="224"/>
      <c r="B1420" s="935"/>
      <c r="C1420" s="935"/>
      <c r="D1420" s="935"/>
      <c r="E1420" s="935"/>
      <c r="F1420" s="935"/>
      <c r="G1420" s="935"/>
      <c r="H1420" s="935"/>
      <c r="I1420" s="935"/>
      <c r="J1420" s="935"/>
      <c r="K1420" s="935"/>
      <c r="L1420" s="935"/>
      <c r="M1420" s="935"/>
      <c r="N1420" s="225"/>
      <c r="BC1420" s="2" t="str">
        <f>IF(BE1414=0,"",CONCATENATE(BE1420,BF1420,BG1420,BH1420,BI1420,BJ1420))</f>
        <v/>
      </c>
      <c r="BE1420" s="2" t="s">
        <v>1023</v>
      </c>
      <c r="BF1420" s="2" t="str">
        <f>IF($B$1233="","",$BF$1307)</f>
        <v>immigration</v>
      </c>
      <c r="BG1420" s="2" t="s">
        <v>1024</v>
      </c>
      <c r="BJ1420" s="2" t="s">
        <v>1004</v>
      </c>
    </row>
    <row r="1421" spans="1:63">
      <c r="A1421" s="224"/>
      <c r="B1421" s="935"/>
      <c r="C1421" s="935"/>
      <c r="D1421" s="935"/>
      <c r="E1421" s="935"/>
      <c r="F1421" s="935"/>
      <c r="G1421" s="935"/>
      <c r="H1421" s="935"/>
      <c r="I1421" s="935"/>
      <c r="J1421" s="935"/>
      <c r="K1421" s="935"/>
      <c r="L1421" s="935"/>
      <c r="M1421" s="935"/>
      <c r="N1421" s="225"/>
      <c r="BC1421" s="2" t="str">
        <f>CONCATENATE(BE1421,BF1421,BG1421,BH1421,BI1421)</f>
        <v>Are you ready to honor needs without alienating laws about immigration? After choosing an issue, select above how well you can agree with these radically different approaches to immigration politics. Replace being led with taking the lead.</v>
      </c>
      <c r="BE1421" s="2" t="s">
        <v>1016</v>
      </c>
      <c r="BF1421" s="2" t="str">
        <f>IF(OR($B$1233=0,$B$1233=""),"politicized issues",$BF$1307)</f>
        <v>immigration</v>
      </c>
      <c r="BG1421" s="2" t="s">
        <v>1015</v>
      </c>
      <c r="BH1421" s="2" t="str">
        <f>IF($B$1233="","",$BF$1307)</f>
        <v>immigration</v>
      </c>
      <c r="BI1421" s="2" t="s">
        <v>1011</v>
      </c>
    </row>
    <row r="1422" spans="1:63">
      <c r="A1422" s="224"/>
      <c r="B1422" s="935"/>
      <c r="C1422" s="935"/>
      <c r="D1422" s="935"/>
      <c r="E1422" s="935"/>
      <c r="F1422" s="935"/>
      <c r="G1422" s="935"/>
      <c r="H1422" s="935"/>
      <c r="I1422" s="935"/>
      <c r="J1422" s="935"/>
      <c r="K1422" s="935"/>
      <c r="L1422" s="935"/>
      <c r="M1422" s="935"/>
      <c r="N1422" s="225"/>
      <c r="BC1422" s="2" t="str">
        <f>CONCATENATE(BC1418,BC1419,BC1420)</f>
        <v/>
      </c>
    </row>
    <row r="1423" spans="1:63">
      <c r="A1423" s="224"/>
      <c r="B1423" s="935"/>
      <c r="C1423" s="935"/>
      <c r="D1423" s="935"/>
      <c r="E1423" s="935"/>
      <c r="F1423" s="935"/>
      <c r="G1423" s="935"/>
      <c r="H1423" s="935"/>
      <c r="I1423" s="935"/>
      <c r="J1423" s="935"/>
      <c r="K1423" s="935"/>
      <c r="L1423" s="935"/>
      <c r="M1423" s="935"/>
      <c r="N1423" s="225"/>
      <c r="BC1423" s="2" t="str">
        <f>IF(BE1415=0,BC1421,BC1422)</f>
        <v>Are you ready to honor needs without alienating laws about immigration? After choosing an issue, select above how well you can agree with these radically different approaches to immigration politics. Replace being led with taking the lead.</v>
      </c>
    </row>
    <row r="1424" spans="1:63" ht="10.199999999999999" customHeight="1">
      <c r="A1424" s="226"/>
      <c r="B1424" s="231"/>
      <c r="C1424" s="231"/>
      <c r="D1424" s="231"/>
      <c r="E1424" s="231"/>
      <c r="F1424" s="231"/>
      <c r="G1424" s="231"/>
      <c r="H1424" s="342"/>
      <c r="I1424" s="231"/>
      <c r="J1424" s="231"/>
      <c r="K1424" s="231"/>
      <c r="L1424" s="231"/>
      <c r="M1424" s="231"/>
      <c r="N1424" s="228"/>
    </row>
    <row r="1425" spans="1:69" ht="30" customHeight="1">
      <c r="A1425" s="220" t="s">
        <v>1148</v>
      </c>
      <c r="B1425" s="916" t="s">
        <v>775</v>
      </c>
      <c r="C1425" s="916"/>
      <c r="D1425" s="916"/>
      <c r="E1425" s="916"/>
      <c r="F1425" s="916"/>
      <c r="G1425" s="916"/>
      <c r="H1425" s="916"/>
      <c r="I1425" s="916"/>
      <c r="J1425" s="916"/>
      <c r="K1425" s="916"/>
      <c r="L1425" s="221"/>
      <c r="M1425" s="222"/>
      <c r="N1425" s="223" t="s">
        <v>1149</v>
      </c>
    </row>
    <row r="1426" spans="1:69">
      <c r="A1426" s="224"/>
      <c r="B1426" s="24"/>
      <c r="C1426" s="24"/>
      <c r="D1426" s="24"/>
      <c r="E1426" s="24"/>
      <c r="F1426" s="24"/>
      <c r="G1426" s="24"/>
      <c r="H1426" s="340"/>
      <c r="I1426" s="24"/>
      <c r="J1426" s="24"/>
      <c r="K1426" s="24"/>
      <c r="L1426" s="24"/>
      <c r="M1426" s="24"/>
      <c r="N1426" s="225"/>
    </row>
    <row r="1427" spans="1:69">
      <c r="A1427" s="224"/>
      <c r="B1427" s="24"/>
      <c r="C1427" s="24"/>
      <c r="D1427" s="24"/>
      <c r="E1427" s="24"/>
      <c r="F1427" s="24"/>
      <c r="G1427" s="24"/>
      <c r="H1427" s="340"/>
      <c r="I1427" s="24"/>
      <c r="J1427" s="24"/>
      <c r="K1427" s="24"/>
      <c r="L1427" s="24"/>
      <c r="M1427" s="24"/>
      <c r="N1427" s="225"/>
    </row>
    <row r="1428" spans="1:69">
      <c r="A1428" s="224"/>
      <c r="B1428" s="24"/>
      <c r="C1428" s="24"/>
      <c r="D1428" s="24"/>
      <c r="E1428" s="24"/>
      <c r="F1428" s="24"/>
      <c r="G1428" s="24"/>
      <c r="H1428" s="340"/>
      <c r="I1428" s="24"/>
      <c r="J1428" s="24"/>
      <c r="K1428" s="24"/>
      <c r="L1428" s="24"/>
      <c r="M1428" s="24"/>
      <c r="N1428" s="225"/>
    </row>
    <row r="1429" spans="1:69" ht="15.6">
      <c r="A1429" s="224"/>
      <c r="B1429" s="229"/>
      <c r="C1429" s="24"/>
      <c r="D1429" s="24"/>
      <c r="E1429" s="24"/>
      <c r="F1429" s="24"/>
      <c r="G1429" s="24"/>
      <c r="H1429" s="356" t="s">
        <v>776</v>
      </c>
      <c r="I1429" s="24"/>
      <c r="J1429" s="24"/>
      <c r="K1429" s="24"/>
      <c r="L1429" s="24"/>
      <c r="M1429" s="24"/>
      <c r="N1429" s="225"/>
    </row>
    <row r="1430" spans="1:69">
      <c r="A1430" s="224"/>
      <c r="B1430" s="24"/>
      <c r="C1430" s="24"/>
      <c r="D1430" s="24"/>
      <c r="E1430" s="24"/>
      <c r="F1430" s="24"/>
      <c r="G1430" s="24"/>
      <c r="H1430" s="340"/>
      <c r="I1430" s="24"/>
      <c r="J1430" s="24"/>
      <c r="K1430" s="24"/>
      <c r="L1430" s="24"/>
      <c r="M1430" s="24"/>
      <c r="N1430" s="225"/>
    </row>
    <row r="1431" spans="1:69" ht="13.95" customHeight="1">
      <c r="A1431" s="224"/>
      <c r="B1431" s="24"/>
      <c r="C1431" s="24"/>
      <c r="D1431" s="24"/>
      <c r="E1431" s="24"/>
      <c r="F1431" s="24"/>
      <c r="G1431" s="24"/>
      <c r="H1431" s="357">
        <v>1</v>
      </c>
      <c r="I1431" s="932" t="str">
        <f>IF(B$1233="",BM1431,BE1431)</f>
        <v>The more you overstate their differences on IMMIGRATION, the more you depict their errors with IMMIGRATION as typical.</v>
      </c>
      <c r="J1431" s="932"/>
      <c r="K1431" s="932"/>
      <c r="L1431" s="932"/>
      <c r="M1431" s="932"/>
      <c r="N1431" s="225"/>
      <c r="BD1431" s="2">
        <v>1</v>
      </c>
      <c r="BE1431" s="37" t="str">
        <f>CONCATENATE(BG1431,BH1431,BI1431,BJ1431,BK1431,".")</f>
        <v>The more you overstate their differences on IMMIGRATION, the more you depict their errors with IMMIGRATION as typical.</v>
      </c>
      <c r="BF1431" s="47" t="s">
        <v>3</v>
      </c>
      <c r="BG1431" s="2" t="s">
        <v>816</v>
      </c>
      <c r="BH1431" s="2" t="str">
        <f>IF(OR($B$1233=0,$B$1233=""),"a politicized issue",$B$1233)</f>
        <v>IMMIGRATION</v>
      </c>
      <c r="BI1431" s="2" t="s">
        <v>817</v>
      </c>
      <c r="BJ1431" s="2" t="str">
        <f>BH1431</f>
        <v>IMMIGRATION</v>
      </c>
      <c r="BK1431" s="2" t="s">
        <v>818</v>
      </c>
      <c r="BM1431" s="2" t="str">
        <f>CONCATENATE(BN1431,BO1431,BP1431,BQ1431)</f>
        <v>The more you overstate their differences on a politial issue, the more you depict their errors with that issue as typical.</v>
      </c>
      <c r="BN1431" s="2" t="s">
        <v>725</v>
      </c>
      <c r="BO1431" s="2" t="s">
        <v>825</v>
      </c>
      <c r="BP1431" s="2" t="s">
        <v>807</v>
      </c>
      <c r="BQ1431" s="2" t="s">
        <v>826</v>
      </c>
    </row>
    <row r="1432" spans="1:69">
      <c r="A1432" s="224"/>
      <c r="B1432" s="24"/>
      <c r="C1432" s="24"/>
      <c r="D1432" s="24"/>
      <c r="E1432" s="24"/>
      <c r="F1432" s="24"/>
      <c r="G1432" s="24"/>
      <c r="H1432" s="340"/>
      <c r="I1432" s="932"/>
      <c r="J1432" s="932"/>
      <c r="K1432" s="932"/>
      <c r="L1432" s="932"/>
      <c r="M1432" s="932"/>
      <c r="N1432" s="225"/>
    </row>
    <row r="1433" spans="1:69">
      <c r="A1433" s="224"/>
      <c r="B1433" s="24"/>
      <c r="C1433" s="24"/>
      <c r="D1433" s="24"/>
      <c r="E1433" s="24"/>
      <c r="F1433" s="24"/>
      <c r="G1433" s="24"/>
      <c r="H1433" s="340"/>
      <c r="I1433" s="932"/>
      <c r="J1433" s="932"/>
      <c r="K1433" s="932"/>
      <c r="L1433" s="932"/>
      <c r="M1433" s="932"/>
      <c r="N1433" s="225"/>
    </row>
    <row r="1434" spans="1:69" ht="13.95" customHeight="1">
      <c r="A1434" s="224"/>
      <c r="B1434" s="24"/>
      <c r="C1434" s="24"/>
      <c r="D1434" s="24"/>
      <c r="E1434" s="24"/>
      <c r="F1434" s="24"/>
      <c r="G1434" s="24"/>
      <c r="H1434" s="340"/>
      <c r="I1434" s="932"/>
      <c r="J1434" s="932"/>
      <c r="K1434" s="932"/>
      <c r="L1434" s="932"/>
      <c r="M1434" s="932"/>
      <c r="N1434" s="225"/>
    </row>
    <row r="1435" spans="1:69">
      <c r="A1435" s="224"/>
      <c r="B1435" s="24"/>
      <c r="C1435" s="24"/>
      <c r="D1435" s="24"/>
      <c r="E1435" s="24"/>
      <c r="F1435" s="24"/>
      <c r="G1435" s="24"/>
      <c r="H1435" s="357">
        <v>2</v>
      </c>
      <c r="I1435" s="932" t="str">
        <f>IF(B$1233="",BM1435,BE1435)</f>
        <v>The more you depict their errors with IMMIGRATION as typical, the more guarded you get toward their views on IMMIGRATION.</v>
      </c>
      <c r="J1435" s="932"/>
      <c r="K1435" s="932"/>
      <c r="L1435" s="932"/>
      <c r="M1435" s="932"/>
      <c r="N1435" s="225"/>
      <c r="BD1435" s="2">
        <v>2</v>
      </c>
      <c r="BE1435" s="37" t="str">
        <f>CONCATENATE(BG1435,BH1435,BI1435,BJ1435,BK1435,".")</f>
        <v>The more you depict their errors with IMMIGRATION as typical, the more guarded you get toward their views on IMMIGRATION.</v>
      </c>
      <c r="BF1435" s="47" t="s">
        <v>3</v>
      </c>
      <c r="BG1435" s="2" t="s">
        <v>819</v>
      </c>
      <c r="BH1435" s="2" t="str">
        <f>BH1431</f>
        <v>IMMIGRATION</v>
      </c>
      <c r="BI1435" s="2" t="s">
        <v>820</v>
      </c>
      <c r="BJ1435" s="2" t="str">
        <f>BH1435</f>
        <v>IMMIGRATION</v>
      </c>
      <c r="BM1435" s="2" t="str">
        <f>CONCATENATE(BN1435,BO1435,BP1435,BQ1435)</f>
        <v>The more you depict their errors with that issue as typical, the more guarded you get toward their views on that particular issue.</v>
      </c>
      <c r="BN1435" s="2" t="s">
        <v>725</v>
      </c>
      <c r="BO1435" s="2" t="s">
        <v>827</v>
      </c>
      <c r="BP1435" s="2" t="s">
        <v>807</v>
      </c>
      <c r="BQ1435" s="2" t="s">
        <v>828</v>
      </c>
    </row>
    <row r="1436" spans="1:69">
      <c r="A1436" s="224"/>
      <c r="B1436" s="24"/>
      <c r="C1436" s="24"/>
      <c r="D1436" s="24"/>
      <c r="E1436" s="24"/>
      <c r="F1436" s="24"/>
      <c r="G1436" s="24"/>
      <c r="H1436" s="358"/>
      <c r="I1436" s="932"/>
      <c r="J1436" s="932"/>
      <c r="K1436" s="932"/>
      <c r="L1436" s="932"/>
      <c r="M1436" s="932"/>
      <c r="N1436" s="225"/>
    </row>
    <row r="1437" spans="1:69" ht="13.95" customHeight="1">
      <c r="A1437" s="224"/>
      <c r="B1437" s="24"/>
      <c r="C1437" s="24"/>
      <c r="D1437" s="24"/>
      <c r="E1437" s="24"/>
      <c r="F1437" s="24"/>
      <c r="G1437" s="24"/>
      <c r="H1437" s="357"/>
      <c r="I1437" s="932"/>
      <c r="J1437" s="932"/>
      <c r="K1437" s="932"/>
      <c r="L1437" s="932"/>
      <c r="M1437" s="932"/>
      <c r="N1437" s="225"/>
    </row>
    <row r="1438" spans="1:69">
      <c r="A1438" s="224"/>
      <c r="B1438" s="24"/>
      <c r="C1438" s="24"/>
      <c r="D1438" s="24"/>
      <c r="E1438" s="24"/>
      <c r="F1438" s="24"/>
      <c r="G1438" s="24"/>
      <c r="H1438" s="358"/>
      <c r="I1438" s="932"/>
      <c r="J1438" s="932"/>
      <c r="K1438" s="932"/>
      <c r="L1438" s="932"/>
      <c r="M1438" s="932"/>
      <c r="N1438" s="225"/>
    </row>
    <row r="1439" spans="1:69">
      <c r="A1439" s="224"/>
      <c r="B1439" s="24"/>
      <c r="C1439" s="24"/>
      <c r="D1439" s="24"/>
      <c r="E1439" s="24"/>
      <c r="F1439" s="24"/>
      <c r="G1439" s="24"/>
      <c r="H1439" s="357">
        <v>3</v>
      </c>
      <c r="I1439" s="932" t="str">
        <f>IF(B$1233="",BM1439,BE1439)</f>
        <v>The more guarded you get toward their views on IMMIGRATION the more they get defensive toward your views on IMMIGRATION.</v>
      </c>
      <c r="J1439" s="932"/>
      <c r="K1439" s="932"/>
      <c r="L1439" s="932"/>
      <c r="M1439" s="932"/>
      <c r="N1439" s="225"/>
      <c r="BD1439" s="2">
        <v>3</v>
      </c>
      <c r="BE1439" s="37" t="str">
        <f>CONCATENATE(BG1439,BH1439,BI1439,BJ1439,BK1439,".")</f>
        <v>The more guarded you get toward their views on IMMIGRATION the more they get defensive toward your views on IMMIGRATION.</v>
      </c>
      <c r="BF1439" s="47" t="s">
        <v>3</v>
      </c>
      <c r="BG1439" s="2" t="s">
        <v>821</v>
      </c>
      <c r="BH1439" s="2" t="str">
        <f>BH1435</f>
        <v>IMMIGRATION</v>
      </c>
      <c r="BI1439" s="2" t="s">
        <v>822</v>
      </c>
      <c r="BJ1439" s="2" t="str">
        <f>BH1439</f>
        <v>IMMIGRATION</v>
      </c>
      <c r="BM1439" s="2" t="str">
        <f>CONCATENATE(BN1439,BO1439,BP1439,BQ1439)</f>
        <v>The more guarded you get toward their views on that political issue, the more they get defensive toward your views on that issue.</v>
      </c>
      <c r="BN1439" s="2" t="s">
        <v>725</v>
      </c>
      <c r="BO1439" s="2" t="s">
        <v>829</v>
      </c>
      <c r="BP1439" s="2" t="s">
        <v>807</v>
      </c>
      <c r="BQ1439" s="2" t="s">
        <v>830</v>
      </c>
    </row>
    <row r="1440" spans="1:69" ht="13.95" customHeight="1">
      <c r="A1440" s="224"/>
      <c r="B1440" s="24"/>
      <c r="C1440" s="24"/>
      <c r="D1440" s="24"/>
      <c r="E1440" s="24"/>
      <c r="F1440" s="24"/>
      <c r="G1440" s="24"/>
      <c r="H1440" s="358"/>
      <c r="I1440" s="932"/>
      <c r="J1440" s="932"/>
      <c r="K1440" s="932"/>
      <c r="L1440" s="932"/>
      <c r="M1440" s="932"/>
      <c r="N1440" s="225"/>
    </row>
    <row r="1441" spans="1:69">
      <c r="A1441" s="224"/>
      <c r="B1441" s="24"/>
      <c r="C1441" s="24"/>
      <c r="D1441" s="24"/>
      <c r="E1441" s="24"/>
      <c r="F1441" s="24"/>
      <c r="G1441" s="24"/>
      <c r="H1441" s="357"/>
      <c r="I1441" s="932"/>
      <c r="J1441" s="932"/>
      <c r="K1441" s="932"/>
      <c r="L1441" s="932"/>
      <c r="M1441" s="932"/>
      <c r="N1441" s="225"/>
    </row>
    <row r="1442" spans="1:69">
      <c r="A1442" s="224"/>
      <c r="B1442" s="24"/>
      <c r="C1442" s="24"/>
      <c r="D1442" s="24"/>
      <c r="E1442" s="24"/>
      <c r="F1442" s="24"/>
      <c r="G1442" s="24"/>
      <c r="H1442" s="358"/>
      <c r="I1442" s="932"/>
      <c r="J1442" s="932"/>
      <c r="K1442" s="932"/>
      <c r="L1442" s="932"/>
      <c r="M1442" s="932"/>
      <c r="N1442" s="225"/>
    </row>
    <row r="1443" spans="1:69">
      <c r="A1443" s="224"/>
      <c r="B1443" s="24"/>
      <c r="C1443" s="24"/>
      <c r="D1443" s="24"/>
      <c r="E1443" s="24"/>
      <c r="F1443" s="24"/>
      <c r="G1443" s="24"/>
      <c r="H1443" s="357">
        <v>4</v>
      </c>
      <c r="I1443" s="932" t="str">
        <f>IF(B$1233="",BM1443,BE1443)</f>
        <v>The more they get defensive toward your views on IMMIGRATION, the more you overstate their differences on IMMIGRATION.</v>
      </c>
      <c r="J1443" s="932"/>
      <c r="K1443" s="932"/>
      <c r="L1443" s="932"/>
      <c r="M1443" s="932"/>
      <c r="N1443" s="225"/>
      <c r="BD1443" s="2">
        <v>4</v>
      </c>
      <c r="BE1443" s="37" t="str">
        <f>CONCATENATE(BG1443,BH1443,BI1443,BJ1443,BK1443,".")</f>
        <v>The more they get defensive toward your views on IMMIGRATION, the more you overstate their differences on IMMIGRATION.</v>
      </c>
      <c r="BF1443" s="47" t="s">
        <v>3</v>
      </c>
      <c r="BG1443" s="2" t="s">
        <v>823</v>
      </c>
      <c r="BH1443" s="2" t="str">
        <f>BH1439</f>
        <v>IMMIGRATION</v>
      </c>
      <c r="BI1443" s="2" t="s">
        <v>824</v>
      </c>
      <c r="BJ1443" s="2" t="str">
        <f>BH1443</f>
        <v>IMMIGRATION</v>
      </c>
      <c r="BM1443" s="2" t="str">
        <f>CONCATENATE(BN1443,BO1443,BP1443,BQ1443)</f>
        <v>The more they get defensive toward you views on that political issue, the more you overstate their differences on that issue.</v>
      </c>
      <c r="BN1443" s="2" t="s">
        <v>725</v>
      </c>
      <c r="BO1443" s="2" t="s">
        <v>831</v>
      </c>
      <c r="BP1443" s="2" t="s">
        <v>807</v>
      </c>
      <c r="BQ1443" s="2" t="s">
        <v>832</v>
      </c>
    </row>
    <row r="1444" spans="1:69">
      <c r="A1444" s="224"/>
      <c r="B1444" s="24"/>
      <c r="C1444" s="24"/>
      <c r="D1444" s="24"/>
      <c r="E1444" s="24"/>
      <c r="F1444" s="24"/>
      <c r="G1444" s="24"/>
      <c r="H1444" s="358"/>
      <c r="I1444" s="932"/>
      <c r="J1444" s="932"/>
      <c r="K1444" s="932"/>
      <c r="L1444" s="932"/>
      <c r="M1444" s="932"/>
      <c r="N1444" s="225"/>
    </row>
    <row r="1445" spans="1:69">
      <c r="A1445" s="224"/>
      <c r="B1445" s="24"/>
      <c r="C1445" s="24"/>
      <c r="D1445" s="24"/>
      <c r="E1445" s="24"/>
      <c r="F1445" s="24"/>
      <c r="G1445" s="24"/>
      <c r="H1445" s="357"/>
      <c r="I1445" s="932"/>
      <c r="J1445" s="932"/>
      <c r="K1445" s="932"/>
      <c r="L1445" s="932"/>
      <c r="M1445" s="932"/>
      <c r="N1445" s="225"/>
    </row>
    <row r="1446" spans="1:69">
      <c r="A1446" s="224"/>
      <c r="B1446" s="24"/>
      <c r="C1446" s="24"/>
      <c r="D1446" s="24"/>
      <c r="E1446" s="24"/>
      <c r="F1446" s="24"/>
      <c r="G1446" s="24"/>
      <c r="H1446" s="358"/>
      <c r="I1446" s="932"/>
      <c r="J1446" s="932"/>
      <c r="K1446" s="932"/>
      <c r="L1446" s="932"/>
      <c r="M1446" s="932"/>
      <c r="N1446" s="225"/>
    </row>
    <row r="1447" spans="1:69">
      <c r="A1447" s="224"/>
      <c r="B1447" s="24"/>
      <c r="C1447" s="24"/>
      <c r="D1447" s="24"/>
      <c r="E1447" s="24"/>
      <c r="F1447" s="24"/>
      <c r="G1447" s="24"/>
      <c r="H1447" s="357">
        <v>5</v>
      </c>
      <c r="I1447" s="932" t="str">
        <f>IF(B$1233="",BM1447,BE1447)</f>
        <v>The more you overstate their differences on IMMIGRATION….</v>
      </c>
      <c r="J1447" s="932"/>
      <c r="K1447" s="932"/>
      <c r="L1447" s="932"/>
      <c r="M1447" s="932"/>
      <c r="N1447" s="225"/>
      <c r="BD1447" s="2">
        <v>5</v>
      </c>
      <c r="BE1447" s="37" t="str">
        <f>CONCATENATE(BG1447,BH1447,BI1447,BJ1447,".")</f>
        <v>The more you overstate their differences on IMMIGRATION….</v>
      </c>
      <c r="BF1447" s="47" t="s">
        <v>3</v>
      </c>
      <c r="BG1447" s="2" t="s">
        <v>816</v>
      </c>
      <c r="BH1447" s="2" t="str">
        <f>BH1443</f>
        <v>IMMIGRATION</v>
      </c>
      <c r="BI1447" s="2" t="s">
        <v>734</v>
      </c>
      <c r="BM1447" s="2" t="str">
        <f>CONCATENATE(BN1447,BO1447)</f>
        <v>The more more you overstate these differences on that issue…</v>
      </c>
      <c r="BN1447" s="2" t="s">
        <v>725</v>
      </c>
      <c r="BO1447" s="2" t="s">
        <v>833</v>
      </c>
    </row>
    <row r="1448" spans="1:69">
      <c r="A1448" s="224"/>
      <c r="B1448" s="24"/>
      <c r="C1448" s="24"/>
      <c r="D1448" s="24"/>
      <c r="E1448" s="24"/>
      <c r="F1448" s="24"/>
      <c r="G1448" s="24"/>
      <c r="H1448" s="358"/>
      <c r="I1448" s="932"/>
      <c r="J1448" s="932"/>
      <c r="K1448" s="932"/>
      <c r="L1448" s="932"/>
      <c r="M1448" s="932"/>
      <c r="N1448" s="225"/>
    </row>
    <row r="1449" spans="1:69">
      <c r="A1449" s="224"/>
      <c r="B1449" s="24"/>
      <c r="C1449" s="24"/>
      <c r="D1449" s="24"/>
      <c r="E1449" s="24"/>
      <c r="F1449" s="24"/>
      <c r="G1449" s="24"/>
      <c r="H1449" s="357"/>
      <c r="I1449" s="932"/>
      <c r="J1449" s="932"/>
      <c r="K1449" s="932"/>
      <c r="L1449" s="932"/>
      <c r="M1449" s="932"/>
      <c r="N1449" s="225"/>
    </row>
    <row r="1450" spans="1:69" ht="15.6">
      <c r="A1450" s="224"/>
      <c r="B1450" s="229"/>
      <c r="C1450" s="24"/>
      <c r="D1450" s="24"/>
      <c r="E1450" s="24"/>
      <c r="F1450" s="24"/>
      <c r="G1450" s="24"/>
      <c r="H1450" s="356" t="s">
        <v>777</v>
      </c>
      <c r="I1450" s="230"/>
      <c r="J1450" s="230"/>
      <c r="K1450" s="230"/>
      <c r="L1450" s="230"/>
      <c r="M1450" s="230"/>
      <c r="N1450" s="225"/>
    </row>
    <row r="1451" spans="1:69">
      <c r="A1451" s="224"/>
      <c r="B1451" s="24"/>
      <c r="C1451" s="24"/>
      <c r="D1451" s="24"/>
      <c r="E1451" s="24"/>
      <c r="F1451" s="24"/>
      <c r="G1451" s="24"/>
      <c r="H1451" s="340"/>
      <c r="I1451" s="24"/>
      <c r="J1451" s="24"/>
      <c r="K1451" s="24"/>
      <c r="L1451" s="24"/>
      <c r="M1451" s="24"/>
      <c r="N1451" s="225"/>
    </row>
    <row r="1452" spans="1:69">
      <c r="A1452" s="224"/>
      <c r="B1452" s="24"/>
      <c r="C1452" s="24"/>
      <c r="D1452" s="24"/>
      <c r="E1452" s="24"/>
      <c r="F1452" s="24"/>
      <c r="G1452" s="24"/>
      <c r="H1452" s="357">
        <v>1</v>
      </c>
      <c r="I1452" s="932" t="str">
        <f>IF(B$1233="",BM1452,BE1452)</f>
        <v>The less you overstate their differences on IMMIGRATION, the less you depict their errors with IMMIGRATION.</v>
      </c>
      <c r="J1452" s="932"/>
      <c r="K1452" s="932"/>
      <c r="L1452" s="932"/>
      <c r="M1452" s="932"/>
      <c r="N1452" s="225"/>
      <c r="BD1452" s="2">
        <v>1</v>
      </c>
      <c r="BE1452" s="37" t="str">
        <f>CONCATENATE(BG1452,BH1452,BI1452,BJ1452,BK1452,".")</f>
        <v>The less you overstate their differences on IMMIGRATION, the less you depict their errors with IMMIGRATION.</v>
      </c>
      <c r="BF1452" s="47" t="s">
        <v>3</v>
      </c>
      <c r="BG1452" s="2" t="s">
        <v>834</v>
      </c>
      <c r="BH1452" s="2" t="str">
        <f>BH1431</f>
        <v>IMMIGRATION</v>
      </c>
      <c r="BI1452" s="2" t="s">
        <v>838</v>
      </c>
      <c r="BJ1452" s="2" t="str">
        <f>BH1452</f>
        <v>IMMIGRATION</v>
      </c>
      <c r="BM1452" s="2" t="str">
        <f>CONCATENATE(BN1452,BO1452,BP1452,BQ1452)</f>
        <v>The less you overstate their differences on a politial issue, the less you depict their errors with that issue as typical.</v>
      </c>
      <c r="BN1452" s="2" t="s">
        <v>785</v>
      </c>
      <c r="BO1452" s="2" t="s">
        <v>825</v>
      </c>
      <c r="BP1452" s="2" t="s">
        <v>811</v>
      </c>
      <c r="BQ1452" s="2" t="s">
        <v>826</v>
      </c>
    </row>
    <row r="1453" spans="1:69">
      <c r="A1453" s="224"/>
      <c r="B1453" s="24"/>
      <c r="C1453" s="24"/>
      <c r="D1453" s="24"/>
      <c r="E1453" s="24"/>
      <c r="F1453" s="24"/>
      <c r="G1453" s="24"/>
      <c r="H1453" s="340"/>
      <c r="I1453" s="932"/>
      <c r="J1453" s="932"/>
      <c r="K1453" s="932"/>
      <c r="L1453" s="932"/>
      <c r="M1453" s="932"/>
      <c r="N1453" s="225"/>
    </row>
    <row r="1454" spans="1:69">
      <c r="A1454" s="224"/>
      <c r="B1454" s="24"/>
      <c r="C1454" s="24"/>
      <c r="D1454" s="24"/>
      <c r="E1454" s="24"/>
      <c r="F1454" s="24"/>
      <c r="G1454" s="24"/>
      <c r="H1454" s="340"/>
      <c r="I1454" s="932"/>
      <c r="J1454" s="932"/>
      <c r="K1454" s="932"/>
      <c r="L1454" s="932"/>
      <c r="M1454" s="932"/>
      <c r="N1454" s="225"/>
    </row>
    <row r="1455" spans="1:69">
      <c r="A1455" s="224"/>
      <c r="B1455" s="24"/>
      <c r="C1455" s="24"/>
      <c r="D1455" s="24"/>
      <c r="E1455" s="24"/>
      <c r="F1455" s="24"/>
      <c r="G1455" s="24"/>
      <c r="H1455" s="340"/>
      <c r="I1455" s="932"/>
      <c r="J1455" s="932"/>
      <c r="K1455" s="932"/>
      <c r="L1455" s="932"/>
      <c r="M1455" s="932"/>
      <c r="N1455" s="225"/>
    </row>
    <row r="1456" spans="1:69">
      <c r="A1456" s="224"/>
      <c r="B1456" s="24"/>
      <c r="C1456" s="24"/>
      <c r="D1456" s="24"/>
      <c r="E1456" s="24"/>
      <c r="F1456" s="24"/>
      <c r="G1456" s="24"/>
      <c r="H1456" s="357">
        <v>2</v>
      </c>
      <c r="I1456" s="932" t="str">
        <f>IF(B$1233="",BM1456,BE1456)</f>
        <v>The less you depict their errors with IMMIGRATION as typical, the less guarded you get toward their views on IMMIGRATION.</v>
      </c>
      <c r="J1456" s="932"/>
      <c r="K1456" s="932"/>
      <c r="L1456" s="932"/>
      <c r="M1456" s="932"/>
      <c r="N1456" s="225"/>
      <c r="BD1456" s="2">
        <v>2</v>
      </c>
      <c r="BE1456" s="37" t="str">
        <f>CONCATENATE(BG1456,BH1456,BI1456,BJ1456,".")</f>
        <v>The less you depict their errors with IMMIGRATION as typical, the less guarded you get toward their views on IMMIGRATION.</v>
      </c>
      <c r="BF1456" s="47" t="s">
        <v>3</v>
      </c>
      <c r="BG1456" s="2" t="s">
        <v>835</v>
      </c>
      <c r="BH1456" s="2" t="str">
        <f>BH1452</f>
        <v>IMMIGRATION</v>
      </c>
      <c r="BI1456" s="2" t="s">
        <v>839</v>
      </c>
      <c r="BJ1456" s="2" t="str">
        <f>BH1456</f>
        <v>IMMIGRATION</v>
      </c>
      <c r="BM1456" s="2" t="str">
        <f>CONCATENATE(BN1456,BO1456,BP1456,BQ1456)</f>
        <v>The less you depict their errors with that issue as typical, the less guarded you get toward their views on that particular issue.</v>
      </c>
      <c r="BN1456" s="2" t="s">
        <v>785</v>
      </c>
      <c r="BO1456" s="2" t="s">
        <v>827</v>
      </c>
      <c r="BP1456" s="2" t="s">
        <v>811</v>
      </c>
      <c r="BQ1456" s="2" t="s">
        <v>828</v>
      </c>
    </row>
    <row r="1457" spans="1:69">
      <c r="A1457" s="224"/>
      <c r="B1457" s="24"/>
      <c r="C1457" s="24"/>
      <c r="D1457" s="24"/>
      <c r="E1457" s="24"/>
      <c r="F1457" s="24"/>
      <c r="G1457" s="24"/>
      <c r="H1457" s="358"/>
      <c r="I1457" s="932"/>
      <c r="J1457" s="932"/>
      <c r="K1457" s="932"/>
      <c r="L1457" s="932"/>
      <c r="M1457" s="932"/>
      <c r="N1457" s="225"/>
      <c r="BK1457" s="2" t="s">
        <v>730</v>
      </c>
    </row>
    <row r="1458" spans="1:69">
      <c r="A1458" s="224"/>
      <c r="B1458" s="24"/>
      <c r="C1458" s="24"/>
      <c r="D1458" s="24"/>
      <c r="E1458" s="24"/>
      <c r="F1458" s="24"/>
      <c r="G1458" s="24"/>
      <c r="H1458" s="357"/>
      <c r="I1458" s="932"/>
      <c r="J1458" s="932"/>
      <c r="K1458" s="932"/>
      <c r="L1458" s="932"/>
      <c r="M1458" s="932"/>
      <c r="N1458" s="225"/>
    </row>
    <row r="1459" spans="1:69">
      <c r="A1459" s="224"/>
      <c r="B1459" s="24"/>
      <c r="C1459" s="24"/>
      <c r="D1459" s="24"/>
      <c r="E1459" s="24"/>
      <c r="F1459" s="24"/>
      <c r="G1459" s="24"/>
      <c r="H1459" s="358"/>
      <c r="I1459" s="932"/>
      <c r="J1459" s="932"/>
      <c r="K1459" s="932"/>
      <c r="L1459" s="932"/>
      <c r="M1459" s="932"/>
      <c r="N1459" s="225"/>
    </row>
    <row r="1460" spans="1:69">
      <c r="A1460" s="224"/>
      <c r="B1460" s="24"/>
      <c r="C1460" s="24"/>
      <c r="D1460" s="24"/>
      <c r="E1460" s="24"/>
      <c r="F1460" s="24"/>
      <c r="G1460" s="24"/>
      <c r="H1460" s="357">
        <v>3</v>
      </c>
      <c r="I1460" s="932" t="str">
        <f>IF(B$1233="",BM1460,BE1460)</f>
        <v>The less guarded you get toward their views on IMMIGRATION the less they get defensive toward your views on IMMIGRATION.</v>
      </c>
      <c r="J1460" s="932"/>
      <c r="K1460" s="932"/>
      <c r="L1460" s="932"/>
      <c r="M1460" s="932"/>
      <c r="N1460" s="225"/>
      <c r="BD1460" s="2">
        <v>3</v>
      </c>
      <c r="BE1460" s="37" t="str">
        <f>CONCATENATE(BG1460,BH1460,BI1460,BJ1460,".")</f>
        <v>The less guarded you get toward their views on IMMIGRATION the less they get defensive toward your views on IMMIGRATION.</v>
      </c>
      <c r="BF1460" s="47" t="s">
        <v>3</v>
      </c>
      <c r="BG1460" s="2" t="s">
        <v>836</v>
      </c>
      <c r="BH1460" s="2" t="str">
        <f>BH1456</f>
        <v>IMMIGRATION</v>
      </c>
      <c r="BI1460" s="2" t="s">
        <v>840</v>
      </c>
      <c r="BJ1460" s="2" t="str">
        <f>BH1460</f>
        <v>IMMIGRATION</v>
      </c>
      <c r="BM1460" s="2" t="str">
        <f>CONCATENATE(BN1460,BO1460,BP1460,BQ1460)</f>
        <v>The less guarded you get toward their views on that political issue, the less they get defensive toward your views on that issue.</v>
      </c>
      <c r="BN1460" s="2" t="s">
        <v>785</v>
      </c>
      <c r="BO1460" s="2" t="s">
        <v>829</v>
      </c>
      <c r="BP1460" s="2" t="s">
        <v>811</v>
      </c>
      <c r="BQ1460" s="2" t="s">
        <v>830</v>
      </c>
    </row>
    <row r="1461" spans="1:69">
      <c r="A1461" s="224"/>
      <c r="B1461" s="24"/>
      <c r="C1461" s="24"/>
      <c r="D1461" s="24"/>
      <c r="E1461" s="24"/>
      <c r="F1461" s="24"/>
      <c r="G1461" s="24"/>
      <c r="H1461" s="358"/>
      <c r="I1461" s="932"/>
      <c r="J1461" s="932"/>
      <c r="K1461" s="932"/>
      <c r="L1461" s="932"/>
      <c r="M1461" s="932"/>
      <c r="N1461" s="225"/>
    </row>
    <row r="1462" spans="1:69">
      <c r="A1462" s="224"/>
      <c r="B1462" s="24"/>
      <c r="C1462" s="24"/>
      <c r="D1462" s="24"/>
      <c r="E1462" s="24"/>
      <c r="F1462" s="24"/>
      <c r="G1462" s="24"/>
      <c r="H1462" s="357"/>
      <c r="I1462" s="932"/>
      <c r="J1462" s="932"/>
      <c r="K1462" s="932"/>
      <c r="L1462" s="932"/>
      <c r="M1462" s="932"/>
      <c r="N1462" s="225"/>
    </row>
    <row r="1463" spans="1:69">
      <c r="A1463" s="224"/>
      <c r="B1463" s="24"/>
      <c r="C1463" s="24"/>
      <c r="D1463" s="24"/>
      <c r="E1463" s="24"/>
      <c r="F1463" s="24"/>
      <c r="G1463" s="24"/>
      <c r="H1463" s="358"/>
      <c r="I1463" s="932"/>
      <c r="J1463" s="932"/>
      <c r="K1463" s="932"/>
      <c r="L1463" s="932"/>
      <c r="M1463" s="932"/>
      <c r="N1463" s="225"/>
    </row>
    <row r="1464" spans="1:69">
      <c r="A1464" s="224"/>
      <c r="B1464" s="24"/>
      <c r="C1464" s="24"/>
      <c r="D1464" s="24"/>
      <c r="E1464" s="24"/>
      <c r="F1464" s="24"/>
      <c r="G1464" s="24"/>
      <c r="H1464" s="357">
        <v>4</v>
      </c>
      <c r="I1464" s="932" t="str">
        <f>IF(B$1233="",BM1464,BE1464)</f>
        <v>The less they get defensive toward your views on IMMIGRATION, the less you overstate their differences on IMMIGRATION.</v>
      </c>
      <c r="J1464" s="932"/>
      <c r="K1464" s="932"/>
      <c r="L1464" s="932"/>
      <c r="M1464" s="932"/>
      <c r="N1464" s="225"/>
      <c r="BD1464" s="2">
        <v>4</v>
      </c>
      <c r="BE1464" s="37" t="str">
        <f>CONCATENATE(BG1464,BH1464,BI1464,BJ1464,BK1464,".")</f>
        <v>The less they get defensive toward your views on IMMIGRATION, the less you overstate their differences on IMMIGRATION.</v>
      </c>
      <c r="BF1464" s="47" t="s">
        <v>3</v>
      </c>
      <c r="BG1464" s="2" t="s">
        <v>837</v>
      </c>
      <c r="BH1464" s="2" t="str">
        <f>BH1460</f>
        <v>IMMIGRATION</v>
      </c>
      <c r="BI1464" s="2" t="s">
        <v>841</v>
      </c>
      <c r="BJ1464" s="2" t="str">
        <f>BH1464</f>
        <v>IMMIGRATION</v>
      </c>
      <c r="BM1464" s="2" t="str">
        <f>CONCATENATE(BN1464,BO1464,BP1464,BQ1464)</f>
        <v>The less they get defensive toward you views on that political issue, the less you overstate their differences on that issue.</v>
      </c>
      <c r="BN1464" s="2" t="s">
        <v>785</v>
      </c>
      <c r="BO1464" s="2" t="s">
        <v>831</v>
      </c>
      <c r="BP1464" s="2" t="s">
        <v>811</v>
      </c>
      <c r="BQ1464" s="2" t="s">
        <v>832</v>
      </c>
    </row>
    <row r="1465" spans="1:69">
      <c r="A1465" s="224"/>
      <c r="B1465" s="24"/>
      <c r="C1465" s="24"/>
      <c r="D1465" s="24"/>
      <c r="E1465" s="24"/>
      <c r="F1465" s="24"/>
      <c r="G1465" s="24"/>
      <c r="H1465" s="358"/>
      <c r="I1465" s="932"/>
      <c r="J1465" s="932"/>
      <c r="K1465" s="932"/>
      <c r="L1465" s="932"/>
      <c r="M1465" s="932"/>
      <c r="N1465" s="225"/>
    </row>
    <row r="1466" spans="1:69">
      <c r="A1466" s="224"/>
      <c r="B1466" s="24"/>
      <c r="C1466" s="24"/>
      <c r="D1466" s="24"/>
      <c r="E1466" s="24"/>
      <c r="F1466" s="24"/>
      <c r="G1466" s="24"/>
      <c r="H1466" s="357"/>
      <c r="I1466" s="932"/>
      <c r="J1466" s="932"/>
      <c r="K1466" s="932"/>
      <c r="L1466" s="932"/>
      <c r="M1466" s="932"/>
      <c r="N1466" s="225"/>
    </row>
    <row r="1467" spans="1:69">
      <c r="A1467" s="224"/>
      <c r="B1467" s="24"/>
      <c r="C1467" s="24"/>
      <c r="D1467" s="24"/>
      <c r="E1467" s="24"/>
      <c r="F1467" s="24"/>
      <c r="G1467" s="24"/>
      <c r="H1467" s="358"/>
      <c r="I1467" s="932"/>
      <c r="J1467" s="932"/>
      <c r="K1467" s="932"/>
      <c r="L1467" s="932"/>
      <c r="M1467" s="932"/>
      <c r="N1467" s="225"/>
    </row>
    <row r="1468" spans="1:69">
      <c r="A1468" s="224"/>
      <c r="B1468" s="24"/>
      <c r="C1468" s="24"/>
      <c r="D1468" s="24"/>
      <c r="E1468" s="24"/>
      <c r="F1468" s="24"/>
      <c r="G1468" s="24"/>
      <c r="H1468" s="357">
        <v>5</v>
      </c>
      <c r="I1468" s="932" t="str">
        <f>IF(B$1233="",BM1468,BE1468)</f>
        <v>The less you overstate their differences on IMMIGRATION….</v>
      </c>
      <c r="J1468" s="932"/>
      <c r="K1468" s="932"/>
      <c r="L1468" s="932"/>
      <c r="M1468" s="932"/>
      <c r="N1468" s="225"/>
      <c r="BD1468" s="2">
        <v>5</v>
      </c>
      <c r="BE1468" s="37" t="str">
        <f>CONCATENATE(BG1468,BH1468,BI1468,BJ1468,".")</f>
        <v>The less you overstate their differences on IMMIGRATION….</v>
      </c>
      <c r="BF1468" s="47" t="s">
        <v>3</v>
      </c>
      <c r="BG1468" s="2" t="s">
        <v>834</v>
      </c>
      <c r="BH1468" s="2" t="str">
        <f>BH1464</f>
        <v>IMMIGRATION</v>
      </c>
      <c r="BI1468" s="2" t="s">
        <v>734</v>
      </c>
      <c r="BM1468" s="2" t="str">
        <f>CONCATENATE(BN1468,BO1468)</f>
        <v>The less more you overstate these differences on that issue…</v>
      </c>
      <c r="BN1468" s="2" t="s">
        <v>785</v>
      </c>
      <c r="BO1468" s="2" t="s">
        <v>833</v>
      </c>
    </row>
    <row r="1469" spans="1:69" ht="13.95" customHeight="1">
      <c r="A1469" s="224"/>
      <c r="B1469" s="24"/>
      <c r="C1469" s="24"/>
      <c r="D1469" s="24"/>
      <c r="E1469" s="24"/>
      <c r="F1469" s="24"/>
      <c r="G1469" s="24"/>
      <c r="H1469" s="357"/>
      <c r="I1469" s="932"/>
      <c r="J1469" s="932"/>
      <c r="K1469" s="932"/>
      <c r="L1469" s="932"/>
      <c r="M1469" s="932"/>
      <c r="N1469" s="225"/>
    </row>
    <row r="1470" spans="1:69">
      <c r="A1470" s="224"/>
      <c r="B1470" s="24"/>
      <c r="C1470" s="24"/>
      <c r="D1470" s="24"/>
      <c r="E1470" s="24"/>
      <c r="F1470" s="24"/>
      <c r="G1470" s="24"/>
      <c r="H1470" s="340"/>
      <c r="I1470" s="932"/>
      <c r="J1470" s="932"/>
      <c r="K1470" s="932"/>
      <c r="L1470" s="932"/>
      <c r="M1470" s="932"/>
      <c r="N1470" s="225"/>
    </row>
    <row r="1471" spans="1:69">
      <c r="A1471" s="226"/>
      <c r="B1471" s="231"/>
      <c r="C1471" s="231"/>
      <c r="D1471" s="231"/>
      <c r="E1471" s="231"/>
      <c r="F1471" s="231"/>
      <c r="G1471" s="231"/>
      <c r="H1471" s="342"/>
      <c r="I1471" s="231"/>
      <c r="J1471" s="231"/>
      <c r="K1471" s="231"/>
      <c r="L1471" s="231"/>
      <c r="M1471" s="231"/>
      <c r="N1471" s="228"/>
    </row>
    <row r="1472" spans="1:69" ht="30" customHeight="1">
      <c r="A1472" s="220" t="s">
        <v>1148</v>
      </c>
      <c r="B1472" s="914" t="s">
        <v>1213</v>
      </c>
      <c r="C1472" s="914"/>
      <c r="D1472" s="914"/>
      <c r="E1472" s="914"/>
      <c r="F1472" s="914"/>
      <c r="G1472" s="914"/>
      <c r="H1472" s="914"/>
      <c r="I1472" s="914"/>
      <c r="J1472" s="914"/>
      <c r="K1472" s="914"/>
      <c r="L1472" s="914"/>
      <c r="M1472" s="222"/>
      <c r="N1472" s="223" t="s">
        <v>1149</v>
      </c>
      <c r="BE1472" s="49" t="str">
        <f t="shared" ref="BE1472:BL1472" si="22">BE1388</f>
        <v>IMM</v>
      </c>
      <c r="BF1472" s="49" t="str">
        <f t="shared" si="22"/>
        <v>CLI</v>
      </c>
      <c r="BG1472" s="49" t="str">
        <f t="shared" si="22"/>
        <v>GUN</v>
      </c>
      <c r="BH1472" s="49" t="str">
        <f t="shared" si="22"/>
        <v>ABO</v>
      </c>
      <c r="BI1472" s="49" t="str">
        <f t="shared" si="22"/>
        <v>HEA</v>
      </c>
      <c r="BJ1472" s="49" t="str">
        <f t="shared" si="22"/>
        <v>CRI</v>
      </c>
      <c r="BK1472" s="49" t="str">
        <f t="shared" si="22"/>
        <v>ECO</v>
      </c>
      <c r="BL1472" s="49" t="str">
        <f t="shared" si="22"/>
        <v>RAC</v>
      </c>
      <c r="BM1472" s="47" t="s">
        <v>3</v>
      </c>
    </row>
    <row r="1473" spans="1:65" ht="15" customHeight="1">
      <c r="A1473" s="224"/>
      <c r="B1473" s="949" t="s">
        <v>1243</v>
      </c>
      <c r="C1473" s="949"/>
      <c r="D1473" s="949"/>
      <c r="E1473" s="949"/>
      <c r="F1473" s="949"/>
      <c r="G1473" s="949"/>
      <c r="H1473" s="949"/>
      <c r="I1473" s="949"/>
      <c r="J1473" s="949"/>
      <c r="K1473" s="949"/>
      <c r="L1473" s="949"/>
      <c r="M1473" s="949"/>
      <c r="N1473" s="225"/>
      <c r="BB1473" s="2" t="str">
        <f t="shared" ref="BB1473:BB1478" si="23">IF($C$1047=BB$1047,BE1473,IF($C$1047=BB$1048,BF1473,IF($C$1047=BB$1049,BG1473,IF($C$1047=BB$1050,BH1473,IF($C$1047=BB$1051,BI1473,IF($C$1047=BB$1052,BJ1473,IF($C$1047=BB$1053,BK1473,IF($C$1047=BB$1054,BL1473,""))))))))</f>
        <v xml:space="preserve">I affirm your need for secure borders. And thank you for any affirmation of our need to travel freely despite status. </v>
      </c>
      <c r="BD1473" s="131" t="s">
        <v>602</v>
      </c>
      <c r="BE1473" s="2" t="s">
        <v>895</v>
      </c>
      <c r="BF1473" s="2" t="s">
        <v>901</v>
      </c>
      <c r="BG1473" s="2" t="s">
        <v>904</v>
      </c>
      <c r="BH1473" s="2" t="s">
        <v>917</v>
      </c>
      <c r="BI1473" s="2" t="s">
        <v>922</v>
      </c>
      <c r="BJ1473" s="2" t="s">
        <v>929</v>
      </c>
      <c r="BK1473" s="2" t="s">
        <v>936</v>
      </c>
      <c r="BL1473" s="2" t="s">
        <v>941</v>
      </c>
      <c r="BM1473" s="47" t="s">
        <v>3</v>
      </c>
    </row>
    <row r="1474" spans="1:65" ht="13.2" customHeight="1">
      <c r="A1474" s="224"/>
      <c r="B1474" s="949"/>
      <c r="C1474" s="949"/>
      <c r="D1474" s="949"/>
      <c r="E1474" s="949"/>
      <c r="F1474" s="949"/>
      <c r="G1474" s="949"/>
      <c r="H1474" s="949"/>
      <c r="I1474" s="949"/>
      <c r="J1474" s="949"/>
      <c r="K1474" s="949"/>
      <c r="L1474" s="949"/>
      <c r="M1474" s="949"/>
      <c r="N1474" s="225"/>
      <c r="BB1474" s="2" t="str">
        <f t="shared" si="23"/>
        <v>I need you to feel the desperte needs of these migrants without painting them all as violent lawbreakers.</v>
      </c>
      <c r="BD1474" s="131" t="s">
        <v>911</v>
      </c>
      <c r="BE1474" s="2" t="s">
        <v>896</v>
      </c>
      <c r="BF1474" s="2" t="s">
        <v>901</v>
      </c>
      <c r="BG1474" s="2" t="s">
        <v>906</v>
      </c>
      <c r="BH1474" s="2" t="s">
        <v>918</v>
      </c>
      <c r="BI1474" s="2" t="s">
        <v>926</v>
      </c>
      <c r="BJ1474" s="2" t="s">
        <v>932</v>
      </c>
      <c r="BK1474" s="2" t="s">
        <v>937</v>
      </c>
      <c r="BL1474" s="2" t="s">
        <v>943</v>
      </c>
      <c r="BM1474" s="47" t="s">
        <v>3</v>
      </c>
    </row>
    <row r="1475" spans="1:65" ht="15.6" customHeight="1">
      <c r="A1475" s="224"/>
      <c r="B1475" s="949"/>
      <c r="C1475" s="949"/>
      <c r="D1475" s="949"/>
      <c r="E1475" s="949"/>
      <c r="F1475" s="949"/>
      <c r="G1475" s="949"/>
      <c r="H1475" s="949"/>
      <c r="I1475" s="949"/>
      <c r="J1475" s="949"/>
      <c r="K1475" s="949"/>
      <c r="L1475" s="949"/>
      <c r="M1475" s="949"/>
      <c r="N1475" s="225"/>
      <c r="BB1475" s="2" t="str">
        <f t="shared" si="23"/>
        <v>Perhaps we can do better to screen out the most violent of these migrants who exploit our generosity.</v>
      </c>
      <c r="BD1475" s="131" t="s">
        <v>909</v>
      </c>
      <c r="BE1475" s="2" t="s">
        <v>897</v>
      </c>
      <c r="BF1475" s="2" t="s">
        <v>902</v>
      </c>
      <c r="BG1475" s="2" t="s">
        <v>907</v>
      </c>
      <c r="BH1475" s="2" t="s">
        <v>920</v>
      </c>
      <c r="BI1475" s="2" t="s">
        <v>921</v>
      </c>
      <c r="BJ1475" s="2" t="s">
        <v>934</v>
      </c>
      <c r="BK1475" s="2" t="s">
        <v>939</v>
      </c>
      <c r="BL1475" s="2" t="s">
        <v>945</v>
      </c>
      <c r="BM1475" s="47" t="s">
        <v>3</v>
      </c>
    </row>
    <row r="1476" spans="1:65" ht="15.6" customHeight="1">
      <c r="A1476" s="224"/>
      <c r="B1476" s="949"/>
      <c r="C1476" s="949"/>
      <c r="D1476" s="949"/>
      <c r="E1476" s="949"/>
      <c r="F1476" s="949"/>
      <c r="G1476" s="949"/>
      <c r="H1476" s="949"/>
      <c r="I1476" s="949"/>
      <c r="J1476" s="949"/>
      <c r="K1476" s="949"/>
      <c r="L1476" s="949"/>
      <c r="M1476" s="949"/>
      <c r="N1476" s="225"/>
      <c r="BB1476" s="2" t="str">
        <f t="shared" si="23"/>
        <v>I affirm your need to help migrants flee violence potentially of our making. And thank you for affirming our need to not import such violence.</v>
      </c>
      <c r="BD1476" s="131" t="s">
        <v>604</v>
      </c>
      <c r="BE1476" s="2" t="s">
        <v>923</v>
      </c>
      <c r="BF1476" s="2" t="s">
        <v>916</v>
      </c>
      <c r="BG1476" s="2" t="s">
        <v>905</v>
      </c>
      <c r="BH1476" s="2" t="s">
        <v>915</v>
      </c>
      <c r="BI1476" s="2" t="s">
        <v>924</v>
      </c>
      <c r="BJ1476" s="2" t="s">
        <v>930</v>
      </c>
      <c r="BK1476" s="2" t="s">
        <v>935</v>
      </c>
      <c r="BL1476" s="2" t="s">
        <v>942</v>
      </c>
      <c r="BM1476" s="47" t="s">
        <v>3</v>
      </c>
    </row>
    <row r="1477" spans="1:65" ht="15.6" customHeight="1">
      <c r="A1477" s="224"/>
      <c r="B1477" s="917" t="s">
        <v>1242</v>
      </c>
      <c r="C1477" s="917"/>
      <c r="D1477" s="917"/>
      <c r="E1477" s="917"/>
      <c r="F1477" s="917"/>
      <c r="G1477" s="917"/>
      <c r="H1477" s="917"/>
      <c r="I1477" s="917"/>
      <c r="J1477" s="917"/>
      <c r="K1477" s="917"/>
      <c r="L1477" s="917"/>
      <c r="M1477" s="917"/>
      <c r="N1477" s="225"/>
      <c r="BB1477" s="2" t="str">
        <f t="shared" si="23"/>
        <v>I need you to feel the pain of families here who have lost a loved one due to violence from illegitimate migrants.</v>
      </c>
      <c r="BD1477" s="131" t="s">
        <v>912</v>
      </c>
      <c r="BE1477" s="2" t="s">
        <v>898</v>
      </c>
      <c r="BF1477" s="2" t="s">
        <v>900</v>
      </c>
      <c r="BG1477" s="2" t="s">
        <v>913</v>
      </c>
      <c r="BH1477" s="2" t="s">
        <v>919</v>
      </c>
      <c r="BI1477" s="2" t="s">
        <v>927</v>
      </c>
      <c r="BJ1477" s="2" t="s">
        <v>931</v>
      </c>
      <c r="BK1477" s="2" t="s">
        <v>938</v>
      </c>
      <c r="BL1477" s="2" t="s">
        <v>944</v>
      </c>
      <c r="BM1477" s="47" t="s">
        <v>3</v>
      </c>
    </row>
    <row r="1478" spans="1:65" ht="15.6" customHeight="1">
      <c r="A1478" s="224"/>
      <c r="B1478" s="917"/>
      <c r="C1478" s="917"/>
      <c r="D1478" s="917"/>
      <c r="E1478" s="917"/>
      <c r="F1478" s="917"/>
      <c r="G1478" s="917"/>
      <c r="H1478" s="917"/>
      <c r="I1478" s="917"/>
      <c r="J1478" s="917"/>
      <c r="K1478" s="917"/>
      <c r="L1478" s="917"/>
      <c r="M1478" s="917"/>
      <c r="N1478" s="225"/>
      <c r="BB1478" s="2" t="str">
        <f t="shared" si="23"/>
        <v>Perhaps we can do better to merit actual cases of migrants whose lives are at risk due to our actions.</v>
      </c>
      <c r="BD1478" s="131" t="s">
        <v>910</v>
      </c>
      <c r="BE1478" s="2" t="s">
        <v>899</v>
      </c>
      <c r="BF1478" s="2" t="s">
        <v>903</v>
      </c>
      <c r="BG1478" s="2" t="s">
        <v>908</v>
      </c>
      <c r="BH1478" s="2" t="s">
        <v>928</v>
      </c>
      <c r="BI1478" s="2" t="s">
        <v>925</v>
      </c>
      <c r="BJ1478" s="2" t="s">
        <v>933</v>
      </c>
      <c r="BK1478" s="2" t="s">
        <v>940</v>
      </c>
      <c r="BL1478" s="2" t="s">
        <v>946</v>
      </c>
      <c r="BM1478" s="47" t="s">
        <v>3</v>
      </c>
    </row>
    <row r="1479" spans="1:65" ht="14.4" customHeight="1">
      <c r="A1479" s="224"/>
      <c r="B1479" s="917"/>
      <c r="C1479" s="917"/>
      <c r="D1479" s="917"/>
      <c r="E1479" s="917"/>
      <c r="F1479" s="917"/>
      <c r="G1479" s="917"/>
      <c r="H1479" s="917"/>
      <c r="I1479" s="917"/>
      <c r="J1479" s="917"/>
      <c r="K1479" s="917"/>
      <c r="L1479" s="917"/>
      <c r="M1479" s="917"/>
      <c r="N1479" s="225"/>
    </row>
    <row r="1480" spans="1:65" ht="25.2" customHeight="1" thickBot="1">
      <c r="A1480" s="224"/>
      <c r="B1480" s="918"/>
      <c r="C1480" s="918"/>
      <c r="D1480" s="918"/>
      <c r="E1480" s="918"/>
      <c r="F1480" s="918"/>
      <c r="G1480" s="918"/>
      <c r="H1480" s="918"/>
      <c r="I1480" s="918"/>
      <c r="J1480" s="918"/>
      <c r="K1480" s="918"/>
      <c r="L1480" s="918"/>
      <c r="M1480" s="918"/>
      <c r="N1480" s="225"/>
    </row>
    <row r="1481" spans="1:65" ht="15" customHeight="1" thickTop="1">
      <c r="A1481" s="224"/>
      <c r="B1481" s="150"/>
      <c r="C1481" s="923" t="str">
        <f>IF(BB1473=0,"",BB1473)</f>
        <v xml:space="preserve">I affirm your need for secure borders. And thank you for any affirmation of our need to travel freely despite status. </v>
      </c>
      <c r="D1481" s="923"/>
      <c r="E1481" s="923"/>
      <c r="F1481" s="923"/>
      <c r="G1481" s="923"/>
      <c r="H1481" s="923"/>
      <c r="I1481" s="923"/>
      <c r="J1481" s="923"/>
      <c r="K1481" s="923"/>
      <c r="L1481" s="923"/>
      <c r="M1481" s="924"/>
      <c r="N1481" s="225"/>
    </row>
    <row r="1482" spans="1:65" ht="15" customHeight="1">
      <c r="A1482" s="224"/>
      <c r="B1482" s="151"/>
      <c r="C1482" s="925"/>
      <c r="D1482" s="925"/>
      <c r="E1482" s="925"/>
      <c r="F1482" s="925"/>
      <c r="G1482" s="925"/>
      <c r="H1482" s="925"/>
      <c r="I1482" s="925"/>
      <c r="J1482" s="925"/>
      <c r="K1482" s="925"/>
      <c r="L1482" s="925"/>
      <c r="M1482" s="926"/>
      <c r="N1482" s="225"/>
      <c r="BE1482" s="159" t="s">
        <v>985</v>
      </c>
    </row>
    <row r="1483" spans="1:65" ht="15" customHeight="1" thickBot="1">
      <c r="A1483" s="224"/>
      <c r="B1483" s="152"/>
      <c r="C1483" s="927"/>
      <c r="D1483" s="927"/>
      <c r="E1483" s="927"/>
      <c r="F1483" s="927"/>
      <c r="G1483" s="927"/>
      <c r="H1483" s="927"/>
      <c r="I1483" s="927"/>
      <c r="J1483" s="927"/>
      <c r="K1483" s="927"/>
      <c r="L1483" s="927"/>
      <c r="M1483" s="928"/>
      <c r="N1483" s="225"/>
      <c r="BE1483" s="159" t="s">
        <v>986</v>
      </c>
    </row>
    <row r="1484" spans="1:65" ht="15" customHeight="1" thickTop="1">
      <c r="A1484" s="224"/>
      <c r="B1484" s="150"/>
      <c r="C1484" s="923" t="str">
        <f>IF(BB1474=0,"",BB1474)</f>
        <v>I need you to feel the desperte needs of these migrants without painting them all as violent lawbreakers.</v>
      </c>
      <c r="D1484" s="923"/>
      <c r="E1484" s="923"/>
      <c r="F1484" s="923"/>
      <c r="G1484" s="923"/>
      <c r="H1484" s="923"/>
      <c r="I1484" s="923"/>
      <c r="J1484" s="923"/>
      <c r="K1484" s="923"/>
      <c r="L1484" s="923"/>
      <c r="M1484" s="924"/>
      <c r="N1484" s="225"/>
      <c r="BE1484" s="159" t="s">
        <v>984</v>
      </c>
    </row>
    <row r="1485" spans="1:65" ht="15" customHeight="1">
      <c r="A1485" s="224"/>
      <c r="B1485" s="153"/>
      <c r="C1485" s="925"/>
      <c r="D1485" s="925"/>
      <c r="E1485" s="925"/>
      <c r="F1485" s="925"/>
      <c r="G1485" s="925"/>
      <c r="H1485" s="925"/>
      <c r="I1485" s="925"/>
      <c r="J1485" s="925"/>
      <c r="K1485" s="925"/>
      <c r="L1485" s="925"/>
      <c r="M1485" s="926"/>
      <c r="N1485" s="225"/>
      <c r="BE1485" s="159" t="s">
        <v>987</v>
      </c>
    </row>
    <row r="1486" spans="1:65" ht="15" customHeight="1" thickBot="1">
      <c r="A1486" s="224"/>
      <c r="B1486" s="152"/>
      <c r="C1486" s="927"/>
      <c r="D1486" s="927"/>
      <c r="E1486" s="927"/>
      <c r="F1486" s="927"/>
      <c r="G1486" s="927"/>
      <c r="H1486" s="927"/>
      <c r="I1486" s="927"/>
      <c r="J1486" s="927"/>
      <c r="K1486" s="927"/>
      <c r="L1486" s="927"/>
      <c r="M1486" s="928"/>
      <c r="N1486" s="225"/>
      <c r="BE1486" s="159" t="s">
        <v>988</v>
      </c>
    </row>
    <row r="1487" spans="1:65" ht="15" customHeight="1" thickTop="1">
      <c r="A1487" s="224"/>
      <c r="B1487" s="150"/>
      <c r="C1487" s="923" t="str">
        <f>IF(BB1475=0,"",BB1475)</f>
        <v>Perhaps we can do better to screen out the most violent of these migrants who exploit our generosity.</v>
      </c>
      <c r="D1487" s="923"/>
      <c r="E1487" s="923"/>
      <c r="F1487" s="923"/>
      <c r="G1487" s="923"/>
      <c r="H1487" s="923"/>
      <c r="I1487" s="923"/>
      <c r="J1487" s="923"/>
      <c r="K1487" s="923"/>
      <c r="L1487" s="923"/>
      <c r="M1487" s="924"/>
      <c r="N1487" s="225"/>
    </row>
    <row r="1488" spans="1:65" ht="15" customHeight="1">
      <c r="A1488" s="224"/>
      <c r="B1488" s="151"/>
      <c r="C1488" s="925"/>
      <c r="D1488" s="925"/>
      <c r="E1488" s="925"/>
      <c r="F1488" s="925"/>
      <c r="G1488" s="925"/>
      <c r="H1488" s="925"/>
      <c r="I1488" s="925"/>
      <c r="J1488" s="925"/>
      <c r="K1488" s="925"/>
      <c r="L1488" s="925"/>
      <c r="M1488" s="926"/>
      <c r="N1488" s="225"/>
    </row>
    <row r="1489" spans="1:63" ht="15" customHeight="1" thickBot="1">
      <c r="A1489" s="224"/>
      <c r="B1489" s="152"/>
      <c r="C1489" s="927"/>
      <c r="D1489" s="927"/>
      <c r="E1489" s="927"/>
      <c r="F1489" s="927"/>
      <c r="G1489" s="927"/>
      <c r="H1489" s="927"/>
      <c r="I1489" s="927"/>
      <c r="J1489" s="927"/>
      <c r="K1489" s="927"/>
      <c r="L1489" s="927"/>
      <c r="M1489" s="928"/>
      <c r="N1489" s="225"/>
    </row>
    <row r="1490" spans="1:63" ht="10.199999999999999" customHeight="1" thickTop="1" thickBot="1">
      <c r="A1490" s="224"/>
      <c r="B1490" s="24"/>
      <c r="C1490" s="24"/>
      <c r="D1490" s="24"/>
      <c r="E1490" s="24"/>
      <c r="F1490" s="24"/>
      <c r="G1490" s="24"/>
      <c r="H1490" s="340"/>
      <c r="I1490" s="24"/>
      <c r="J1490" s="24"/>
      <c r="K1490" s="24"/>
      <c r="L1490" s="24"/>
      <c r="M1490" s="24"/>
      <c r="N1490" s="225"/>
      <c r="BF1490" s="37" t="str">
        <f>BF1402</f>
        <v>immigration</v>
      </c>
    </row>
    <row r="1491" spans="1:63" ht="15" customHeight="1" thickTop="1">
      <c r="A1491" s="224"/>
      <c r="B1491" s="147"/>
      <c r="C1491" s="938" t="str">
        <f>IF(BB1476=0,"",BB1476)</f>
        <v>I affirm your need to help migrants flee violence potentially of our making. And thank you for affirming our need to not import such violence.</v>
      </c>
      <c r="D1491" s="938"/>
      <c r="E1491" s="938"/>
      <c r="F1491" s="938"/>
      <c r="G1491" s="938"/>
      <c r="H1491" s="938"/>
      <c r="I1491" s="938"/>
      <c r="J1491" s="938"/>
      <c r="K1491" s="938"/>
      <c r="L1491" s="938"/>
      <c r="M1491" s="939"/>
      <c r="N1491" s="225"/>
      <c r="BC1491" s="2" t="str">
        <f>IF(OR(B$1233=0,B$1233=""),"",CONCATENATE(BE1491,BF1491,BG1491))</f>
        <v>This helps me replace fighting with appreciation for the other's immigration position.</v>
      </c>
      <c r="BE1491" s="2" t="s">
        <v>1027</v>
      </c>
      <c r="BF1491" s="2" t="str">
        <f>BF1490</f>
        <v>immigration</v>
      </c>
      <c r="BG1491" s="2" t="s">
        <v>1028</v>
      </c>
    </row>
    <row r="1492" spans="1:63" ht="15" customHeight="1">
      <c r="A1492" s="224"/>
      <c r="B1492" s="148"/>
      <c r="C1492" s="940"/>
      <c r="D1492" s="940"/>
      <c r="E1492" s="940"/>
      <c r="F1492" s="940"/>
      <c r="G1492" s="940"/>
      <c r="H1492" s="940"/>
      <c r="I1492" s="940"/>
      <c r="J1492" s="940"/>
      <c r="K1492" s="940"/>
      <c r="L1492" s="940"/>
      <c r="M1492" s="941"/>
      <c r="N1492" s="225"/>
      <c r="BC1492" s="2" t="str">
        <f>IF(OR(B$1233=0,B$1233=""),"",CONCATENATE(BE1492,BF1492,BG1492))</f>
        <v xml:space="preserve">I can cease exaggerating about the apparent worst of the opposing immigration view. </v>
      </c>
      <c r="BE1492" s="2" t="s">
        <v>1029</v>
      </c>
      <c r="BF1492" s="2" t="str">
        <f>BF1491</f>
        <v>immigration</v>
      </c>
      <c r="BG1492" s="47" t="s">
        <v>1014</v>
      </c>
    </row>
    <row r="1493" spans="1:63" ht="15" customHeight="1" thickBot="1">
      <c r="A1493" s="224"/>
      <c r="B1493" s="149"/>
      <c r="C1493" s="942"/>
      <c r="D1493" s="942"/>
      <c r="E1493" s="942"/>
      <c r="F1493" s="942"/>
      <c r="G1493" s="942"/>
      <c r="H1493" s="942"/>
      <c r="I1493" s="942"/>
      <c r="J1493" s="942"/>
      <c r="K1493" s="942"/>
      <c r="L1493" s="942"/>
      <c r="M1493" s="943"/>
      <c r="N1493" s="225"/>
      <c r="BC1493" s="2" t="str">
        <f>IF(OR(B$1233=0,B$1233=""),"",CONCATENATE(BE1493,BF1493,BG1493))</f>
        <v>I can replace defensiveness with mutual value for resolving each other's immigration needs.</v>
      </c>
      <c r="BE1493" s="2" t="s">
        <v>1030</v>
      </c>
      <c r="BF1493" s="2" t="str">
        <f>BF1492</f>
        <v>immigration</v>
      </c>
      <c r="BG1493" s="2" t="s">
        <v>1031</v>
      </c>
    </row>
    <row r="1494" spans="1:63" ht="15" customHeight="1" thickTop="1">
      <c r="A1494" s="224"/>
      <c r="B1494" s="147"/>
      <c r="C1494" s="938" t="str">
        <f>IF(BB1477=0,"",BB1477)</f>
        <v>I need you to feel the pain of families here who have lost a loved one due to violence from illegitimate migrants.</v>
      </c>
      <c r="D1494" s="938"/>
      <c r="E1494" s="938"/>
      <c r="F1494" s="938"/>
      <c r="G1494" s="938"/>
      <c r="H1494" s="938"/>
      <c r="I1494" s="938"/>
      <c r="J1494" s="938"/>
      <c r="K1494" s="938"/>
      <c r="L1494" s="938"/>
      <c r="M1494" s="939"/>
      <c r="N1494" s="225"/>
    </row>
    <row r="1495" spans="1:63" ht="15" customHeight="1">
      <c r="A1495" s="224"/>
      <c r="B1495" s="148"/>
      <c r="C1495" s="940"/>
      <c r="D1495" s="940"/>
      <c r="E1495" s="940"/>
      <c r="F1495" s="940"/>
      <c r="G1495" s="940"/>
      <c r="H1495" s="940"/>
      <c r="I1495" s="940"/>
      <c r="J1495" s="940"/>
      <c r="K1495" s="940"/>
      <c r="L1495" s="940"/>
      <c r="M1495" s="941"/>
      <c r="N1495" s="225"/>
      <c r="BG1495" s="2" t="s">
        <v>990</v>
      </c>
      <c r="BH1495" s="2" t="s">
        <v>718</v>
      </c>
      <c r="BI1495" s="2" t="s">
        <v>999</v>
      </c>
      <c r="BJ1495" s="2" t="s">
        <v>720</v>
      </c>
      <c r="BK1495" s="2" t="s">
        <v>989</v>
      </c>
    </row>
    <row r="1496" spans="1:63" ht="15" customHeight="1" thickBot="1">
      <c r="A1496" s="224"/>
      <c r="B1496" s="149"/>
      <c r="C1496" s="942"/>
      <c r="D1496" s="942"/>
      <c r="E1496" s="942"/>
      <c r="F1496" s="942"/>
      <c r="G1496" s="942"/>
      <c r="H1496" s="942"/>
      <c r="I1496" s="942"/>
      <c r="J1496" s="942"/>
      <c r="K1496" s="942"/>
      <c r="L1496" s="942"/>
      <c r="M1496" s="943"/>
      <c r="N1496" s="225"/>
    </row>
    <row r="1497" spans="1:63" ht="15" customHeight="1" thickTop="1">
      <c r="A1497" s="224"/>
      <c r="B1497" s="147"/>
      <c r="C1497" s="938" t="str">
        <f>IF(BB1478=0,"",BB1478)</f>
        <v>Perhaps we can do better to merit actual cases of migrants whose lives are at risk due to our actions.</v>
      </c>
      <c r="D1497" s="938"/>
      <c r="E1497" s="938"/>
      <c r="F1497" s="938"/>
      <c r="G1497" s="938"/>
      <c r="H1497" s="938"/>
      <c r="I1497" s="938"/>
      <c r="J1497" s="938"/>
      <c r="K1497" s="938"/>
      <c r="L1497" s="938"/>
      <c r="M1497" s="939"/>
      <c r="N1497" s="225"/>
      <c r="BF1497" s="2">
        <v>15</v>
      </c>
      <c r="BG1497" s="2">
        <f>BF1497-3</f>
        <v>12</v>
      </c>
      <c r="BH1497" s="2">
        <f>BG1497-3</f>
        <v>9</v>
      </c>
      <c r="BI1497" s="2">
        <f>BH1497-3</f>
        <v>6</v>
      </c>
      <c r="BJ1497" s="2">
        <f>BI1497-3</f>
        <v>3</v>
      </c>
      <c r="BK1497" s="2">
        <f>BJ1497-3</f>
        <v>0</v>
      </c>
    </row>
    <row r="1498" spans="1:63" ht="15" customHeight="1">
      <c r="A1498" s="224"/>
      <c r="B1498" s="148"/>
      <c r="C1498" s="940"/>
      <c r="D1498" s="940"/>
      <c r="E1498" s="940"/>
      <c r="F1498" s="940"/>
      <c r="G1498" s="940"/>
      <c r="H1498" s="940"/>
      <c r="I1498" s="940"/>
      <c r="J1498" s="940"/>
      <c r="K1498" s="940"/>
      <c r="L1498" s="940"/>
      <c r="M1498" s="941"/>
      <c r="N1498" s="225"/>
      <c r="BE1498" s="2">
        <f>IF(I1502=BE$1301,5,IF(I1502=BE$1302,4,IF(I1502=BE$1303,3,IF(I1502=BE$1304,2,IF(I1502=BE$1305,1,0)))))</f>
        <v>0</v>
      </c>
    </row>
    <row r="1499" spans="1:63" ht="15" customHeight="1" thickBot="1">
      <c r="A1499" s="224"/>
      <c r="B1499" s="149"/>
      <c r="C1499" s="942"/>
      <c r="D1499" s="942"/>
      <c r="E1499" s="942"/>
      <c r="F1499" s="942"/>
      <c r="G1499" s="942"/>
      <c r="H1499" s="942"/>
      <c r="I1499" s="942"/>
      <c r="J1499" s="942"/>
      <c r="K1499" s="942"/>
      <c r="L1499" s="942"/>
      <c r="M1499" s="943"/>
      <c r="N1499" s="225"/>
      <c r="BE1499" s="2">
        <f>IF(I1504=BE$1301,5,IF(I1504=BE$1302,4,IF(I1504=BE$1303,3,IF(I1504=BE$1304,2,IF(I1504=BE$1305,1,0)))))</f>
        <v>0</v>
      </c>
    </row>
    <row r="1500" spans="1:63" ht="10.199999999999999" customHeight="1" thickTop="1">
      <c r="A1500" s="224"/>
      <c r="B1500" s="24"/>
      <c r="C1500" s="24"/>
      <c r="D1500" s="24"/>
      <c r="E1500" s="24"/>
      <c r="F1500" s="24"/>
      <c r="G1500" s="24"/>
      <c r="H1500" s="340"/>
      <c r="I1500" s="24"/>
      <c r="J1500" s="24"/>
      <c r="K1500" s="24"/>
      <c r="L1500" s="24"/>
      <c r="M1500" s="24"/>
      <c r="N1500" s="225"/>
      <c r="BE1500" s="2">
        <f>IF(I1506=BE$1301,5,IF(I1506=BE$1302,4,IF(I1506=BE$1303,3,IF(I1506=BE$1304,2,IF(I1506=BE$1305,1,0)))))</f>
        <v>0</v>
      </c>
    </row>
    <row r="1501" spans="1:63" ht="10.199999999999999" customHeight="1" thickBot="1">
      <c r="A1501" s="224"/>
      <c r="B1501" s="24"/>
      <c r="C1501" s="24"/>
      <c r="D1501" s="24"/>
      <c r="E1501" s="24"/>
      <c r="F1501" s="24"/>
      <c r="G1501" s="24"/>
      <c r="H1501" s="340"/>
      <c r="I1501" s="24"/>
      <c r="J1501" s="24"/>
      <c r="K1501" s="24"/>
      <c r="L1501" s="24"/>
      <c r="M1501" s="24"/>
      <c r="N1501" s="225"/>
      <c r="BE1501" s="37">
        <f>SUM(BE1498:BE1500)</f>
        <v>0</v>
      </c>
    </row>
    <row r="1502" spans="1:63" ht="16.95" customHeight="1">
      <c r="A1502" s="224"/>
      <c r="B1502" s="936" t="str">
        <f>BC1491</f>
        <v>This helps me replace fighting with appreciation for the other's immigration position.</v>
      </c>
      <c r="C1502" s="936"/>
      <c r="D1502" s="936"/>
      <c r="E1502" s="936"/>
      <c r="F1502" s="936"/>
      <c r="G1502" s="936"/>
      <c r="H1502" s="937"/>
      <c r="I1502" s="919"/>
      <c r="J1502" s="919"/>
      <c r="K1502" s="919"/>
      <c r="L1502" s="919"/>
      <c r="M1502" s="920"/>
      <c r="N1502" s="225"/>
      <c r="BE1502" s="37" t="str">
        <f>IF(AND(BE1501&gt;=BK1497,BE1501&lt;BJ1497),BK1495,IF(AND(BE1501&gt;=BJ1497,BE1501&lt;BI1497),BJ1495,IF(AND(BE1501&gt;=BI1497,BE1501&lt;BH1497),BI1495,IF(AND(BE1501&gt;=BH1497,BE1501&lt;BG1497),BH1495,IF(AND(BE1501&gt;=BG1497,BE1501&lt;=BF1497),BG1495)))))</f>
        <v>low</v>
      </c>
    </row>
    <row r="1503" spans="1:63" ht="16.95" customHeight="1" thickBot="1">
      <c r="A1503" s="224"/>
      <c r="B1503" s="936"/>
      <c r="C1503" s="936"/>
      <c r="D1503" s="936"/>
      <c r="E1503" s="936"/>
      <c r="F1503" s="936"/>
      <c r="G1503" s="936"/>
      <c r="H1503" s="937"/>
      <c r="I1503" s="921"/>
      <c r="J1503" s="921"/>
      <c r="K1503" s="921"/>
      <c r="L1503" s="921"/>
      <c r="M1503" s="922"/>
      <c r="N1503" s="225"/>
    </row>
    <row r="1504" spans="1:63" ht="16.95" customHeight="1">
      <c r="A1504" s="224"/>
      <c r="B1504" s="936" t="str">
        <f>BC1492</f>
        <v xml:space="preserve">I can cease exaggerating about the apparent worst of the opposing immigration view. </v>
      </c>
      <c r="C1504" s="936"/>
      <c r="D1504" s="936"/>
      <c r="E1504" s="936"/>
      <c r="F1504" s="936"/>
      <c r="G1504" s="936"/>
      <c r="H1504" s="937"/>
      <c r="I1504" s="919"/>
      <c r="J1504" s="919"/>
      <c r="K1504" s="919"/>
      <c r="L1504" s="919"/>
      <c r="M1504" s="920"/>
      <c r="N1504" s="225"/>
      <c r="BC1504" s="2" t="str">
        <f>IF(BE1498=0,"",CONCATENATE(BE1504,BF1504,BG1504,BH1504,BI1504,BJ1504))</f>
        <v/>
      </c>
      <c r="BE1504" s="2" t="s">
        <v>1000</v>
      </c>
      <c r="BF1504" s="2" t="str">
        <f>BE1502</f>
        <v>low</v>
      </c>
      <c r="BG1504" s="2" t="s">
        <v>1032</v>
      </c>
      <c r="BH1504" s="2" t="s">
        <v>1033</v>
      </c>
      <c r="BI1504" s="2" t="str">
        <f>IF($B$1233="","",$BF$1307)</f>
        <v>immigration</v>
      </c>
      <c r="BJ1504" s="2" t="s">
        <v>1003</v>
      </c>
    </row>
    <row r="1505" spans="1:65" ht="16.95" customHeight="1" thickBot="1">
      <c r="A1505" s="224"/>
      <c r="B1505" s="936"/>
      <c r="C1505" s="936"/>
      <c r="D1505" s="936"/>
      <c r="E1505" s="936"/>
      <c r="F1505" s="936"/>
      <c r="G1505" s="936"/>
      <c r="H1505" s="937"/>
      <c r="I1505" s="921"/>
      <c r="J1505" s="921"/>
      <c r="K1505" s="921"/>
      <c r="L1505" s="921"/>
      <c r="M1505" s="922"/>
      <c r="N1505" s="225"/>
      <c r="BC1505" s="2" t="str">
        <f>IF(BE1499=0,"",CONCATENATE(BE1505,BF1505,BG1505,BH1505,BI1505))</f>
        <v/>
      </c>
      <c r="BE1505" s="2" t="s">
        <v>1034</v>
      </c>
      <c r="BF1505" s="2" t="str">
        <f>IF($B$1233="","",$BF$1307)</f>
        <v>immigration</v>
      </c>
      <c r="BG1505" s="47" t="s">
        <v>1035</v>
      </c>
    </row>
    <row r="1506" spans="1:65" ht="16.95" customHeight="1">
      <c r="A1506" s="224"/>
      <c r="B1506" s="936" t="str">
        <f>BC1493</f>
        <v>I can replace defensiveness with mutual value for resolving each other's immigration needs.</v>
      </c>
      <c r="C1506" s="936"/>
      <c r="D1506" s="936"/>
      <c r="E1506" s="936"/>
      <c r="F1506" s="936"/>
      <c r="G1506" s="936"/>
      <c r="H1506" s="937"/>
      <c r="I1506" s="919"/>
      <c r="J1506" s="919"/>
      <c r="K1506" s="919"/>
      <c r="L1506" s="919"/>
      <c r="M1506" s="920"/>
      <c r="N1506" s="225"/>
      <c r="BC1506" s="2" t="str">
        <f>IF(BE1500=0,"",CONCATENATE(BE1506,BF1506,BG1506,BH1506,BI1506,BJ1506))</f>
        <v/>
      </c>
      <c r="BE1506" s="2" t="s">
        <v>1036</v>
      </c>
      <c r="BF1506" s="2" t="str">
        <f>IF($B$1233="","",$BF$1307)</f>
        <v>immigration</v>
      </c>
      <c r="BG1506" s="2" t="s">
        <v>1003</v>
      </c>
      <c r="BJ1506" s="2" t="s">
        <v>1004</v>
      </c>
    </row>
    <row r="1507" spans="1:65" ht="16.95" customHeight="1" thickBot="1">
      <c r="A1507" s="224"/>
      <c r="B1507" s="936"/>
      <c r="C1507" s="936"/>
      <c r="D1507" s="936"/>
      <c r="E1507" s="936"/>
      <c r="F1507" s="936"/>
      <c r="G1507" s="936"/>
      <c r="H1507" s="937"/>
      <c r="I1507" s="921"/>
      <c r="J1507" s="921"/>
      <c r="K1507" s="921"/>
      <c r="L1507" s="921"/>
      <c r="M1507" s="922"/>
      <c r="N1507" s="225"/>
      <c r="BC1507" s="2" t="str">
        <f>CONCATENATE(BE1507,BF1507,BG1507,BH1507,BI1507)</f>
        <v>Are you ready to honor needs without alienating laws about immigration? After choosing an issue, select above how well you can agree with these radically different approaches to immigration politics. Replace being led with taking the lead.</v>
      </c>
      <c r="BE1507" s="2" t="s">
        <v>1016</v>
      </c>
      <c r="BF1507" s="2" t="str">
        <f>IF(OR($B$1233=0,$B$1233=""),"politicized issues",$BF$1307)</f>
        <v>immigration</v>
      </c>
      <c r="BG1507" s="2" t="s">
        <v>1015</v>
      </c>
      <c r="BH1507" s="2" t="str">
        <f>IF($B$1233="","",$BF$1307)</f>
        <v>immigration</v>
      </c>
      <c r="BI1507" s="2" t="s">
        <v>1011</v>
      </c>
    </row>
    <row r="1508" spans="1:65" ht="10.199999999999999" customHeight="1">
      <c r="A1508" s="224"/>
      <c r="B1508" s="24"/>
      <c r="C1508" s="24"/>
      <c r="D1508" s="24"/>
      <c r="E1508" s="24"/>
      <c r="F1508" s="24"/>
      <c r="G1508" s="24"/>
      <c r="H1508" s="340"/>
      <c r="I1508" s="24"/>
      <c r="J1508" s="24"/>
      <c r="K1508" s="24"/>
      <c r="L1508" s="24"/>
      <c r="M1508" s="24"/>
      <c r="N1508" s="225"/>
      <c r="BC1508" s="2" t="str">
        <f>CONCATENATE(BC1504,BC1505,BC1506)</f>
        <v/>
      </c>
    </row>
    <row r="1509" spans="1:65" ht="15" customHeight="1">
      <c r="A1509" s="224"/>
      <c r="B1509" s="935" t="str">
        <f>BC1509</f>
        <v>Are you ready to honor needs without alienating laws about immigration? After choosing an issue, select above how well you can agree with these radically different approaches to immigration politics. Replace being led with taking the lead.</v>
      </c>
      <c r="C1509" s="935"/>
      <c r="D1509" s="935"/>
      <c r="E1509" s="935"/>
      <c r="F1509" s="935"/>
      <c r="G1509" s="935"/>
      <c r="H1509" s="935"/>
      <c r="I1509" s="935"/>
      <c r="J1509" s="935"/>
      <c r="K1509" s="935"/>
      <c r="L1509" s="935"/>
      <c r="M1509" s="935"/>
      <c r="N1509" s="225"/>
      <c r="BC1509" s="2" t="str">
        <f>IF(BE1501=0,BC1507,BC1508)</f>
        <v>Are you ready to honor needs without alienating laws about immigration? After choosing an issue, select above how well you can agree with these radically different approaches to immigration politics. Replace being led with taking the lead.</v>
      </c>
    </row>
    <row r="1510" spans="1:65" ht="15" customHeight="1">
      <c r="A1510" s="224"/>
      <c r="B1510" s="935"/>
      <c r="C1510" s="935"/>
      <c r="D1510" s="935"/>
      <c r="E1510" s="935"/>
      <c r="F1510" s="935"/>
      <c r="G1510" s="935"/>
      <c r="H1510" s="935"/>
      <c r="I1510" s="935"/>
      <c r="J1510" s="935"/>
      <c r="K1510" s="935"/>
      <c r="L1510" s="935"/>
      <c r="M1510" s="935"/>
      <c r="N1510" s="225"/>
    </row>
    <row r="1511" spans="1:65" ht="15" customHeight="1">
      <c r="A1511" s="224"/>
      <c r="B1511" s="935"/>
      <c r="C1511" s="935"/>
      <c r="D1511" s="935"/>
      <c r="E1511" s="935"/>
      <c r="F1511" s="935"/>
      <c r="G1511" s="935"/>
      <c r="H1511" s="935"/>
      <c r="I1511" s="935"/>
      <c r="J1511" s="935"/>
      <c r="K1511" s="935"/>
      <c r="L1511" s="935"/>
      <c r="M1511" s="935"/>
      <c r="N1511" s="225"/>
    </row>
    <row r="1512" spans="1:65" ht="15" customHeight="1">
      <c r="A1512" s="224"/>
      <c r="B1512" s="935"/>
      <c r="C1512" s="935"/>
      <c r="D1512" s="935"/>
      <c r="E1512" s="935"/>
      <c r="F1512" s="935"/>
      <c r="G1512" s="935"/>
      <c r="H1512" s="935"/>
      <c r="I1512" s="935"/>
      <c r="J1512" s="935"/>
      <c r="K1512" s="935"/>
      <c r="L1512" s="935"/>
      <c r="M1512" s="935"/>
      <c r="N1512" s="225"/>
    </row>
    <row r="1513" spans="1:65" ht="15" customHeight="1">
      <c r="A1513" s="224"/>
      <c r="B1513" s="935"/>
      <c r="C1513" s="935"/>
      <c r="D1513" s="935"/>
      <c r="E1513" s="935"/>
      <c r="F1513" s="935"/>
      <c r="G1513" s="935"/>
      <c r="H1513" s="935"/>
      <c r="I1513" s="935"/>
      <c r="J1513" s="935"/>
      <c r="K1513" s="935"/>
      <c r="L1513" s="935"/>
      <c r="M1513" s="935"/>
      <c r="N1513" s="225"/>
    </row>
    <row r="1514" spans="1:65" ht="15" customHeight="1">
      <c r="A1514" s="224"/>
      <c r="B1514" s="935"/>
      <c r="C1514" s="935"/>
      <c r="D1514" s="935"/>
      <c r="E1514" s="935"/>
      <c r="F1514" s="935"/>
      <c r="G1514" s="935"/>
      <c r="H1514" s="935"/>
      <c r="I1514" s="935"/>
      <c r="J1514" s="935"/>
      <c r="K1514" s="935"/>
      <c r="L1514" s="935"/>
      <c r="M1514" s="935"/>
      <c r="N1514" s="225"/>
    </row>
    <row r="1515" spans="1:65" ht="15" customHeight="1">
      <c r="A1515" s="226"/>
      <c r="B1515" s="227"/>
      <c r="C1515" s="227"/>
      <c r="D1515" s="227"/>
      <c r="E1515" s="227"/>
      <c r="F1515" s="227"/>
      <c r="G1515" s="227"/>
      <c r="H1515" s="361"/>
      <c r="I1515" s="227"/>
      <c r="J1515" s="227"/>
      <c r="K1515" s="227"/>
      <c r="L1515" s="227"/>
      <c r="M1515" s="227"/>
      <c r="N1515" s="228"/>
    </row>
    <row r="1516" spans="1:65" ht="30" customHeight="1">
      <c r="A1516" s="214" t="s">
        <v>1148</v>
      </c>
      <c r="B1516" s="911" t="s">
        <v>1135</v>
      </c>
      <c r="C1516" s="911"/>
      <c r="D1516" s="911"/>
      <c r="E1516" s="215"/>
      <c r="F1516" s="215"/>
      <c r="G1516" s="215"/>
      <c r="H1516" s="362"/>
      <c r="I1516" s="215"/>
      <c r="J1516" s="215"/>
      <c r="K1516" s="215"/>
      <c r="L1516" s="215"/>
      <c r="M1516" s="216"/>
      <c r="N1516" s="217" t="s">
        <v>1154</v>
      </c>
    </row>
    <row r="1517" spans="1:65" ht="10.199999999999999" customHeight="1">
      <c r="A1517" s="218"/>
      <c r="B1517" s="189"/>
      <c r="C1517" s="189"/>
      <c r="D1517" s="189"/>
      <c r="E1517" s="189"/>
      <c r="F1517" s="189"/>
      <c r="G1517" s="189"/>
      <c r="H1517" s="363"/>
      <c r="I1517" s="189"/>
      <c r="J1517" s="189"/>
      <c r="K1517" s="189"/>
      <c r="L1517" s="189"/>
      <c r="M1517" s="189"/>
      <c r="N1517" s="219"/>
    </row>
    <row r="1518" spans="1:65" ht="30" customHeight="1">
      <c r="A1518" s="218"/>
      <c r="B1518" s="1257" t="s">
        <v>1172</v>
      </c>
      <c r="C1518" s="1257"/>
      <c r="D1518" s="1257"/>
      <c r="E1518" s="1257"/>
      <c r="F1518" s="1257"/>
      <c r="G1518" s="1257"/>
      <c r="H1518" s="1257"/>
      <c r="I1518" s="1257"/>
      <c r="J1518" s="1257"/>
      <c r="K1518" s="1257"/>
      <c r="L1518" s="1257"/>
      <c r="M1518" s="1257"/>
      <c r="N1518" s="219"/>
      <c r="BB1518" s="188" t="s">
        <v>1175</v>
      </c>
      <c r="BE1518" s="37" t="e">
        <f>IF(#REF!=BB1520,CONCATENATE(BF1518,BG1518,BI1518),IF(#REF!=BB1521,CONCATENATE(BF1518,BG1518,BH1518,BI1518),IF(#REF!=BB1522,CONCATENATE(BF1518,BI1518),"And I am…")))</f>
        <v>#REF!</v>
      </c>
      <c r="BF1518" s="2" t="s">
        <v>1176</v>
      </c>
      <c r="BG1518" s="2" t="s">
        <v>1177</v>
      </c>
      <c r="BH1518" s="2" t="s">
        <v>1178</v>
      </c>
      <c r="BI1518" s="2" t="s">
        <v>734</v>
      </c>
    </row>
    <row r="1519" spans="1:65" ht="40.200000000000003" customHeight="1">
      <c r="A1519" s="218"/>
      <c r="B1519" s="185">
        <v>1</v>
      </c>
      <c r="C1519" s="1258" t="s">
        <v>1173</v>
      </c>
      <c r="D1519" s="1258"/>
      <c r="E1519" s="1258"/>
      <c r="F1519" s="1258"/>
      <c r="G1519" s="1258"/>
      <c r="H1519" s="1258"/>
      <c r="I1519" s="1258"/>
      <c r="J1519" s="1258"/>
      <c r="K1519" s="1258"/>
      <c r="L1519" s="1258"/>
      <c r="M1519" s="186"/>
      <c r="N1519" s="219"/>
    </row>
    <row r="1520" spans="1:65" ht="40.200000000000003" customHeight="1">
      <c r="A1520" s="218"/>
      <c r="B1520" s="185">
        <v>2</v>
      </c>
      <c r="C1520" s="1258" t="s">
        <v>1747</v>
      </c>
      <c r="D1520" s="1258"/>
      <c r="E1520" s="1258"/>
      <c r="F1520" s="1258"/>
      <c r="G1520" s="1258"/>
      <c r="H1520" s="1258"/>
      <c r="I1520" s="1258"/>
      <c r="J1520" s="1258"/>
      <c r="K1520" s="1258"/>
      <c r="L1520" s="1258"/>
      <c r="M1520" s="186"/>
      <c r="N1520" s="219"/>
      <c r="BB1520" s="187" t="s">
        <v>1179</v>
      </c>
      <c r="BE1520" s="2" t="e">
        <f>IF(#REF!=BB1520,BJ1520,IF(#REF!=BB1521,BK1520,IF(#REF!=BB1522,BL1520,BM1520)))</f>
        <v>#REF!</v>
      </c>
      <c r="BJ1520" s="187" t="s">
        <v>1182</v>
      </c>
      <c r="BK1520" s="187" t="s">
        <v>1185</v>
      </c>
      <c r="BL1520" s="187" t="s">
        <v>1188</v>
      </c>
      <c r="BM1520" s="2" t="s">
        <v>1191</v>
      </c>
    </row>
    <row r="1521" spans="1:64" ht="40.200000000000003" customHeight="1">
      <c r="A1521" s="218"/>
      <c r="B1521" s="185">
        <v>3</v>
      </c>
      <c r="C1521" s="1258" t="s">
        <v>1174</v>
      </c>
      <c r="D1521" s="1258"/>
      <c r="E1521" s="1258"/>
      <c r="F1521" s="1258"/>
      <c r="G1521" s="1258"/>
      <c r="H1521" s="1258"/>
      <c r="I1521" s="1258"/>
      <c r="J1521" s="1258"/>
      <c r="K1521" s="1258"/>
      <c r="L1521" s="1258"/>
      <c r="M1521" s="186"/>
      <c r="N1521" s="219"/>
      <c r="BB1521" s="187" t="s">
        <v>1180</v>
      </c>
      <c r="BE1521" s="2" t="e">
        <f>IF(#REF!=BB1520,BJ1521,IF(#REF!=BB1521,BK1521,IF(#REF!=BB1522,BL1521,"")))</f>
        <v>#REF!</v>
      </c>
      <c r="BJ1521" s="187" t="s">
        <v>1183</v>
      </c>
      <c r="BK1521" s="187" t="s">
        <v>1186</v>
      </c>
      <c r="BL1521" s="187" t="s">
        <v>1189</v>
      </c>
    </row>
    <row r="1522" spans="1:64" ht="40.200000000000003" customHeight="1">
      <c r="A1522" s="218"/>
      <c r="B1522" s="185">
        <v>4</v>
      </c>
      <c r="C1522" s="1258" t="s">
        <v>1244</v>
      </c>
      <c r="D1522" s="1258"/>
      <c r="E1522" s="1258"/>
      <c r="F1522" s="1258"/>
      <c r="G1522" s="1258"/>
      <c r="H1522" s="1258"/>
      <c r="I1522" s="1258"/>
      <c r="J1522" s="1258"/>
      <c r="K1522" s="1258"/>
      <c r="L1522" s="1258"/>
      <c r="M1522" s="186"/>
      <c r="N1522" s="219"/>
      <c r="BB1522" s="187" t="s">
        <v>1181</v>
      </c>
      <c r="BE1522" s="2" t="e">
        <f>IF(#REF!=BB1520,BJ1522,IF(#REF!=BB1521,BK1522,IF(#REF!=BB1522,BL1522,"")))</f>
        <v>#REF!</v>
      </c>
      <c r="BJ1522" s="187" t="s">
        <v>1184</v>
      </c>
      <c r="BK1522" s="187" t="s">
        <v>1187</v>
      </c>
      <c r="BL1522" s="187" t="s">
        <v>1190</v>
      </c>
    </row>
    <row r="1523" spans="1:64" ht="40.200000000000003" customHeight="1">
      <c r="A1523" s="218"/>
      <c r="B1523" s="185">
        <v>5</v>
      </c>
      <c r="C1523" s="1258" t="s">
        <v>1192</v>
      </c>
      <c r="D1523" s="1258"/>
      <c r="E1523" s="1258"/>
      <c r="F1523" s="1258"/>
      <c r="G1523" s="1258"/>
      <c r="H1523" s="1258"/>
      <c r="I1523" s="1258"/>
      <c r="J1523" s="1258"/>
      <c r="K1523" s="1258"/>
      <c r="L1523" s="1258"/>
      <c r="M1523" s="186"/>
      <c r="N1523" s="219"/>
    </row>
    <row r="1524" spans="1:64" ht="15" customHeight="1">
      <c r="A1524" s="218"/>
      <c r="B1524" s="185"/>
      <c r="C1524" s="190"/>
      <c r="D1524" s="190"/>
      <c r="E1524" s="190"/>
      <c r="F1524" s="190"/>
      <c r="G1524" s="190"/>
      <c r="H1524" s="364"/>
      <c r="I1524" s="190"/>
      <c r="J1524" s="190"/>
      <c r="K1524" s="190"/>
      <c r="L1524" s="190"/>
      <c r="M1524" s="186"/>
      <c r="N1524" s="219"/>
      <c r="BB1524" s="37" t="e">
        <f>IF(#REF!=BJ1520,#REF!,IF(#REF!=BJ1521,#REF!,IF(#REF!=BJ1522,#REF!,IF(#REF!=BK1520,#REF!,IF(#REF!=BK1521,#REF!,IF(#REF!=BK1522,#REF!,IF(#REF!=BL1520,#REF!,IF(#REF!=BL1521,#REF!,IF(#REF!=BL1522,#REF!,#REF!)))))))))</f>
        <v>#REF!</v>
      </c>
    </row>
    <row r="1525" spans="1:64" ht="25.05" customHeight="1">
      <c r="A1525" s="218"/>
      <c r="B1525" s="384" t="s">
        <v>1252</v>
      </c>
      <c r="C1525" s="384"/>
      <c r="D1525" s="384"/>
      <c r="E1525" s="384"/>
      <c r="F1525" s="366"/>
      <c r="G1525" s="366"/>
      <c r="H1525" s="364"/>
      <c r="I1525" s="366"/>
      <c r="J1525" s="366"/>
      <c r="K1525" s="366"/>
      <c r="L1525" s="366"/>
      <c r="M1525" s="384"/>
      <c r="N1525" s="219"/>
      <c r="BB1525" s="37"/>
    </row>
    <row r="1526" spans="1:64" ht="25.05" customHeight="1">
      <c r="A1526" s="218"/>
      <c r="B1526" s="1263" t="s">
        <v>1253</v>
      </c>
      <c r="C1526" s="1263"/>
      <c r="D1526" s="1263"/>
      <c r="E1526" s="1263"/>
      <c r="F1526" s="1263"/>
      <c r="G1526" s="1263"/>
      <c r="H1526" s="1263"/>
      <c r="I1526" s="1263"/>
      <c r="J1526" s="1263"/>
      <c r="K1526" s="1263"/>
      <c r="L1526" s="1263"/>
      <c r="M1526" s="1263"/>
      <c r="N1526" s="219"/>
      <c r="BB1526" s="37"/>
    </row>
    <row r="1527" spans="1:64" ht="18" customHeight="1">
      <c r="A1527" s="218"/>
      <c r="B1527" s="382" t="s">
        <v>1251</v>
      </c>
      <c r="C1527" s="383" t="s">
        <v>1247</v>
      </c>
      <c r="D1527" s="366"/>
      <c r="E1527" s="366"/>
      <c r="F1527" s="366"/>
      <c r="G1527" s="366"/>
      <c r="H1527" s="364"/>
      <c r="I1527" s="366"/>
      <c r="J1527" s="366"/>
      <c r="K1527" s="366"/>
      <c r="L1527" s="366"/>
      <c r="M1527" s="186"/>
      <c r="N1527" s="219"/>
      <c r="BB1527" s="37"/>
    </row>
    <row r="1528" spans="1:64" ht="18" customHeight="1">
      <c r="A1528" s="218"/>
      <c r="B1528" s="382" t="s">
        <v>1251</v>
      </c>
      <c r="C1528" s="383" t="s">
        <v>1255</v>
      </c>
      <c r="D1528" s="366"/>
      <c r="E1528" s="366"/>
      <c r="F1528" s="366"/>
      <c r="G1528" s="366"/>
      <c r="H1528" s="364"/>
      <c r="I1528" s="366"/>
      <c r="J1528" s="366"/>
      <c r="K1528" s="366"/>
      <c r="L1528" s="366"/>
      <c r="M1528" s="186"/>
      <c r="N1528" s="219"/>
      <c r="BB1528" s="37"/>
    </row>
    <row r="1529" spans="1:64" ht="18" customHeight="1">
      <c r="A1529" s="218"/>
      <c r="B1529" s="382" t="s">
        <v>1251</v>
      </c>
      <c r="C1529" s="383" t="s">
        <v>1256</v>
      </c>
      <c r="D1529" s="366"/>
      <c r="E1529" s="366"/>
      <c r="F1529" s="366"/>
      <c r="G1529" s="366"/>
      <c r="H1529" s="364"/>
      <c r="I1529" s="366"/>
      <c r="J1529" s="366"/>
      <c r="K1529" s="366"/>
      <c r="L1529" s="366"/>
      <c r="M1529" s="186"/>
      <c r="N1529" s="219"/>
      <c r="BB1529" s="37"/>
    </row>
    <row r="1530" spans="1:64" ht="18" customHeight="1">
      <c r="A1530" s="218"/>
      <c r="B1530" s="382" t="s">
        <v>1251</v>
      </c>
      <c r="C1530" s="383" t="s">
        <v>1248</v>
      </c>
      <c r="D1530" s="366"/>
      <c r="E1530" s="366"/>
      <c r="F1530" s="366"/>
      <c r="G1530" s="366"/>
      <c r="H1530" s="364"/>
      <c r="I1530" s="366"/>
      <c r="J1530" s="366"/>
      <c r="K1530" s="366"/>
      <c r="L1530" s="366"/>
      <c r="M1530" s="186"/>
      <c r="N1530" s="219"/>
      <c r="BB1530" s="37"/>
    </row>
    <row r="1531" spans="1:64" ht="18" customHeight="1">
      <c r="A1531" s="218"/>
      <c r="B1531" s="382" t="s">
        <v>1251</v>
      </c>
      <c r="C1531" s="383" t="s">
        <v>1249</v>
      </c>
      <c r="D1531" s="366"/>
      <c r="E1531" s="366"/>
      <c r="F1531" s="366"/>
      <c r="G1531" s="366"/>
      <c r="H1531" s="364"/>
      <c r="I1531" s="366"/>
      <c r="J1531" s="366"/>
      <c r="K1531" s="366"/>
      <c r="L1531" s="366"/>
      <c r="M1531" s="186"/>
      <c r="N1531" s="219"/>
      <c r="BB1531" s="37"/>
    </row>
    <row r="1532" spans="1:64" ht="18" customHeight="1">
      <c r="A1532" s="218"/>
      <c r="B1532" s="382" t="s">
        <v>1251</v>
      </c>
      <c r="C1532" s="383" t="s">
        <v>1257</v>
      </c>
      <c r="D1532" s="366"/>
      <c r="E1532" s="366"/>
      <c r="F1532" s="366"/>
      <c r="G1532" s="366"/>
      <c r="H1532" s="364"/>
      <c r="I1532" s="366"/>
      <c r="J1532" s="366"/>
      <c r="K1532" s="366"/>
      <c r="L1532" s="366"/>
      <c r="M1532" s="186"/>
      <c r="N1532" s="219"/>
      <c r="BB1532" s="37"/>
    </row>
    <row r="1533" spans="1:64" ht="30" customHeight="1" thickBot="1">
      <c r="A1533" s="218"/>
      <c r="B1533" s="385" t="s">
        <v>1250</v>
      </c>
      <c r="C1533" s="366"/>
      <c r="D1533" s="366"/>
      <c r="E1533" s="366"/>
      <c r="F1533" s="366"/>
      <c r="G1533" s="366"/>
      <c r="H1533" s="364"/>
      <c r="I1533" s="366"/>
      <c r="J1533" s="366"/>
      <c r="K1533" s="366"/>
      <c r="L1533" s="366"/>
      <c r="M1533" s="186"/>
      <c r="N1533" s="219"/>
      <c r="BB1533" s="37"/>
    </row>
    <row r="1534" spans="1:64" ht="10.050000000000001" customHeight="1">
      <c r="A1534" s="218"/>
      <c r="B1534" s="381"/>
      <c r="C1534" s="386"/>
      <c r="D1534" s="386"/>
      <c r="E1534" s="386"/>
      <c r="F1534" s="386"/>
      <c r="G1534" s="386"/>
      <c r="H1534" s="387"/>
      <c r="I1534" s="386"/>
      <c r="J1534" s="366"/>
      <c r="K1534" s="366"/>
      <c r="L1534" s="366"/>
      <c r="M1534" s="186"/>
      <c r="N1534" s="219"/>
      <c r="BB1534" s="37"/>
    </row>
    <row r="1535" spans="1:64" ht="30" customHeight="1">
      <c r="A1535" s="218"/>
      <c r="B1535" s="907" t="s">
        <v>3212</v>
      </c>
      <c r="C1535" s="386"/>
      <c r="D1535" s="386"/>
      <c r="E1535" s="386"/>
      <c r="F1535" s="386"/>
      <c r="G1535" s="386"/>
      <c r="H1535" s="387"/>
      <c r="I1535" s="386"/>
      <c r="J1535" s="869"/>
      <c r="K1535" s="869"/>
      <c r="L1535" s="869"/>
      <c r="M1535" s="186"/>
      <c r="N1535" s="219"/>
      <c r="BB1535" s="37"/>
    </row>
    <row r="1536" spans="1:64" ht="19.95" customHeight="1">
      <c r="A1536" s="218"/>
      <c r="B1536" s="1264" t="s">
        <v>3216</v>
      </c>
      <c r="C1536" s="1264"/>
      <c r="D1536" s="1264"/>
      <c r="E1536" s="1264"/>
      <c r="F1536" s="1264"/>
      <c r="G1536" s="1264"/>
      <c r="H1536" s="1264"/>
      <c r="I1536" s="1264"/>
      <c r="J1536" s="1264"/>
      <c r="K1536" s="1264"/>
      <c r="L1536" s="1264"/>
      <c r="M1536" s="186"/>
      <c r="N1536" s="219"/>
      <c r="BB1536" s="37"/>
    </row>
    <row r="1537" spans="1:54" ht="15" customHeight="1">
      <c r="A1537" s="218"/>
      <c r="B1537" s="587" t="s">
        <v>3214</v>
      </c>
      <c r="C1537" s="366"/>
      <c r="D1537" s="366"/>
      <c r="E1537" s="366"/>
      <c r="F1537" s="366"/>
      <c r="G1537" s="366"/>
      <c r="H1537" s="364"/>
      <c r="I1537" s="366"/>
      <c r="J1537" s="366"/>
      <c r="K1537" s="366"/>
      <c r="L1537" s="366"/>
      <c r="M1537" s="186"/>
      <c r="N1537" s="219"/>
      <c r="BB1537" s="37"/>
    </row>
    <row r="1538" spans="1:54" ht="19.95" customHeight="1">
      <c r="A1538" s="218"/>
      <c r="B1538" s="1264" t="s">
        <v>3213</v>
      </c>
      <c r="C1538" s="1264"/>
      <c r="D1538" s="1264"/>
      <c r="E1538" s="1264"/>
      <c r="F1538" s="1264"/>
      <c r="G1538" s="1264"/>
      <c r="H1538" s="1264"/>
      <c r="I1538" s="1264"/>
      <c r="J1538" s="1264"/>
      <c r="K1538" s="366"/>
      <c r="L1538" s="366"/>
      <c r="M1538" s="186"/>
      <c r="N1538" s="219"/>
      <c r="BB1538" s="37"/>
    </row>
    <row r="1539" spans="1:54" ht="15" customHeight="1">
      <c r="A1539" s="218"/>
      <c r="B1539" s="587" t="s">
        <v>2020</v>
      </c>
      <c r="C1539" s="366"/>
      <c r="D1539" s="366"/>
      <c r="E1539" s="366"/>
      <c r="F1539" s="366"/>
      <c r="G1539" s="366"/>
      <c r="H1539" s="364"/>
      <c r="I1539" s="366"/>
      <c r="J1539" s="366"/>
      <c r="K1539" s="366"/>
      <c r="L1539" s="366"/>
      <c r="M1539" s="186"/>
      <c r="N1539" s="219"/>
      <c r="BB1539" s="37"/>
    </row>
    <row r="1540" spans="1:54" ht="19.95" customHeight="1">
      <c r="A1540" s="218"/>
      <c r="B1540" s="1264" t="s">
        <v>3215</v>
      </c>
      <c r="C1540" s="1264"/>
      <c r="D1540" s="1264"/>
      <c r="E1540" s="1264"/>
      <c r="F1540" s="1264"/>
      <c r="G1540" s="1264"/>
      <c r="H1540" s="1264"/>
      <c r="I1540" s="1264"/>
      <c r="J1540" s="1264"/>
      <c r="K1540" s="1264"/>
      <c r="L1540" s="366"/>
      <c r="M1540" s="186"/>
      <c r="N1540" s="219"/>
      <c r="BB1540" s="37"/>
    </row>
    <row r="1541" spans="1:54" ht="15" customHeight="1">
      <c r="A1541" s="218"/>
      <c r="B1541" s="908" t="s">
        <v>3217</v>
      </c>
      <c r="C1541" s="366"/>
      <c r="D1541" s="366"/>
      <c r="E1541" s="366"/>
      <c r="F1541" s="366"/>
      <c r="G1541" s="366"/>
      <c r="H1541" s="364"/>
      <c r="I1541" s="366"/>
      <c r="J1541" s="366"/>
      <c r="K1541" s="366"/>
      <c r="L1541" s="366"/>
      <c r="M1541" s="186"/>
      <c r="N1541" s="219"/>
      <c r="BB1541" s="37"/>
    </row>
    <row r="1542" spans="1:54" ht="7.95" customHeight="1">
      <c r="A1542" s="218"/>
      <c r="B1542" s="185"/>
      <c r="C1542" s="366"/>
      <c r="D1542" s="366"/>
      <c r="E1542" s="366"/>
      <c r="F1542" s="366"/>
      <c r="G1542" s="366"/>
      <c r="H1542" s="364"/>
      <c r="I1542" s="366"/>
      <c r="J1542" s="366"/>
      <c r="K1542" s="366"/>
      <c r="L1542" s="366"/>
      <c r="M1542" s="186"/>
      <c r="N1542" s="219"/>
      <c r="BB1542" s="37"/>
    </row>
    <row r="1543" spans="1:54" ht="15" customHeight="1">
      <c r="A1543" s="218"/>
      <c r="B1543" s="1259" t="s">
        <v>1195</v>
      </c>
      <c r="C1543" s="1259"/>
      <c r="D1543" s="1259"/>
      <c r="E1543" s="1259"/>
      <c r="F1543" s="1259"/>
      <c r="G1543" s="1259"/>
      <c r="H1543" s="1259"/>
      <c r="I1543" s="1259"/>
      <c r="J1543" s="1259"/>
      <c r="K1543" s="1259"/>
      <c r="L1543" s="1259"/>
      <c r="M1543" s="212" t="s">
        <v>1194</v>
      </c>
      <c r="N1543" s="219"/>
      <c r="BB1543" s="37"/>
    </row>
    <row r="1544" spans="1:54" ht="7.95" customHeight="1" thickBot="1">
      <c r="A1544" s="218"/>
      <c r="B1544" s="213"/>
      <c r="C1544" s="213"/>
      <c r="D1544" s="213"/>
      <c r="E1544" s="213"/>
      <c r="F1544" s="213"/>
      <c r="G1544" s="213"/>
      <c r="H1544" s="365"/>
      <c r="I1544" s="213"/>
      <c r="J1544" s="213"/>
      <c r="K1544" s="213"/>
      <c r="L1544" s="213"/>
      <c r="M1544" s="213"/>
      <c r="N1544" s="219"/>
      <c r="BB1544" s="37"/>
    </row>
    <row r="1545" spans="1:54" ht="15" customHeight="1" thickTop="1" thickBot="1">
      <c r="A1545" s="218"/>
      <c r="B1545" s="1260" t="s">
        <v>1193</v>
      </c>
      <c r="C1545" s="1261"/>
      <c r="D1545" s="1261"/>
      <c r="E1545" s="1261"/>
      <c r="F1545" s="1261"/>
      <c r="G1545" s="1261"/>
      <c r="H1545" s="1261"/>
      <c r="I1545" s="1261"/>
      <c r="J1545" s="1261"/>
      <c r="K1545" s="1261"/>
      <c r="L1545" s="1261"/>
      <c r="M1545" s="1262"/>
      <c r="N1545" s="219"/>
      <c r="BB1545" s="37"/>
    </row>
    <row r="1546" spans="1:54" ht="10.050000000000001" customHeight="1" thickTop="1">
      <c r="A1546" s="218"/>
      <c r="B1546" s="185"/>
      <c r="C1546" s="366"/>
      <c r="D1546" s="366"/>
      <c r="E1546" s="366"/>
      <c r="F1546" s="366"/>
      <c r="G1546" s="366"/>
      <c r="H1546" s="364"/>
      <c r="I1546" s="366"/>
      <c r="J1546" s="366"/>
      <c r="K1546" s="366"/>
      <c r="L1546" s="366"/>
      <c r="M1546" s="186"/>
      <c r="N1546" s="219"/>
      <c r="BB1546" s="37"/>
    </row>
  </sheetData>
  <mergeCells count="423">
    <mergeCell ref="G25:K25"/>
    <mergeCell ref="G30:K30"/>
    <mergeCell ref="G16:K16"/>
    <mergeCell ref="G17:K17"/>
    <mergeCell ref="G18:K18"/>
    <mergeCell ref="G19:K19"/>
    <mergeCell ref="G20:K20"/>
    <mergeCell ref="G21:K21"/>
    <mergeCell ref="G22:K22"/>
    <mergeCell ref="G23:K23"/>
    <mergeCell ref="G24:K24"/>
    <mergeCell ref="G7:K7"/>
    <mergeCell ref="G8:K8"/>
    <mergeCell ref="G9:K9"/>
    <mergeCell ref="G10:K10"/>
    <mergeCell ref="G11:K11"/>
    <mergeCell ref="G12:K12"/>
    <mergeCell ref="G13:K13"/>
    <mergeCell ref="G14:K14"/>
    <mergeCell ref="G15:K15"/>
    <mergeCell ref="B1222:E1229"/>
    <mergeCell ref="F1222:I1229"/>
    <mergeCell ref="J1222:M1229"/>
    <mergeCell ref="B1230:M1231"/>
    <mergeCell ref="B1127:C1127"/>
    <mergeCell ref="D1127:E1127"/>
    <mergeCell ref="F1127:G1127"/>
    <mergeCell ref="G37:K37"/>
    <mergeCell ref="G38:K38"/>
    <mergeCell ref="G39:K39"/>
    <mergeCell ref="G40:K40"/>
    <mergeCell ref="B1186:M1189"/>
    <mergeCell ref="B1182:M1185"/>
    <mergeCell ref="B1178:M1181"/>
    <mergeCell ref="G1176:M1177"/>
    <mergeCell ref="B1106:M1111"/>
    <mergeCell ref="E1013:J1013"/>
    <mergeCell ref="B460:L460"/>
    <mergeCell ref="B507:L507"/>
    <mergeCell ref="L759:M759"/>
    <mergeCell ref="B755:C755"/>
    <mergeCell ref="E755:F755"/>
    <mergeCell ref="B752:C752"/>
    <mergeCell ref="B753:C753"/>
    <mergeCell ref="B1518:M1518"/>
    <mergeCell ref="C1522:L1522"/>
    <mergeCell ref="C1521:L1521"/>
    <mergeCell ref="C1520:L1520"/>
    <mergeCell ref="C1519:L1519"/>
    <mergeCell ref="C1523:L1523"/>
    <mergeCell ref="B1543:L1543"/>
    <mergeCell ref="B1545:M1545"/>
    <mergeCell ref="B1526:M1526"/>
    <mergeCell ref="B1540:K1540"/>
    <mergeCell ref="B1538:J1538"/>
    <mergeCell ref="B1536:L1536"/>
    <mergeCell ref="B754:C754"/>
    <mergeCell ref="B919:L919"/>
    <mergeCell ref="L751:M751"/>
    <mergeCell ref="E1017:J1017"/>
    <mergeCell ref="B1123:G1123"/>
    <mergeCell ref="K1163:M1164"/>
    <mergeCell ref="B1164:D1165"/>
    <mergeCell ref="H1164:J1165"/>
    <mergeCell ref="H1125:I1125"/>
    <mergeCell ref="H1128:I1128"/>
    <mergeCell ref="J1128:K1128"/>
    <mergeCell ref="L1128:M1128"/>
    <mergeCell ref="I1050:K1050"/>
    <mergeCell ref="D1051:F1051"/>
    <mergeCell ref="G1051:H1051"/>
    <mergeCell ref="B1065:G1067"/>
    <mergeCell ref="H1065:M1067"/>
    <mergeCell ref="B1079:G1083"/>
    <mergeCell ref="H1079:M1083"/>
    <mergeCell ref="H1054:M1054"/>
    <mergeCell ref="H1055:M1055"/>
    <mergeCell ref="B1059:G1063"/>
    <mergeCell ref="H253:M253"/>
    <mergeCell ref="C223:L227"/>
    <mergeCell ref="D212:K213"/>
    <mergeCell ref="D214:K215"/>
    <mergeCell ref="D216:K217"/>
    <mergeCell ref="D210:K211"/>
    <mergeCell ref="B241:M243"/>
    <mergeCell ref="E753:F753"/>
    <mergeCell ref="E751:F751"/>
    <mergeCell ref="G35:K35"/>
    <mergeCell ref="G36:K36"/>
    <mergeCell ref="G31:K31"/>
    <mergeCell ref="G32:K32"/>
    <mergeCell ref="B272:L272"/>
    <mergeCell ref="B319:L319"/>
    <mergeCell ref="B260:M261"/>
    <mergeCell ref="B145:F146"/>
    <mergeCell ref="B129:D130"/>
    <mergeCell ref="H144:J146"/>
    <mergeCell ref="K144:M146"/>
    <mergeCell ref="H136:J138"/>
    <mergeCell ref="K136:M138"/>
    <mergeCell ref="K140:M142"/>
    <mergeCell ref="H140:J142"/>
    <mergeCell ref="B137:F138"/>
    <mergeCell ref="B141:F142"/>
    <mergeCell ref="B198:L198"/>
    <mergeCell ref="B236:L236"/>
    <mergeCell ref="B178:M178"/>
    <mergeCell ref="B173:G173"/>
    <mergeCell ref="H247:M247"/>
    <mergeCell ref="B248:M249"/>
    <mergeCell ref="H250:M250"/>
    <mergeCell ref="A3:N3"/>
    <mergeCell ref="A1:N2"/>
    <mergeCell ref="N66:N84"/>
    <mergeCell ref="B66:M67"/>
    <mergeCell ref="H132:J134"/>
    <mergeCell ref="K132:M134"/>
    <mergeCell ref="E129:H130"/>
    <mergeCell ref="I129:M130"/>
    <mergeCell ref="B133:F134"/>
    <mergeCell ref="B54:M55"/>
    <mergeCell ref="G59:H61"/>
    <mergeCell ref="E63:M64"/>
    <mergeCell ref="B57:F61"/>
    <mergeCell ref="I57:M61"/>
    <mergeCell ref="A66:A84"/>
    <mergeCell ref="B68:M73"/>
    <mergeCell ref="B74:M79"/>
    <mergeCell ref="B86:M87"/>
    <mergeCell ref="B11:F11"/>
    <mergeCell ref="B23:F23"/>
    <mergeCell ref="B30:F30"/>
    <mergeCell ref="G41:K41"/>
    <mergeCell ref="G33:K33"/>
    <mergeCell ref="G34:K34"/>
    <mergeCell ref="B42:F42"/>
    <mergeCell ref="B50:M51"/>
    <mergeCell ref="B89:L89"/>
    <mergeCell ref="H1096:M1100"/>
    <mergeCell ref="A4:N4"/>
    <mergeCell ref="A5:N5"/>
    <mergeCell ref="G42:K42"/>
    <mergeCell ref="B7:F7"/>
    <mergeCell ref="B9:F9"/>
    <mergeCell ref="G26:K26"/>
    <mergeCell ref="G27:K27"/>
    <mergeCell ref="G28:K28"/>
    <mergeCell ref="K1086:M1086"/>
    <mergeCell ref="E1087:G1087"/>
    <mergeCell ref="H1087:J1087"/>
    <mergeCell ref="B1069:G1073"/>
    <mergeCell ref="H1069:M1073"/>
    <mergeCell ref="B1041:G1042"/>
    <mergeCell ref="H1041:M1042"/>
    <mergeCell ref="C1047:L1047"/>
    <mergeCell ref="B1049:C1051"/>
    <mergeCell ref="D1049:F1049"/>
    <mergeCell ref="B171:G172"/>
    <mergeCell ref="G29:K29"/>
    <mergeCell ref="B1170:D1171"/>
    <mergeCell ref="H1170:J1171"/>
    <mergeCell ref="E1171:G1172"/>
    <mergeCell ref="K1171:M1172"/>
    <mergeCell ref="E1163:G1164"/>
    <mergeCell ref="J1125:K1125"/>
    <mergeCell ref="L1125:M1125"/>
    <mergeCell ref="J1127:K1127"/>
    <mergeCell ref="L1127:M1127"/>
    <mergeCell ref="B1128:C1128"/>
    <mergeCell ref="D1128:E1128"/>
    <mergeCell ref="B1130:C1136"/>
    <mergeCell ref="B1144:M1149"/>
    <mergeCell ref="H1139:M1140"/>
    <mergeCell ref="H1127:I1127"/>
    <mergeCell ref="H1130:I1136"/>
    <mergeCell ref="J1130:K1136"/>
    <mergeCell ref="L1130:M1136"/>
    <mergeCell ref="H1129:I1129"/>
    <mergeCell ref="J1129:K1129"/>
    <mergeCell ref="L1129:M1129"/>
    <mergeCell ref="B1125:C1125"/>
    <mergeCell ref="D1125:E1125"/>
    <mergeCell ref="F1125:G1125"/>
    <mergeCell ref="H1059:M1063"/>
    <mergeCell ref="L1049:M1051"/>
    <mergeCell ref="D1050:F1050"/>
    <mergeCell ref="G1050:H1050"/>
    <mergeCell ref="G1049:H1049"/>
    <mergeCell ref="I1049:K1049"/>
    <mergeCell ref="B1089:D1089"/>
    <mergeCell ref="E1089:G1089"/>
    <mergeCell ref="H1089:J1089"/>
    <mergeCell ref="B1086:D1086"/>
    <mergeCell ref="B1378:L1378"/>
    <mergeCell ref="B1425:K1425"/>
    <mergeCell ref="B1286:M1288"/>
    <mergeCell ref="B1294:F1301"/>
    <mergeCell ref="I1294:M1301"/>
    <mergeCell ref="B1289:M1292"/>
    <mergeCell ref="I1374:M1376"/>
    <mergeCell ref="B1379:M1381"/>
    <mergeCell ref="B1382:M1385"/>
    <mergeCell ref="B1386:M1386"/>
    <mergeCell ref="B1302:B1306"/>
    <mergeCell ref="C1302:C1306"/>
    <mergeCell ref="G1302:G1306"/>
    <mergeCell ref="H1302:H1306"/>
    <mergeCell ref="L1302:L1306"/>
    <mergeCell ref="B1307:F1314"/>
    <mergeCell ref="I1307:M1314"/>
    <mergeCell ref="I1337:M1340"/>
    <mergeCell ref="I1341:M1344"/>
    <mergeCell ref="B1317:H1318"/>
    <mergeCell ref="B1319:H1320"/>
    <mergeCell ref="B1321:H1322"/>
    <mergeCell ref="I1317:M1318"/>
    <mergeCell ref="I1319:M1320"/>
    <mergeCell ref="I1388:M1395"/>
    <mergeCell ref="G1396:G1400"/>
    <mergeCell ref="H1396:H1400"/>
    <mergeCell ref="B1401:F1407"/>
    <mergeCell ref="I1401:M1407"/>
    <mergeCell ref="I1431:M1434"/>
    <mergeCell ref="B1418:M1423"/>
    <mergeCell ref="B1415:H1416"/>
    <mergeCell ref="B1411:H1412"/>
    <mergeCell ref="B1413:H1414"/>
    <mergeCell ref="I1411:M1412"/>
    <mergeCell ref="I1413:M1414"/>
    <mergeCell ref="I1415:M1416"/>
    <mergeCell ref="B1233:M1235"/>
    <mergeCell ref="I1244:M1247"/>
    <mergeCell ref="B981:M983"/>
    <mergeCell ref="B984:M988"/>
    <mergeCell ref="B1216:E1221"/>
    <mergeCell ref="F1216:I1221"/>
    <mergeCell ref="J1216:M1221"/>
    <mergeCell ref="K1089:M1089"/>
    <mergeCell ref="B1091:G1095"/>
    <mergeCell ref="H1123:M1123"/>
    <mergeCell ref="B1124:C1124"/>
    <mergeCell ref="D1124:E1124"/>
    <mergeCell ref="F1124:G1124"/>
    <mergeCell ref="H1124:I1124"/>
    <mergeCell ref="J1124:K1124"/>
    <mergeCell ref="L1124:M1124"/>
    <mergeCell ref="H1091:M1095"/>
    <mergeCell ref="B1096:G1100"/>
    <mergeCell ref="D1129:E1129"/>
    <mergeCell ref="F1129:G1129"/>
    <mergeCell ref="F1128:G1128"/>
    <mergeCell ref="H1141:M1142"/>
    <mergeCell ref="D1130:E1136"/>
    <mergeCell ref="F1130:G1136"/>
    <mergeCell ref="I1362:M1365"/>
    <mergeCell ref="I1366:M1369"/>
    <mergeCell ref="I1370:M1373"/>
    <mergeCell ref="I1321:M1322"/>
    <mergeCell ref="B1324:M1329"/>
    <mergeCell ref="I1248:M1251"/>
    <mergeCell ref="I1252:M1255"/>
    <mergeCell ref="I1256:M1259"/>
    <mergeCell ref="I1260:M1262"/>
    <mergeCell ref="I1265:M1268"/>
    <mergeCell ref="I1269:M1272"/>
    <mergeCell ref="I1273:M1276"/>
    <mergeCell ref="I1277:M1280"/>
    <mergeCell ref="I1282:M1283"/>
    <mergeCell ref="I1439:M1442"/>
    <mergeCell ref="B1388:F1395"/>
    <mergeCell ref="I752:J752"/>
    <mergeCell ref="L752:M752"/>
    <mergeCell ref="I753:J753"/>
    <mergeCell ref="L753:M753"/>
    <mergeCell ref="B1054:G1054"/>
    <mergeCell ref="B1055:G1055"/>
    <mergeCell ref="B603:M604"/>
    <mergeCell ref="B606:F610"/>
    <mergeCell ref="I606:M610"/>
    <mergeCell ref="G608:H610"/>
    <mergeCell ref="E612:M613"/>
    <mergeCell ref="B615:M618"/>
    <mergeCell ref="B619:M624"/>
    <mergeCell ref="B989:M992"/>
    <mergeCell ref="B993:M995"/>
    <mergeCell ref="B996:M998"/>
    <mergeCell ref="I1051:K1051"/>
    <mergeCell ref="G978:M979"/>
    <mergeCell ref="B749:C749"/>
    <mergeCell ref="E749:F749"/>
    <mergeCell ref="I749:J749"/>
    <mergeCell ref="L749:M749"/>
    <mergeCell ref="A45:N46"/>
    <mergeCell ref="A47:N48"/>
    <mergeCell ref="B123:M125"/>
    <mergeCell ref="B126:M128"/>
    <mergeCell ref="B747:C747"/>
    <mergeCell ref="E747:F747"/>
    <mergeCell ref="I747:J747"/>
    <mergeCell ref="L747:M747"/>
    <mergeCell ref="B748:C748"/>
    <mergeCell ref="E748:F748"/>
    <mergeCell ref="I748:J748"/>
    <mergeCell ref="L748:M748"/>
    <mergeCell ref="B199:M201"/>
    <mergeCell ref="D202:K203"/>
    <mergeCell ref="D204:K205"/>
    <mergeCell ref="D206:K207"/>
    <mergeCell ref="D208:K209"/>
    <mergeCell ref="H169:M170"/>
    <mergeCell ref="H171:M172"/>
    <mergeCell ref="B175:M175"/>
    <mergeCell ref="B176:M177"/>
    <mergeCell ref="B228:M234"/>
    <mergeCell ref="B263:M264"/>
    <mergeCell ref="H265:M265"/>
    <mergeCell ref="B80:M84"/>
    <mergeCell ref="B966:L966"/>
    <mergeCell ref="I755:J755"/>
    <mergeCell ref="L755:M755"/>
    <mergeCell ref="B756:C756"/>
    <mergeCell ref="E756:F756"/>
    <mergeCell ref="I756:J756"/>
    <mergeCell ref="L756:M756"/>
    <mergeCell ref="B554:L554"/>
    <mergeCell ref="E754:F754"/>
    <mergeCell ref="I754:J754"/>
    <mergeCell ref="L754:M754"/>
    <mergeCell ref="B772:M776"/>
    <mergeCell ref="B815:F819"/>
    <mergeCell ref="I815:M819"/>
    <mergeCell ref="G817:H819"/>
    <mergeCell ref="B811:M813"/>
    <mergeCell ref="B743:M745"/>
    <mergeCell ref="B778:L778"/>
    <mergeCell ref="E752:F752"/>
    <mergeCell ref="B164:M167"/>
    <mergeCell ref="B169:G170"/>
    <mergeCell ref="D220:K221"/>
    <mergeCell ref="B251:M252"/>
    <mergeCell ref="B1002:M1003"/>
    <mergeCell ref="E1009:J1009"/>
    <mergeCell ref="B825:L825"/>
    <mergeCell ref="B872:L872"/>
    <mergeCell ref="B750:C750"/>
    <mergeCell ref="E750:F750"/>
    <mergeCell ref="E759:F759"/>
    <mergeCell ref="B160:M163"/>
    <mergeCell ref="B121:L121"/>
    <mergeCell ref="B158:L158"/>
    <mergeCell ref="H173:M173"/>
    <mergeCell ref="B266:M267"/>
    <mergeCell ref="B180:M182"/>
    <mergeCell ref="C268:L270"/>
    <mergeCell ref="B268:B270"/>
    <mergeCell ref="M268:M270"/>
    <mergeCell ref="B254:M255"/>
    <mergeCell ref="H256:M256"/>
    <mergeCell ref="B257:M258"/>
    <mergeCell ref="H259:M259"/>
    <mergeCell ref="H244:M244"/>
    <mergeCell ref="B245:M246"/>
    <mergeCell ref="D218:K219"/>
    <mergeCell ref="H262:M262"/>
    <mergeCell ref="B366:L366"/>
    <mergeCell ref="B413:L413"/>
    <mergeCell ref="B601:L601"/>
    <mergeCell ref="B647:L647"/>
    <mergeCell ref="B694:L694"/>
    <mergeCell ref="B741:L741"/>
    <mergeCell ref="I751:J751"/>
    <mergeCell ref="B1473:M1476"/>
    <mergeCell ref="G1102:M1104"/>
    <mergeCell ref="I1443:M1446"/>
    <mergeCell ref="I1447:M1449"/>
    <mergeCell ref="I1452:M1455"/>
    <mergeCell ref="I1456:M1459"/>
    <mergeCell ref="I1460:M1463"/>
    <mergeCell ref="B1472:L1472"/>
    <mergeCell ref="B751:C751"/>
    <mergeCell ref="I750:J750"/>
    <mergeCell ref="L750:M750"/>
    <mergeCell ref="E1021:J1021"/>
    <mergeCell ref="E1025:J1025"/>
    <mergeCell ref="E1029:J1029"/>
    <mergeCell ref="E1033:J1033"/>
    <mergeCell ref="E1037:J1037"/>
    <mergeCell ref="B1001:M1001"/>
    <mergeCell ref="B1509:M1514"/>
    <mergeCell ref="B1506:H1507"/>
    <mergeCell ref="B1502:H1503"/>
    <mergeCell ref="B1504:H1505"/>
    <mergeCell ref="I1502:M1503"/>
    <mergeCell ref="I1504:M1505"/>
    <mergeCell ref="C1484:M1486"/>
    <mergeCell ref="C1487:M1489"/>
    <mergeCell ref="C1491:M1493"/>
    <mergeCell ref="C1494:M1496"/>
    <mergeCell ref="C1497:M1499"/>
    <mergeCell ref="B1516:D1516"/>
    <mergeCell ref="B1000:M1000"/>
    <mergeCell ref="B1044:L1044"/>
    <mergeCell ref="B1076:L1076"/>
    <mergeCell ref="B1113:L1113"/>
    <mergeCell ref="B1151:K1151"/>
    <mergeCell ref="B1191:L1191"/>
    <mergeCell ref="B1238:J1238"/>
    <mergeCell ref="B1285:L1285"/>
    <mergeCell ref="B1331:K1331"/>
    <mergeCell ref="B1477:M1480"/>
    <mergeCell ref="I1506:M1507"/>
    <mergeCell ref="C1481:M1483"/>
    <mergeCell ref="B1137:E1137"/>
    <mergeCell ref="F1137:I1137"/>
    <mergeCell ref="J1137:M1137"/>
    <mergeCell ref="I1464:M1467"/>
    <mergeCell ref="I1468:M1470"/>
    <mergeCell ref="I1345:M1348"/>
    <mergeCell ref="I1349:M1352"/>
    <mergeCell ref="I1353:M1355"/>
    <mergeCell ref="I1358:M1361"/>
    <mergeCell ref="B1129:C1129"/>
    <mergeCell ref="I1435:M1438"/>
  </mergeCells>
  <phoneticPr fontId="144" type="noConversion"/>
  <conditionalFormatting sqref="B66">
    <cfRule type="containsText" dxfId="127" priority="180" operator="containsText" text="INSTRUCTIONS:">
      <formula>NOT(ISERROR(SEARCH("INSTRUCTIONS:",B66)))</formula>
    </cfRule>
  </conditionalFormatting>
  <conditionalFormatting sqref="E63:M64">
    <cfRule type="containsText" dxfId="126" priority="178" operator="containsText" text="Mouses over">
      <formula>NOT(ISERROR(SEARCH("Mouses over",E63)))</formula>
    </cfRule>
  </conditionalFormatting>
  <conditionalFormatting sqref="B68:M73">
    <cfRule type="containsText" dxfId="125" priority="177" operator="containsText" text="interactive">
      <formula>NOT(ISERROR(SEARCH("interactive",B68)))</formula>
    </cfRule>
  </conditionalFormatting>
  <conditionalFormatting sqref="B74:M79">
    <cfRule type="containsText" dxfId="124" priority="176" operator="containsText" text="&quot;I&quot;">
      <formula>NOT(ISERROR(SEARCH("""I""",B74)))</formula>
    </cfRule>
  </conditionalFormatting>
  <conditionalFormatting sqref="B80:M84">
    <cfRule type="containsText" dxfId="123" priority="175" operator="containsText" text="Remember, ">
      <formula>NOT(ISERROR(SEARCH("Remember, ",B80)))</formula>
    </cfRule>
  </conditionalFormatting>
  <conditionalFormatting sqref="C247:H247 B245 C250:H250 B248 C253:H253 B251 C256:H256 B254 C259:H259 B257 C262:H262 B260 C265:H265 B263 C268 B266">
    <cfRule type="containsText" dxfId="122" priority="174" operator="containsText" text="ITEMS">
      <formula>NOT(ISERROR(SEARCH("ITEMS",B245)))</formula>
    </cfRule>
  </conditionalFormatting>
  <conditionalFormatting sqref="B271:M271 C268">
    <cfRule type="containsText" dxfId="121" priority="164" operator="containsText" text="ITEMS">
      <formula>NOT(ISERROR(SEARCH("ITEMS",B268)))</formula>
    </cfRule>
  </conditionalFormatting>
  <conditionalFormatting sqref="C268">
    <cfRule type="containsText" dxfId="120" priority="163" operator="containsText" text="You show">
      <formula>NOT(ISERROR(SEARCH("You show",C268)))</formula>
    </cfRule>
  </conditionalFormatting>
  <conditionalFormatting sqref="B756:C756">
    <cfRule type="cellIs" dxfId="119" priority="158" operator="between">
      <formula>0</formula>
      <formula>0.11</formula>
    </cfRule>
  </conditionalFormatting>
  <conditionalFormatting sqref="B752:C752">
    <cfRule type="cellIs" dxfId="118" priority="157" operator="between">
      <formula>0.4</formula>
      <formula>0.51</formula>
    </cfRule>
  </conditionalFormatting>
  <conditionalFormatting sqref="B753:C753">
    <cfRule type="cellIs" dxfId="117" priority="156" operator="between">
      <formula>0.3</formula>
      <formula>0.41</formula>
    </cfRule>
  </conditionalFormatting>
  <conditionalFormatting sqref="B754:C754">
    <cfRule type="cellIs" dxfId="116" priority="155" operator="between">
      <formula>0.2</formula>
      <formula>0.31</formula>
    </cfRule>
  </conditionalFormatting>
  <conditionalFormatting sqref="B755:C755">
    <cfRule type="cellIs" dxfId="115" priority="154" operator="between">
      <formula>0.1</formula>
      <formula>0.21</formula>
    </cfRule>
  </conditionalFormatting>
  <conditionalFormatting sqref="B751:C751">
    <cfRule type="cellIs" dxfId="114" priority="153" operator="between">
      <formula>0.5</formula>
      <formula>0.61</formula>
    </cfRule>
  </conditionalFormatting>
  <conditionalFormatting sqref="B750:C750">
    <cfRule type="cellIs" dxfId="113" priority="152" operator="between">
      <formula>0.6</formula>
      <formula>0.71</formula>
    </cfRule>
  </conditionalFormatting>
  <conditionalFormatting sqref="B749:C749">
    <cfRule type="cellIs" dxfId="112" priority="151" operator="between">
      <formula>0.7</formula>
      <formula>0.81</formula>
    </cfRule>
  </conditionalFormatting>
  <conditionalFormatting sqref="B748:C748">
    <cfRule type="cellIs" dxfId="111" priority="150" operator="between">
      <formula>0.8</formula>
      <formula>0.91</formula>
    </cfRule>
  </conditionalFormatting>
  <conditionalFormatting sqref="B747:C747">
    <cfRule type="cellIs" dxfId="110" priority="149" operator="between">
      <formula>0.9</formula>
      <formula>1.01</formula>
    </cfRule>
  </conditionalFormatting>
  <conditionalFormatting sqref="I749:J750">
    <cfRule type="cellIs" dxfId="109" priority="147" operator="between">
      <formula>0.7</formula>
      <formula>0.81</formula>
    </cfRule>
  </conditionalFormatting>
  <conditionalFormatting sqref="I756:J756">
    <cfRule type="cellIs" dxfId="108" priority="139" operator="between">
      <formula>0</formula>
      <formula>0.11</formula>
    </cfRule>
  </conditionalFormatting>
  <conditionalFormatting sqref="E747:F747">
    <cfRule type="cellIs" dxfId="107" priority="138" operator="between">
      <formula>0.9</formula>
      <formula>1.01</formula>
    </cfRule>
  </conditionalFormatting>
  <conditionalFormatting sqref="E748:F748">
    <cfRule type="cellIs" dxfId="106" priority="137" operator="between">
      <formula>0.8</formula>
      <formula>0.91</formula>
    </cfRule>
  </conditionalFormatting>
  <conditionalFormatting sqref="E749:F749">
    <cfRule type="cellIs" dxfId="105" priority="136" operator="between">
      <formula>0.8</formula>
      <formula>0.91</formula>
    </cfRule>
  </conditionalFormatting>
  <conditionalFormatting sqref="E751:F751">
    <cfRule type="cellIs" dxfId="104" priority="135" operator="between">
      <formula>0.6</formula>
      <formula>0.71</formula>
    </cfRule>
  </conditionalFormatting>
  <conditionalFormatting sqref="E752:F752">
    <cfRule type="cellIs" dxfId="103" priority="134" operator="between">
      <formula>0.4</formula>
      <formula>0.51</formula>
    </cfRule>
  </conditionalFormatting>
  <conditionalFormatting sqref="E753:F753">
    <cfRule type="cellIs" dxfId="102" priority="133" operator="between">
      <formula>0.3</formula>
      <formula>0.41</formula>
    </cfRule>
  </conditionalFormatting>
  <conditionalFormatting sqref="E754:F754">
    <cfRule type="cellIs" dxfId="101" priority="132" operator="between">
      <formula>0.2</formula>
      <formula>0.31</formula>
    </cfRule>
  </conditionalFormatting>
  <conditionalFormatting sqref="E755:F755">
    <cfRule type="cellIs" dxfId="100" priority="131" operator="between">
      <formula>0.1</formula>
      <formula>0.21</formula>
    </cfRule>
  </conditionalFormatting>
  <conditionalFormatting sqref="E756:F756">
    <cfRule type="cellIs" dxfId="99" priority="130" operator="between">
      <formula>0</formula>
      <formula>0.11</formula>
    </cfRule>
  </conditionalFormatting>
  <conditionalFormatting sqref="E750:F750">
    <cfRule type="cellIs" dxfId="98" priority="129" operator="between">
      <formula>0.7</formula>
      <formula>0.81</formula>
    </cfRule>
  </conditionalFormatting>
  <conditionalFormatting sqref="L747:M747">
    <cfRule type="cellIs" dxfId="97" priority="128" operator="between">
      <formula>0.9</formula>
      <formula>1.01</formula>
    </cfRule>
  </conditionalFormatting>
  <conditionalFormatting sqref="L748:M748">
    <cfRule type="cellIs" dxfId="96" priority="127" operator="between">
      <formula>0.8</formula>
      <formula>0.91</formula>
    </cfRule>
  </conditionalFormatting>
  <conditionalFormatting sqref="L749:M749">
    <cfRule type="cellIs" dxfId="95" priority="126" operator="between">
      <formula>0.8</formula>
      <formula>0.91</formula>
    </cfRule>
  </conditionalFormatting>
  <conditionalFormatting sqref="L750:M750">
    <cfRule type="cellIs" dxfId="94" priority="125" operator="between">
      <formula>0.7</formula>
      <formula>0.81</formula>
    </cfRule>
  </conditionalFormatting>
  <conditionalFormatting sqref="L752:M752">
    <cfRule type="cellIs" dxfId="93" priority="124" operator="between">
      <formula>0.4</formula>
      <formula>0.51</formula>
    </cfRule>
  </conditionalFormatting>
  <conditionalFormatting sqref="L751:M751">
    <cfRule type="cellIs" dxfId="92" priority="123" operator="between">
      <formula>0.6</formula>
      <formula>0.71</formula>
    </cfRule>
  </conditionalFormatting>
  <conditionalFormatting sqref="L753:M753">
    <cfRule type="cellIs" dxfId="91" priority="122" operator="between">
      <formula>0.3</formula>
      <formula>0.41</formula>
    </cfRule>
  </conditionalFormatting>
  <conditionalFormatting sqref="L754:M754">
    <cfRule type="cellIs" dxfId="90" priority="121" operator="between">
      <formula>0.2</formula>
      <formula>0.31</formula>
    </cfRule>
  </conditionalFormatting>
  <conditionalFormatting sqref="L755:M755">
    <cfRule type="cellIs" dxfId="89" priority="120" operator="between">
      <formula>0.1</formula>
      <formula>0.21</formula>
    </cfRule>
  </conditionalFormatting>
  <conditionalFormatting sqref="L756:M756">
    <cfRule type="cellIs" dxfId="88" priority="119" operator="between">
      <formula>0</formula>
      <formula>0.11</formula>
    </cfRule>
  </conditionalFormatting>
  <conditionalFormatting sqref="I751:J751">
    <cfRule type="cellIs" dxfId="87" priority="64" operator="between">
      <formula>0.5</formula>
      <formula>0.61</formula>
    </cfRule>
  </conditionalFormatting>
  <conditionalFormatting sqref="I752:J752">
    <cfRule type="cellIs" dxfId="86" priority="63" operator="between">
      <formula>0.4</formula>
      <formula>0.51</formula>
    </cfRule>
  </conditionalFormatting>
  <conditionalFormatting sqref="I753:J753">
    <cfRule type="cellIs" dxfId="85" priority="62" operator="between">
      <formula>0.3</formula>
      <formula>0.41</formula>
    </cfRule>
  </conditionalFormatting>
  <conditionalFormatting sqref="I754:J754">
    <cfRule type="cellIs" dxfId="84" priority="61" operator="between">
      <formula>0.2</formula>
      <formula>0.31</formula>
    </cfRule>
  </conditionalFormatting>
  <conditionalFormatting sqref="I755:J755">
    <cfRule type="cellIs" dxfId="83" priority="60" operator="between">
      <formula>0.1</formula>
      <formula>0.21</formula>
    </cfRule>
  </conditionalFormatting>
  <conditionalFormatting sqref="I748:J748">
    <cfRule type="cellIs" dxfId="82" priority="59" operator="between">
      <formula>0.8</formula>
      <formula>0.91</formula>
    </cfRule>
  </conditionalFormatting>
  <conditionalFormatting sqref="I747:J747">
    <cfRule type="cellIs" dxfId="81" priority="58" operator="between">
      <formula>0.9</formula>
      <formula>1.01</formula>
    </cfRule>
  </conditionalFormatting>
  <conditionalFormatting sqref="E612:M613">
    <cfRule type="containsText" dxfId="80" priority="55" operator="containsText" text="bad">
      <formula>NOT(ISERROR(SEARCH("bad",E612)))</formula>
    </cfRule>
    <cfRule type="containsText" dxfId="79" priority="56" operator="containsText" text="good">
      <formula>NOT(ISERROR(SEARCH("good",E612)))</formula>
    </cfRule>
    <cfRule type="containsText" dxfId="78" priority="57" operator="containsText" text="Mouses over">
      <formula>NOT(ISERROR(SEARCH("Mouses over",E612)))</formula>
    </cfRule>
  </conditionalFormatting>
  <conditionalFormatting sqref="B1324">
    <cfRule type="containsText" dxfId="77" priority="54" operator="containsText" text="led">
      <formula>NOT(ISERROR(SEARCH("led",B1324)))</formula>
    </cfRule>
  </conditionalFormatting>
  <conditionalFormatting sqref="B1418">
    <cfRule type="containsText" dxfId="76" priority="52" operator="containsText" text="led">
      <formula>NOT(ISERROR(SEARCH("led",B1418)))</formula>
    </cfRule>
  </conditionalFormatting>
  <conditionalFormatting sqref="B1509">
    <cfRule type="containsText" dxfId="75" priority="51" operator="containsText" text="led">
      <formula>NOT(ISERROR(SEARCH("led",B1509)))</formula>
    </cfRule>
  </conditionalFormatting>
  <conditionalFormatting sqref="B1106:M1111">
    <cfRule type="containsText" dxfId="74" priority="50" operator="containsText" text="DROPDOWN">
      <formula>NOT(ISERROR(SEARCH("DROPDOWN",B1106)))</formula>
    </cfRule>
  </conditionalFormatting>
  <conditionalFormatting sqref="B981:M983">
    <cfRule type="containsText" dxfId="73" priority="49" operator="containsText" text="SELECT">
      <formula>NOT(ISERROR(SEARCH("SELECT",B981)))</formula>
    </cfRule>
  </conditionalFormatting>
  <conditionalFormatting sqref="B996:M998">
    <cfRule type="containsText" dxfId="72" priority="48" operator="containsText" text="Challenge">
      <formula>NOT(ISERROR(SEARCH("Challenge",B996)))</formula>
    </cfRule>
  </conditionalFormatting>
  <conditionalFormatting sqref="B1233:M1235">
    <cfRule type="cellIs" dxfId="71" priority="47" operator="equal">
      <formula>0</formula>
    </cfRule>
  </conditionalFormatting>
  <dataValidations count="27">
    <dataValidation type="list" allowBlank="1" showInputMessage="1" showErrorMessage="1" sqref="E129:H130" xr:uid="{00000000-0002-0000-0000-000000000000}">
      <formula1>$BM$146:$BM$153</formula1>
    </dataValidation>
    <dataValidation type="list" allowBlank="1" showInputMessage="1" showErrorMessage="1" sqref="E63:M64" xr:uid="{00000000-0002-0000-0000-000001000000}">
      <formula1>$BF$74:$BF$76</formula1>
    </dataValidation>
    <dataValidation type="list" allowBlank="1" showInputMessage="1" showErrorMessage="1" sqref="D202:K203" xr:uid="{00000000-0002-0000-0000-000002000000}">
      <formula1>$BW$203:$BW$204</formula1>
    </dataValidation>
    <dataValidation type="list" allowBlank="1" showInputMessage="1" showErrorMessage="1" sqref="D204:K205" xr:uid="{00000000-0002-0000-0000-000003000000}">
      <formula1>$BW$205:$BW$206</formula1>
    </dataValidation>
    <dataValidation type="list" allowBlank="1" showInputMessage="1" showErrorMessage="1" sqref="D206:K207" xr:uid="{00000000-0002-0000-0000-000004000000}">
      <formula1>$BW$207:$BW$208</formula1>
    </dataValidation>
    <dataValidation type="list" allowBlank="1" showInputMessage="1" showErrorMessage="1" sqref="D208:K209" xr:uid="{00000000-0002-0000-0000-000005000000}">
      <formula1>$BW$209:$BW$210</formula1>
    </dataValidation>
    <dataValidation type="list" allowBlank="1" showInputMessage="1" showErrorMessage="1" sqref="D210:K211" xr:uid="{00000000-0002-0000-0000-000006000000}">
      <formula1>$BW$211:$BW$212</formula1>
    </dataValidation>
    <dataValidation type="list" allowBlank="1" showInputMessage="1" showErrorMessage="1" sqref="D212:K213" xr:uid="{00000000-0002-0000-0000-000007000000}">
      <formula1>$BW$213:$BW$214</formula1>
    </dataValidation>
    <dataValidation type="list" allowBlank="1" showInputMessage="1" showErrorMessage="1" sqref="D214:K215" xr:uid="{00000000-0002-0000-0000-000008000000}">
      <formula1>$BW$215:$BW$216</formula1>
    </dataValidation>
    <dataValidation type="list" allowBlank="1" showInputMessage="1" showErrorMessage="1" sqref="D216:K217" xr:uid="{00000000-0002-0000-0000-000009000000}">
      <formula1>$BW$217:$BW$218</formula1>
    </dataValidation>
    <dataValidation type="list" allowBlank="1" showInputMessage="1" showErrorMessage="1" sqref="D218:K219" xr:uid="{00000000-0002-0000-0000-00000A000000}">
      <formula1>$BW$219:$BW$220</formula1>
    </dataValidation>
    <dataValidation type="list" allowBlank="1" showInputMessage="1" showErrorMessage="1" sqref="D220:K221" xr:uid="{00000000-0002-0000-0000-00000B000000}">
      <formula1>$BW$221:$BW$222</formula1>
    </dataValidation>
    <dataValidation type="list" allowBlank="1" showInputMessage="1" showErrorMessage="1" sqref="H262 H265 H259 H256 H253 H250 H247 H244" xr:uid="{00000000-0002-0000-0000-00000C000000}">
      <formula1>$BT$236:$BT$240</formula1>
    </dataValidation>
    <dataValidation type="list" allowBlank="1" showInputMessage="1" showErrorMessage="1" sqref="E612:M613" xr:uid="{00000000-0002-0000-0000-00000D000000}">
      <formula1>$BE$606:$BE$607</formula1>
    </dataValidation>
    <dataValidation type="list" allowBlank="1" showInputMessage="1" showErrorMessage="1" sqref="I1317:M1322 I1502:M1507 I1411:M1416" xr:uid="{00000000-0002-0000-0000-00000E000000}">
      <formula1>$BE$1301:$BE$1305</formula1>
    </dataValidation>
    <dataValidation type="list" allowBlank="1" showInputMessage="1" showErrorMessage="1" sqref="G1102:M1104" xr:uid="{00000000-0002-0000-0000-00000F000000}">
      <formula1>$BB$1096:$BB$1102</formula1>
    </dataValidation>
    <dataValidation type="list" allowBlank="1" showInputMessage="1" showErrorMessage="1" sqref="H1139:M1140" xr:uid="{00000000-0002-0000-0000-000010000000}">
      <formula1>$BB$1141:$BB$1144</formula1>
    </dataValidation>
    <dataValidation type="list" allowBlank="1" showInputMessage="1" showErrorMessage="1" sqref="H1141:M1142" xr:uid="{00000000-0002-0000-0000-000011000000}">
      <formula1>$BE$1141:$BE$1145</formula1>
    </dataValidation>
    <dataValidation type="list" allowBlank="1" showInputMessage="1" showErrorMessage="1" sqref="G1176:M1177" xr:uid="{00000000-0002-0000-0000-000012000000}">
      <formula1>$BB$1173:$BB$1177</formula1>
    </dataValidation>
    <dataValidation type="list" allowBlank="1" showInputMessage="1" showErrorMessage="1" sqref="G978:M979" xr:uid="{00000000-0002-0000-0000-000013000000}">
      <formula1>$BB$971:$BB$975</formula1>
    </dataValidation>
    <dataValidation type="list" allowBlank="1" showInputMessage="1" showErrorMessage="1" sqref="M761:M770 F761:F770" xr:uid="{00000000-0002-0000-0000-000014000000}">
      <formula1>$BP$234:$BP$235</formula1>
    </dataValidation>
    <dataValidation type="list" allowBlank="1" showInputMessage="1" showErrorMessage="1" sqref="E759:F759 L759:M759" xr:uid="{00000000-0002-0000-0000-000015000000}">
      <formula1>$BR$234:$BR$235</formula1>
    </dataValidation>
    <dataValidation type="list" allowBlank="1" showInputMessage="1" showErrorMessage="1" sqref="C1047:L1047" xr:uid="{00000000-0002-0000-0000-000018000000}">
      <formula1>$BB$1047:$BB$1054</formula1>
    </dataValidation>
    <dataValidation type="list" allowBlank="1" showInputMessage="1" showErrorMessage="1" sqref="B173:G173" xr:uid="{00000000-0002-0000-0000-000019000000}">
      <formula1>$BB$101:$BB$116</formula1>
    </dataValidation>
    <dataValidation type="list" allowBlank="1" showInputMessage="1" showErrorMessage="1" sqref="H173:M173" xr:uid="{00000000-0002-0000-0000-00001A000000}">
      <formula1>$BC$101:$BC$116</formula1>
    </dataValidation>
    <dataValidation type="list" allowBlank="1" showInputMessage="1" showErrorMessage="1" sqref="B176:M177" xr:uid="{00000000-0002-0000-0000-00001B000000}">
      <formula1>$BL$101:$BL$102</formula1>
    </dataValidation>
    <dataValidation type="list" errorStyle="information" allowBlank="1" showInputMessage="1" showErrorMessage="1" sqref="B1233:M1235" xr:uid="{00000000-0002-0000-0000-00001C000000}">
      <formula1>$BB$1047:$BB$1054</formula1>
    </dataValidation>
  </dataValidations>
  <hyperlinks>
    <hyperlink ref="B1317:H1318" location="HP!B1194" tooltip="CLICK TO SELECT ISSUE ABOVE" display="HP!B1194" xr:uid="{00000000-0004-0000-0000-000000000000}"/>
    <hyperlink ref="B1319:H1320" location="HP!B1194" tooltip="CLICK TO SELECT ISSUE ABOVE" display="HP!B1194" xr:uid="{00000000-0004-0000-0000-000001000000}"/>
    <hyperlink ref="B1321:H1322" location="HP!B1194" tooltip="CLICK TO SELECT ISSUE ABOVE" display="HP!B1194" xr:uid="{00000000-0004-0000-0000-000002000000}"/>
    <hyperlink ref="B1411:H1412" location="HP!B1194" tooltip="CLICK TO CHANGE ISSUE" display="HP!B1194" xr:uid="{00000000-0004-0000-0000-000003000000}"/>
    <hyperlink ref="B1413:H1414" location="HP!B1194" tooltip="CLICK TO CHANGE ISSUE" display="HP!B1194" xr:uid="{00000000-0004-0000-0000-000004000000}"/>
    <hyperlink ref="B1415:H1416" location="HP!B1194" tooltip="CLICK TO CHANGE ISSUE" display="HP!B1194" xr:uid="{00000000-0004-0000-0000-000005000000}"/>
    <hyperlink ref="B1502:H1503" location="HP!B1194" tooltip="CLICK TO CHANGE POLITICAL ISSUE" display="HP!B1194" xr:uid="{00000000-0004-0000-0000-000006000000}"/>
    <hyperlink ref="B1504:H1505" location="HP!B1194" tooltip="CLICK TO CHANGE POLITICAL ISSUE" display="HP!B1194" xr:uid="{00000000-0004-0000-0000-000007000000}"/>
    <hyperlink ref="B1506:H1507" location="HP!B1194" tooltip="CLICK TO CHANGE POLITICAL ISSUE" display="HP!B1194" xr:uid="{00000000-0004-0000-0000-000008000000}"/>
    <hyperlink ref="G8" location="HP!A45:N88" tooltip="go to page 2: HARMONY POLITICS" display="HARMONY POLITICS" xr:uid="{00000000-0004-0000-0000-000009000000}"/>
    <hyperlink ref="L8" location="HP!E63" tooltip="Go to page 2 Interactive: Which do you think is more true?" display="Interactive" xr:uid="{00000000-0004-0000-0000-00000A000000}"/>
    <hyperlink ref="G7" location="HP!A1:N2" tooltip="go to top" display="HARMONY POLITICS" xr:uid="{00000000-0004-0000-0000-00000B000000}"/>
    <hyperlink ref="B89" location="HP!A1:N2" tooltip="Back to top" display="Understanding politics: It's about needs" xr:uid="{00000000-0004-0000-0000-00000C000000}"/>
    <hyperlink ref="A89" location="HP!A45:N46" tooltip="Previous page header" display="#" xr:uid="{00000000-0004-0000-0000-00000D000000}"/>
    <hyperlink ref="N89" location="HP!A121:N157" tooltip="Next page" display="$" xr:uid="{00000000-0004-0000-0000-00000E000000}"/>
    <hyperlink ref="L10" location="HP!E129" tooltip="go to page 4 Interactive: core need" display="Interactive" xr:uid="{00000000-0004-0000-0000-00000F000000}"/>
    <hyperlink ref="G9" location="HP!A89:N89" tooltip="go to page 3 header: Understanding politics, it's about needs" display="Understanding politics: It's about needs" xr:uid="{00000000-0004-0000-0000-000010000000}"/>
    <hyperlink ref="G10" location="HP!A121" tooltip="go to page 4 header: Your experience of needs" display="Your experience of needs" xr:uid="{00000000-0004-0000-0000-000011000000}"/>
    <hyperlink ref="G11" location="HP!A158:N158" tooltip="go to page 5 header: Your prioritizing needs (reason be damned)" display="Your prioritizing needs (reason be damned)" xr:uid="{00000000-0004-0000-0000-000012000000}"/>
    <hyperlink ref="G12" location="HP!A198:N198" tooltip="go to page 6 header: Your psychosocial orientation" display="Your psychosocial orientation" xr:uid="{00000000-0004-0000-0000-000013000000}"/>
    <hyperlink ref="G13" location="HP!A236:N236" tooltip="go to page 7 header: Correlating your political views" display="Correlating your political views" xr:uid="{00000000-0004-0000-0000-000014000000}"/>
    <hyperlink ref="L12" location="HP!D202" tooltip="go to page 6 Interactive: Psychosocial orientation" display="Interactive" xr:uid="{00000000-0004-0000-0000-000015000000}"/>
    <hyperlink ref="L11" location="HP!B173" tooltip="go to page 5 Interactive: your self-needs &amp; social-needs" display="Interactive" xr:uid="{00000000-0004-0000-0000-000016000000}"/>
    <hyperlink ref="L13" location="HP!H244" tooltip="go to page 7 Interactive: correlating your political views" display="Interactive" xr:uid="{00000000-0004-0000-0000-000017000000}"/>
    <hyperlink ref="M8" location="HP!A45:N88" tooltip="go to p. 2" display="HP!A45:N88" xr:uid="{00000000-0004-0000-0000-000018000000}"/>
    <hyperlink ref="M9" location="HP!A89:N120" tooltip="go to p. 3" display="HP!A89:N120" xr:uid="{00000000-0004-0000-0000-000019000000}"/>
    <hyperlink ref="B121" location="HP!A1:N2" tooltip="go to top" display="Your experience of needs" xr:uid="{00000000-0004-0000-0000-00001A000000}"/>
    <hyperlink ref="B158" location="HP!A1:N2" tooltip="go to top" display="Your prioritizing needs (reason be damned)" xr:uid="{00000000-0004-0000-0000-00001B000000}"/>
    <hyperlink ref="B198" location="HP!A1:N2" tooltip="go to top" display="Your psychosocial orientation" xr:uid="{00000000-0004-0000-0000-00001C000000}"/>
    <hyperlink ref="B236" location="HP!A1:N2" tooltip="go to top" display="Correlating your political views" xr:uid="{00000000-0004-0000-0000-00001D000000}"/>
    <hyperlink ref="B272" location="HP!A1:N2" tooltip="go to top" display="Your prioritizing psychosocial needs" xr:uid="{00000000-0004-0000-0000-00001E000000}"/>
    <hyperlink ref="B319" location="HP!A1:N2" tooltip="go to top" display="Needs first, reasons later" xr:uid="{00000000-0004-0000-0000-00001F000000}"/>
    <hyperlink ref="B413" location="HP!A1:N2" tooltip="go to top" display="We believe what we need to believe" xr:uid="{00000000-0004-0000-0000-000020000000}"/>
    <hyperlink ref="M14" location="HP!A272:N318" tooltip="go to p. 8" display="HP!A272:N318" xr:uid="{00000000-0004-0000-0000-000021000000}"/>
    <hyperlink ref="M10" location="HP!A121:N157" tooltip="go to p. 4" display="HP!A121:N157" xr:uid="{00000000-0004-0000-0000-000022000000}"/>
    <hyperlink ref="B1516" location="HP!A1:N2" tooltip="go to top" display="Takeaway" xr:uid="{00000000-0004-0000-0000-000023000000}"/>
    <hyperlink ref="B1472" location="HP!A1:N2" tooltip="go to top" display="Value framing (v. mutual hostilities)" xr:uid="{00000000-0004-0000-0000-000024000000}"/>
    <hyperlink ref="B1425" location="HP!A1:N2" tooltip="go to top" display="3. DEPOLARIZE" xr:uid="{00000000-0004-0000-0000-000025000000}"/>
    <hyperlink ref="B1378" location="HP!A1:N2" tooltip="go to top" display="Impact Engaging (v. normative alienation)" xr:uid="{00000000-0004-0000-0000-000026000000}"/>
    <hyperlink ref="B1331" location="HP!A1:N2" tooltip="go to top" display="2. DEALIENATE" xr:uid="{00000000-0004-0000-0000-000027000000}"/>
    <hyperlink ref="B1285" location="HP!A1:N2" tooltip="go to top" display="Relational knowing (v. relieve believe)" xr:uid="{00000000-0004-0000-0000-000028000000}"/>
    <hyperlink ref="B1238" location="HP!A1:N2" tooltip="go to top" display="1. DEGENERALIZE" xr:uid="{00000000-0004-0000-0000-000029000000}"/>
    <hyperlink ref="B1191" location="HP!A1:N2" tooltip="go to top" display="Harmonize diverse politicized needs" xr:uid="{00000000-0004-0000-0000-00002A000000}"/>
    <hyperlink ref="B1151" location="HP!A1:N2" tooltip="go to top" display="SWOT personalized" xr:uid="{00000000-0004-0000-0000-00002B000000}"/>
    <hyperlink ref="B1113" location="HP!A1:N2" tooltip="go to top" display="Lateral array" xr:uid="{00000000-0004-0000-0000-00002C000000}"/>
    <hyperlink ref="B1076" location="HP!A1:N2" tooltip="go to top" display="Harmony politics - mature responsiveness" xr:uid="{00000000-0004-0000-0000-00002D000000}"/>
    <hyperlink ref="B1044" location="HP!A1:N2" tooltip="go to top" display="Politics as usual - immature polarizing" xr:uid="{00000000-0004-0000-0000-00002E000000}"/>
    <hyperlink ref="B1000" location="HP!A1:N2" tooltip="go to top" display="Eight key issues to apply Harmony Politics" xr:uid="{00000000-0004-0000-0000-00002F000000}"/>
    <hyperlink ref="B966" location="HP!A1:N2" tooltip="go to top" display="Dissolving the pain of divisive tribal politics" xr:uid="{00000000-0004-0000-0000-000030000000}"/>
    <hyperlink ref="B919" location="HP!A1:N2" tooltip="go to top" display="Beyond Left and Right Populism" xr:uid="{00000000-0004-0000-0000-000031000000}"/>
    <hyperlink ref="B872" location="HP!A1:N2" tooltip="go to top" display="Wellness is psychosocial" xr:uid="{00000000-0004-0000-0000-000032000000}"/>
    <hyperlink ref="B825" location="HP!A1:N2" tooltip="go to top" display="Premature rush to fight" xr:uid="{00000000-0004-0000-0000-000033000000}"/>
    <hyperlink ref="B778" location="HP!A1:N2" tooltip="go to top" display="Keeping ourselves down" xr:uid="{00000000-0004-0000-0000-000034000000}"/>
    <hyperlink ref="B741" location="HP!A1:N2" tooltip="go to top" display="Populism: distrusting elite establishment" xr:uid="{00000000-0004-0000-0000-000035000000}"/>
    <hyperlink ref="B694" location="HP!A1:N2" tooltip="go to top" display="Political leadership or political elitism?" xr:uid="{00000000-0004-0000-0000-000036000000}"/>
    <hyperlink ref="B647" location="HP!A1:N2" tooltip="go to top" display="Psychosocial continuum" xr:uid="{00000000-0004-0000-0000-000037000000}"/>
    <hyperlink ref="B601" location="HP!A1:N2" tooltip="go to top" display="By the way…" xr:uid="{00000000-0004-0000-0000-000038000000}"/>
    <hyperlink ref="B554" location="HP!A1:N2" tooltip="go to top" display="Psychosocial orientation continuum" xr:uid="{00000000-0004-0000-0000-000039000000}"/>
    <hyperlink ref="B507" location="HP!A1:N2" tooltip="go to top" display="Call for empathy" xr:uid="{00000000-0004-0000-0000-00003A000000}"/>
    <hyperlink ref="B460" location="HP!A1:N2" tooltip="go to top" display="You disagree with their priority of needs?" xr:uid="{00000000-0004-0000-0000-00003B000000}"/>
    <hyperlink ref="B366" location="HP!A1:N2" tooltip="go to top" display="Oriented to prioritize your psychosocial needs" xr:uid="{00000000-0004-0000-0000-00003C000000}"/>
    <hyperlink ref="N1516" location="campaign!A1:AB2" tooltip="to next tab" display="&quot;" xr:uid="{00000000-0004-0000-0000-00003D000000}"/>
    <hyperlink ref="G14" location="HP!A272:N272" tooltip="go to p. 8 header: Your prioritizing psychosocial needs" display="Your prioritizing psychosocial needs" xr:uid="{00000000-0004-0000-0000-000048000000}"/>
    <hyperlink ref="M15" location="HP!A319:N365" tooltip="go to p. 9" display="HP!A319:N365" xr:uid="{00000000-0004-0000-0000-000049000000}"/>
    <hyperlink ref="M11" location="HP!A158:N197" tooltip="go to p. 5" display="HP!A158:N197" xr:uid="{00000000-0004-0000-0000-00004A000000}"/>
    <hyperlink ref="M12" location="HP!A198:N235" tooltip="go to p. 6" display="HP!A198:N235" xr:uid="{00000000-0004-0000-0000-00004B000000}"/>
    <hyperlink ref="M13" location="HP!A236:N271" tooltip="go to p. 7" display="HP!A236:N271" xr:uid="{00000000-0004-0000-0000-00004C000000}"/>
    <hyperlink ref="M16" location="HP!A366:N412" tooltip="go to p. 10" display="HP!A366:N412" xr:uid="{00000000-0004-0000-0000-00004D000000}"/>
    <hyperlink ref="M17" location="HP!A413:N459" tooltip="go to p. 11" display="HP!A413:N459" xr:uid="{00000000-0004-0000-0000-00004E000000}"/>
    <hyperlink ref="M18" location="HP!A460:N506" tooltip="go to p. 12" display="HP!A460:N506" xr:uid="{00000000-0004-0000-0000-00004F000000}"/>
    <hyperlink ref="M19" location="HP!A507:N553" tooltip="go to p. 13" display="HP!A507:N553" xr:uid="{00000000-0004-0000-0000-000050000000}"/>
    <hyperlink ref="M20" location="HP!A554:N600" tooltip="go to p. 14" display="HP!A554:N600" xr:uid="{00000000-0004-0000-0000-000051000000}"/>
    <hyperlink ref="M21" location="HP!A601:N646" tooltip="go to p. 15" display="HP!A601:N646" xr:uid="{00000000-0004-0000-0000-000052000000}"/>
    <hyperlink ref="M22" location="HP!A647:N693" tooltip="go to p. 16" display="HP!A647:N693" xr:uid="{00000000-0004-0000-0000-000053000000}"/>
    <hyperlink ref="M23" location="HP!A694:N740" tooltip="go to p. 17" display="HP!A694:N740" xr:uid="{00000000-0004-0000-0000-000054000000}"/>
    <hyperlink ref="M24" location="HP!A741:N777" tooltip="go to p. 18" display="HP!A741:N777" xr:uid="{00000000-0004-0000-0000-000055000000}"/>
    <hyperlink ref="M25" location="HP!A778:N824" tooltip="go to p. 19" display="HP!A778:N824" xr:uid="{00000000-0004-0000-0000-000056000000}"/>
    <hyperlink ref="M26" location="HP!A825:N871" tooltip="go to p. 20" display="HP!A825:N871" xr:uid="{00000000-0004-0000-0000-000057000000}"/>
    <hyperlink ref="M27" location="HP!A872:N918" tooltip="go to p. 21" display="HP!A872:N918" xr:uid="{00000000-0004-0000-0000-000058000000}"/>
    <hyperlink ref="M28" location="HP!A919:N965" tooltip="go to p. 22" display="HP!A919:N965" xr:uid="{00000000-0004-0000-0000-000059000000}"/>
    <hyperlink ref="M29" location="HP!A966:N999" tooltip="go to p. 23" display="HP!A966:N999" xr:uid="{00000000-0004-0000-0000-00005A000000}"/>
    <hyperlink ref="M30" location="HP!A1000:N1043" tooltip="go to p. 24" display="HP!A1000:N1043" xr:uid="{00000000-0004-0000-0000-00005B000000}"/>
    <hyperlink ref="M31" location="HP!A1044:N1075" tooltip="go to p. 25" display="HP!A1044:N1075" xr:uid="{00000000-0004-0000-0000-00005C000000}"/>
    <hyperlink ref="M32" location="HP!A1076:N1112" tooltip="go to p. 26" display="HP!A1076:N1112" xr:uid="{00000000-0004-0000-0000-00005D000000}"/>
    <hyperlink ref="M33" location="HP!A1113:N1150" tooltip="go to p. 27" display="HP!A1113:N1150" xr:uid="{00000000-0004-0000-0000-00005E000000}"/>
    <hyperlink ref="M34" location="HP!A1151:N1190" tooltip="go to p. 28" display="HP!A1151:N1190" xr:uid="{00000000-0004-0000-0000-00005F000000}"/>
    <hyperlink ref="M35" location="HP!A1191:N1237" tooltip="go to p. 29" display="HP!A1191:N1237" xr:uid="{00000000-0004-0000-0000-000060000000}"/>
    <hyperlink ref="M36" location="HP!A1238:N1284" tooltip="go to p. 30" display="HP!A1238:N1284" xr:uid="{00000000-0004-0000-0000-000061000000}"/>
    <hyperlink ref="M37" location="HP!A1285:N1330" tooltip="go to p. 31" display="HP!A1285:N1330" xr:uid="{00000000-0004-0000-0000-000062000000}"/>
    <hyperlink ref="M38" location="HP!A1331:N1377" tooltip="go to p. 32" display="HP!A1331:N1377" xr:uid="{00000000-0004-0000-0000-000063000000}"/>
    <hyperlink ref="M39" location="HP!A1378:N1424" tooltip="go to p. 33" display="HP!A1378:N1424" xr:uid="{00000000-0004-0000-0000-000064000000}"/>
    <hyperlink ref="M40" location="HP!A1425:N1471" tooltip="go to p. 34" display="HP!A1425:N1471" xr:uid="{00000000-0004-0000-0000-000065000000}"/>
    <hyperlink ref="M41" location="HP!A1472:N1515" tooltip="go to p. 35" display="HP!A1472:N1515" xr:uid="{00000000-0004-0000-0000-000066000000}"/>
    <hyperlink ref="M42" location="HP!A1516:N1546" tooltip="go to p. 36" display="HP!A1516:N1546" xr:uid="{00000000-0004-0000-0000-000067000000}"/>
    <hyperlink ref="A45:N46" location="HP!A1:N1" tooltip="go to top" display="Harmony Politics" xr:uid="{00000000-0004-0000-0000-000068000000}"/>
    <hyperlink ref="G15:K15" location="HP!A319:N319" tooltip="go to p. 9 header: Needs first, reasons later" display="Needs first, reasons later" xr:uid="{00000000-0004-0000-0000-000069000000}"/>
    <hyperlink ref="G16:K16" location="HP!A366:N366" tooltip="go to p. 10 header: Oriented to prioritize your psychosocial needs" display="Oriented to prioritize your psychosocial needs" xr:uid="{00000000-0004-0000-0000-00006A000000}"/>
    <hyperlink ref="G17:K17" location="HP!A413:N413" tooltip="go to p. 11 header: We believe what we need to believe" display="We believe what we need to believe" xr:uid="{00000000-0004-0000-0000-00006B000000}"/>
    <hyperlink ref="G18:K18" location="HP!A460:N460" tooltip="go to p.12 header: You disagree with their priority of needs?" display="You disagree with their priority of needs?" xr:uid="{00000000-0004-0000-0000-00006C000000}"/>
    <hyperlink ref="G19:K19" location="HP!A507:N507" tooltip="go to p. 13 header: Call for empathy" display="Call for empathy" xr:uid="{00000000-0004-0000-0000-00006D000000}"/>
    <hyperlink ref="G20:K20" location="HP!A554:N554" tooltip="go to p. 14 header: Psyhosocial orientation continuum" display="Psychosocial orientation continuum" xr:uid="{00000000-0004-0000-0000-00006E000000}"/>
    <hyperlink ref="G21:K21" location="HP!A601:N601" tooltip="go to p. 15 header: By the way..." display="By the way…" xr:uid="{00000000-0004-0000-0000-00006F000000}"/>
    <hyperlink ref="G22:K22" location="HP!A647:N647" tooltip="go to p. 16 header: Psychosocial continuum" display="Psychosocial continuum" xr:uid="{00000000-0004-0000-0000-000070000000}"/>
    <hyperlink ref="L21" location="HP!E612" tooltip="go to p. 15 interactive: Is pain good or bad?" display="Interactive" xr:uid="{00000000-0004-0000-0000-000071000000}"/>
    <hyperlink ref="G23:K23" location="HP!A694:N694" tooltip="go to p. 17 header: Political leadership or political elitism?" display="Political leadership or political elitism?" xr:uid="{00000000-0004-0000-0000-000072000000}"/>
    <hyperlink ref="G24:K24" location="HP!A741:N741" tooltip="go to p. 18 header: Populism: distrusting elite establishment" display="Populism: distrusting elite establishment" xr:uid="{00000000-0004-0000-0000-000073000000}"/>
    <hyperlink ref="G25:K25" location="HP!A778:N778" tooltip="go to p. 19 header: Keeping ourselves down" display="Keeping ourselves down" xr:uid="{00000000-0004-0000-0000-000074000000}"/>
    <hyperlink ref="G26:K26" location="HP!A825:N825" tooltip="go to p. 20 header: Premature rush to fight" display="Premature rush to fight" xr:uid="{00000000-0004-0000-0000-000075000000}"/>
    <hyperlink ref="G27:K27" location="HP!A872:N872" tooltip="go to p. 21 header: Wellness is psychosocial" display="Wellness is psychosocial" xr:uid="{00000000-0004-0000-0000-000076000000}"/>
    <hyperlink ref="G28:K28" location="HP!A919:N919" tooltip="go to p. 22 header: Beyond Left and Right populism" display="Beyond Left and Right Populism" xr:uid="{00000000-0004-0000-0000-000077000000}"/>
    <hyperlink ref="G29:K29" location="HP!A966:N966" tooltip="go to p. 23 header: Dissolving the pain of divisive tribal politics" display="Dissolving the pain of divisive tribal politics" xr:uid="{00000000-0004-0000-0000-000078000000}"/>
    <hyperlink ref="L24" location="HP!E759" tooltip="go to p. 18 interactive: Elite v. your need fulfillment" display="Interactive" xr:uid="{00000000-0004-0000-0000-000079000000}"/>
    <hyperlink ref="L29" location="HP!G978" tooltip="go to p. 23 interactive: Ready for this?" display="Interactive" xr:uid="{00000000-0004-0000-0000-00007A000000}"/>
    <hyperlink ref="L31" location="HP!C1047" tooltip="go to p. 25 interactive: Select a political issue" display="Interactive" xr:uid="{00000000-0004-0000-0000-00007B000000}"/>
    <hyperlink ref="L32" location="HP!G1102" tooltip="go to p. 26 interactive: your thoughts about political sides" display="Interactive" xr:uid="{00000000-0004-0000-0000-00007C000000}"/>
    <hyperlink ref="L33" location="HP!H1139" tooltip="go to p. 27 interactive: Blame for polarization" display="Interactive" xr:uid="{00000000-0004-0000-0000-00007D000000}"/>
    <hyperlink ref="L34" location="HP!H1139" tooltip="go to p. 28 interactive: Trust politics to serve your needs?" display="Interactive" xr:uid="{00000000-0004-0000-0000-00007E000000}"/>
    <hyperlink ref="L35" location="HP!B1233" tooltip="go to p. 29 interactive: Select a political issue" display="Interactive" xr:uid="{00000000-0004-0000-0000-00007F000000}"/>
    <hyperlink ref="L37" location="HP!I1317" tooltip="go to p. 31 interactive: Relate now to both sides of the issue?" display="Interactive" xr:uid="{00000000-0004-0000-0000-000080000000}"/>
    <hyperlink ref="L39" location="HP!I1411" tooltip="go to p. 33 interactive: Engage other side of issue" display="Interactive" xr:uid="{00000000-0004-0000-0000-000081000000}"/>
    <hyperlink ref="L41" location="HP!I1502" tooltip="go to p. 35 interactive: Replace fighting with appreciation for opposing position" display="Interactive" xr:uid="{00000000-0004-0000-0000-000082000000}"/>
    <hyperlink ref="G30:K30" location="HP!A1000:N1000" tooltip="go to p. 24 header: Eight key issues to apply HP" display="Eight key issues to apply Harmony Politics" xr:uid="{00000000-0004-0000-0000-000084000000}"/>
    <hyperlink ref="G31:K31" location="HP!A1044:N1044" tooltip="go to p. 25 header: Politics as usual - immature polarizing" display="Politics as usual - immature polarizing" xr:uid="{00000000-0004-0000-0000-000085000000}"/>
    <hyperlink ref="G32:K32" location="HP!A1076:N1076" tooltip="go to p. 26 header: Harmony politics - mature responsiveness" display="Harmony politics - mature responsiveness" xr:uid="{00000000-0004-0000-0000-000086000000}"/>
    <hyperlink ref="G33:K33" location="HP!A1113:N1113" tooltip="go to p. 27 header: Lateral array" display="Lateral array" xr:uid="{00000000-0004-0000-0000-000087000000}"/>
    <hyperlink ref="G34:K34" location="HP!A1151:N1151" tooltip="go to p. 28 header: SWOT personalized" display="SWOT personalized" xr:uid="{00000000-0004-0000-0000-000088000000}"/>
    <hyperlink ref="G35:K35" location="HP!A1191:N1191" tooltip="go to p. 29 header: Harmonizing divisive politicized needs" display="Harmonizing diverse politicized needs" xr:uid="{00000000-0004-0000-0000-000089000000}"/>
    <hyperlink ref="G36:K36" location="HP!A1238:N1238" tooltip="go to p. 30 header: 1. DEGENERALIZE" display="1. DEGENERALIZE" xr:uid="{00000000-0004-0000-0000-00008A000000}"/>
    <hyperlink ref="G37:K37" location="HP!A1285:N1285" tooltip="go to p. 31 header: Relational knowing (vs. relieve believe)" display="Relational knowing (vs. relieve believe)" xr:uid="{00000000-0004-0000-0000-00008B000000}"/>
    <hyperlink ref="G38:K38" location="HP!A1331:N1331" tooltip="go to p. 32 header: 2. DEALIENATE" display="2. DEALIENATE" xr:uid="{00000000-0004-0000-0000-00008C000000}"/>
    <hyperlink ref="G39:K39" location="HP!A1378:N1378" tooltip="go to p. 33 header: Impact engaging (vs. impersonal compliance)" display="Impact Engaging (vs. normative alienation)" xr:uid="{00000000-0004-0000-0000-00008D000000}"/>
    <hyperlink ref="G40:K40" location="HP!A1425:N1425" tooltip="go to p. 34 header: 3. DEPOLARIZE" display="3. DEPOLARIZE" xr:uid="{00000000-0004-0000-0000-00008E000000}"/>
    <hyperlink ref="G41:K41" location="HP!A1472:N1472" tooltip="go to p. 35 header: Value framing (vs. mutual hostilities)" display="Value framing (vs. mutual hostilities)" xr:uid="{00000000-0004-0000-0000-00008F000000}"/>
    <hyperlink ref="G42:K42" location="HP!A1516:N1516" tooltip="go to p. 36 header: Takeaway" display="Takeaway" xr:uid="{00000000-0004-0000-0000-000090000000}"/>
    <hyperlink ref="A121" location="HP!A89:N89" tooltip="previous page header" display="#" xr:uid="{00000000-0004-0000-0000-000091000000}"/>
    <hyperlink ref="N121" location="HP!A158:N197" tooltip="next page" display="$" xr:uid="{00000000-0004-0000-0000-000092000000}"/>
    <hyperlink ref="A158" location="HP!A121:N121" tooltip="previous page header" display="#" xr:uid="{00000000-0004-0000-0000-000093000000}"/>
    <hyperlink ref="N158" location="HP!A198:N235" tooltip="next page" display="$" xr:uid="{00000000-0004-0000-0000-000094000000}"/>
    <hyperlink ref="A198" location="HP!A158:N158" tooltip="previous page header" display="#" xr:uid="{00000000-0004-0000-0000-000095000000}"/>
    <hyperlink ref="N198" location="HP!A236:N271" tooltip="next page" display="$" xr:uid="{00000000-0004-0000-0000-000096000000}"/>
    <hyperlink ref="A236" location="HP!A198:N198" tooltip="previous page header" display="#" xr:uid="{00000000-0004-0000-0000-000097000000}"/>
    <hyperlink ref="N236" location="HP!A272:N318" tooltip="next page" display="$" xr:uid="{00000000-0004-0000-0000-000098000000}"/>
    <hyperlink ref="A272" location="HP!A236:N236" tooltip="previous page header" display="#" xr:uid="{00000000-0004-0000-0000-000099000000}"/>
    <hyperlink ref="N272" location="HP!A319:N365" tooltip="next page" display="$" xr:uid="{00000000-0004-0000-0000-00009A000000}"/>
    <hyperlink ref="A319" location="HP!A272:N272" tooltip="previous page header" display="#" xr:uid="{00000000-0004-0000-0000-00009B000000}"/>
    <hyperlink ref="N319" location="HP!A366:N412" tooltip="next page" display="$" xr:uid="{00000000-0004-0000-0000-00009C000000}"/>
    <hyperlink ref="A366" location="HP!A319:N319" tooltip="previous page header" display="#" xr:uid="{00000000-0004-0000-0000-00009D000000}"/>
    <hyperlink ref="N366" location="HP!A413:N459" tooltip="next page" display="$" xr:uid="{00000000-0004-0000-0000-00009E000000}"/>
    <hyperlink ref="A413" location="HP!A366:N366" tooltip="previous page header" display="#" xr:uid="{00000000-0004-0000-0000-00009F000000}"/>
    <hyperlink ref="N413" location="HP!A460:N506" tooltip="next page" display="$" xr:uid="{00000000-0004-0000-0000-0000A0000000}"/>
    <hyperlink ref="A460" location="HP!A413:N413" tooltip="previous page header" display="#" xr:uid="{00000000-0004-0000-0000-0000A1000000}"/>
    <hyperlink ref="N460" location="HP!A507:N553" tooltip="next page" display="$" xr:uid="{00000000-0004-0000-0000-0000A2000000}"/>
    <hyperlink ref="A507" location="HP!A460:N460" tooltip="previous page header" display="#" xr:uid="{00000000-0004-0000-0000-0000A3000000}"/>
    <hyperlink ref="N507" location="HP!A554:N600" tooltip="next page" display="$" xr:uid="{00000000-0004-0000-0000-0000A4000000}"/>
    <hyperlink ref="A554" location="HP!A507:N507" tooltip="previous page header" display="#" xr:uid="{00000000-0004-0000-0000-0000A5000000}"/>
    <hyperlink ref="N554" location="HP!A601:N646" tooltip="next page" display="$" xr:uid="{00000000-0004-0000-0000-0000A6000000}"/>
    <hyperlink ref="A601" location="HP!A554:N554" tooltip="previous page header" display="#" xr:uid="{00000000-0004-0000-0000-0000A7000000}"/>
    <hyperlink ref="N601" location="HP!N647:N693" tooltip="next page" display="$" xr:uid="{00000000-0004-0000-0000-0000A8000000}"/>
    <hyperlink ref="A647" location="HP!A601:N601" tooltip="previous page header" display="#" xr:uid="{00000000-0004-0000-0000-0000A9000000}"/>
    <hyperlink ref="N647" location="HP!A694:N740" tooltip="next page" display="$" xr:uid="{00000000-0004-0000-0000-0000AA000000}"/>
    <hyperlink ref="A694" location="HP!A647:N647" tooltip="previous page header" display="#" xr:uid="{00000000-0004-0000-0000-0000AB000000}"/>
    <hyperlink ref="N694" location="HP!A741:N777" tooltip="next page" display="$" xr:uid="{00000000-0004-0000-0000-0000AC000000}"/>
    <hyperlink ref="A741" location="HP!A694:N694" tooltip="previous page header" display="#" xr:uid="{00000000-0004-0000-0000-0000AD000000}"/>
    <hyperlink ref="N741" location="HP!A778:N824" tooltip="next page" display="$" xr:uid="{00000000-0004-0000-0000-0000AE000000}"/>
    <hyperlink ref="A778" location="HP!A741:N741" tooltip="previous page header" display="#" xr:uid="{00000000-0004-0000-0000-0000AF000000}"/>
    <hyperlink ref="N778" location="HP!A825:N871" tooltip="next page" display="$" xr:uid="{00000000-0004-0000-0000-0000B0000000}"/>
    <hyperlink ref="A825" location="HP!A778:N778" tooltip="previous page header" display="#" xr:uid="{00000000-0004-0000-0000-0000B1000000}"/>
    <hyperlink ref="N825" location="HP!A872:N918" tooltip="next page" display="$" xr:uid="{00000000-0004-0000-0000-0000B2000000}"/>
    <hyperlink ref="A872" location="HP!A825:N825" tooltip="previous page header" display="#" xr:uid="{00000000-0004-0000-0000-0000B3000000}"/>
    <hyperlink ref="N872" location="HP!A919:N965" tooltip="next page" display="$" xr:uid="{00000000-0004-0000-0000-0000B4000000}"/>
    <hyperlink ref="A919" location="HP!A872:N872" tooltip="previous page header" display="#" xr:uid="{00000000-0004-0000-0000-0000B5000000}"/>
    <hyperlink ref="N919" location="HP!A966:N999" tooltip="next page" display="$" xr:uid="{00000000-0004-0000-0000-0000B6000000}"/>
    <hyperlink ref="A966" location="HP!A919:N919" tooltip="previous page header" display="#" xr:uid="{00000000-0004-0000-0000-0000B7000000}"/>
    <hyperlink ref="N966" location="HP!A1000:N1043" tooltip="next page" display="$" xr:uid="{00000000-0004-0000-0000-0000B8000000}"/>
    <hyperlink ref="A1000" location="HP!A966:N966" tooltip="previous page header" display="#" xr:uid="{00000000-0004-0000-0000-0000B9000000}"/>
    <hyperlink ref="N1000" location="HP!A1044:N1075" tooltip="next page" display="$" xr:uid="{00000000-0004-0000-0000-0000BA000000}"/>
    <hyperlink ref="A1044" location="HP!A1000:N1000" tooltip="previous page header" display="#" xr:uid="{00000000-0004-0000-0000-0000BB000000}"/>
    <hyperlink ref="N1044" location="HP!A1076:N1112" tooltip="next page" display="$" xr:uid="{00000000-0004-0000-0000-0000BC000000}"/>
    <hyperlink ref="A1076" location="HP!A1044:N1044" tooltip="previous page header" display="#" xr:uid="{00000000-0004-0000-0000-0000BD000000}"/>
    <hyperlink ref="N1076" location="HP!A1113:N1150" display="$" xr:uid="{00000000-0004-0000-0000-0000BE000000}"/>
    <hyperlink ref="A1113" location="HP!A1076:N1076" tooltip="previous page header" display="#" xr:uid="{00000000-0004-0000-0000-0000BF000000}"/>
    <hyperlink ref="N1113" location="HP!A1151:N1190" tooltip="next page" display="$" xr:uid="{00000000-0004-0000-0000-0000C0000000}"/>
    <hyperlink ref="A1151" location="HP!A1113:N1113" tooltip="previous page header" display="#" xr:uid="{00000000-0004-0000-0000-0000C1000000}"/>
    <hyperlink ref="N1151" location="HP!A1191:N1237" tooltip="next page" display="$" xr:uid="{00000000-0004-0000-0000-0000C2000000}"/>
    <hyperlink ref="A1191" location="HP!A1151:N1151" tooltip="previous page header" display="#" xr:uid="{00000000-0004-0000-0000-0000C3000000}"/>
    <hyperlink ref="N1191" location="HP!A1238:N1284" tooltip="next page" display="$" xr:uid="{00000000-0004-0000-0000-0000C4000000}"/>
    <hyperlink ref="A1238" location="HP!A1191:N1191" tooltip="previous page header" display="#" xr:uid="{00000000-0004-0000-0000-0000C5000000}"/>
    <hyperlink ref="N1238" location="HP!A1285:N1330" tooltip="next page" display="$" xr:uid="{00000000-0004-0000-0000-0000C6000000}"/>
    <hyperlink ref="A1285" location="HP!A1238:N1238" tooltip="previous page header" display="#" xr:uid="{00000000-0004-0000-0000-0000C7000000}"/>
    <hyperlink ref="N1285" location="HP!A1331:N1377" tooltip="next page" display="$" xr:uid="{00000000-0004-0000-0000-0000C8000000}"/>
    <hyperlink ref="A1331" location="HP!A1285:N1285" tooltip="previous page header" display="#" xr:uid="{00000000-0004-0000-0000-0000C9000000}"/>
    <hyperlink ref="N1331" location="HP!A1378:N1424" tooltip="next page" display="$" xr:uid="{00000000-0004-0000-0000-0000CA000000}"/>
    <hyperlink ref="A1378" location="HP!A1331:N1331" tooltip="previous page header" display="#" xr:uid="{00000000-0004-0000-0000-0000CB000000}"/>
    <hyperlink ref="N1378" location="HP!A1425:N1471" tooltip="next page" display="$" xr:uid="{00000000-0004-0000-0000-0000CC000000}"/>
    <hyperlink ref="A1425" location="HP!A1378:N1378" tooltip="previous page header" display="#" xr:uid="{00000000-0004-0000-0000-0000CD000000}"/>
    <hyperlink ref="N1425" location="HP!A1472:N1515" tooltip="next page" display="$" xr:uid="{00000000-0004-0000-0000-0000CE000000}"/>
    <hyperlink ref="A1472" location="HP!A1425:N1425" tooltip="previous page header" display="#" xr:uid="{00000000-0004-0000-0000-0000CF000000}"/>
    <hyperlink ref="N1472" location="HP!A1516:N1546" tooltip="next page" display="$" xr:uid="{00000000-0004-0000-0000-0000D0000000}"/>
    <hyperlink ref="A1516" location="HP!A1472:N1472" tooltip="previous page header" display="#" xr:uid="{00000000-0004-0000-0000-0000D1000000}"/>
    <hyperlink ref="B1545:M1545" r:id="rId1" tooltip="click to go online to our Value Relating webste" display="Learn more at https://www.valuerelating.com" xr:uid="{5564DE9A-500C-4A36-841F-842DC1F7B33C}"/>
    <hyperlink ref="B1525:E1525" r:id="rId2" tooltip="click to go to ValueRelating.com/UnifyingPolitics" display="Learn more" xr:uid="{F64E660B-1DCD-4D4B-929D-5AF81CEFF89F}"/>
    <hyperlink ref="B1526:M1526" r:id="rId3" tooltip="click to go online to Unifying Politics, to view these items listed below" display="Go to ValueRelating.com to delve deeper to understand political orientation." xr:uid="{95F9EAAB-91EA-436F-9C4C-51C079D04C21}"/>
    <hyperlink ref="B1536:H1536" location="advocacy!A1:N8" tooltip="click to go to the 'advocacy' tab" display="Advocacy for the politically powerless" xr:uid="{3285E0FC-A8F4-4E14-90C1-3EC1915CBB8C}"/>
    <hyperlink ref="B1538:J1538" location="counselor!A1:N8" tooltip="click to go to the 'counselor' tab" display="For counselors serving ideologically diverse clients" xr:uid="{E7B508B7-5069-499C-A40B-0B6E0BB2709C}"/>
  </hyperlinks>
  <printOptions horizontalCentered="1"/>
  <pageMargins left="0.65" right="0.65" top="0.75" bottom="0.75" header="0.3" footer="0.3"/>
  <pageSetup orientation="portrait" r:id="rId4"/>
  <headerFooter differentFirst="1">
    <oddHeader>&amp;C&amp;"Arial Black,Regular"&amp;16&amp;K009641Value&amp;K004623 &amp;K7030A0Relating</oddHeader>
    <oddFooter>&amp;L&amp;D&amp;CPage &amp;P&amp;R&amp;F; &amp;A</oddFooter>
  </headerFooter>
  <drawing r:id="rId5"/>
  <legacyDrawing r:id="rId6"/>
  <extLst>
    <ext xmlns:x14="http://schemas.microsoft.com/office/spreadsheetml/2009/9/main" uri="{78C0D931-6437-407d-A8EE-F0AAD7539E65}">
      <x14:conditionalFormattings>
        <x14:conditionalFormatting xmlns:xm="http://schemas.microsoft.com/office/excel/2006/main">
          <x14:cfRule type="containsText" priority="161" operator="containsText" id="{B47A9EEC-66DF-4D9F-B835-C56661790F4C}">
            <xm:f>NOT(ISERROR(SEARCH("+",B268)))</xm:f>
            <xm:f>"+"</xm:f>
            <x14:dxf>
              <fill>
                <patternFill>
                  <bgColor rgb="FF007846"/>
                </patternFill>
              </fill>
            </x14:dxf>
          </x14:cfRule>
          <x14:cfRule type="containsText" priority="162" operator="containsText" id="{887885DA-4AD4-4892-AC3E-92DD7681093C}">
            <xm:f>NOT(ISERROR(SEARCH("+",B268)))</xm:f>
            <xm:f>"+"</xm:f>
            <x14:dxf>
              <fill>
                <patternFill>
                  <bgColor theme="9" tint="-0.24994659260841701"/>
                </patternFill>
              </fill>
            </x14:dxf>
          </x14:cfRule>
          <xm:sqref>B268:B270</xm:sqref>
        </x14:conditionalFormatting>
        <x14:conditionalFormatting xmlns:xm="http://schemas.microsoft.com/office/excel/2006/main">
          <x14:cfRule type="containsText" priority="159" operator="containsText" id="{6A084A6D-C0C2-4167-9F66-B09BC49DE4D7}">
            <xm:f>NOT(ISERROR(SEARCH("+",M268)))</xm:f>
            <xm:f>"+"</xm:f>
            <x14:dxf>
              <fill>
                <patternFill>
                  <bgColor rgb="FF007846"/>
                </patternFill>
              </fill>
            </x14:dxf>
          </x14:cfRule>
          <x14:cfRule type="containsText" priority="160" operator="containsText" id="{3C522F69-D309-48AA-B9F4-40C3E1BDBF22}">
            <xm:f>NOT(ISERROR(SEARCH("+",M268)))</xm:f>
            <xm:f>"+"</xm:f>
            <x14:dxf>
              <fill>
                <patternFill>
                  <bgColor theme="9" tint="-0.24994659260841701"/>
                </patternFill>
              </fill>
            </x14:dxf>
          </x14:cfRule>
          <xm:sqref>M268:M270</xm:sqref>
        </x14:conditionalFormatting>
        <x14:conditionalFormatting xmlns:xm="http://schemas.microsoft.com/office/excel/2006/main">
          <x14:cfRule type="containsText" priority="46" operator="containsText" id="{70748F90-A741-4F5C-8594-7CB0C0A4FB13}">
            <xm:f>NOT(ISERROR(SEARCH("+",N66)))</xm:f>
            <xm:f>"+"</xm:f>
            <x14:dxf>
              <fill>
                <patternFill>
                  <bgColor theme="1"/>
                </patternFill>
              </fill>
            </x14:dxf>
          </x14:cfRule>
          <xm:sqref>N66:N84</xm:sqref>
        </x14:conditionalFormatting>
        <x14:conditionalFormatting xmlns:xm="http://schemas.microsoft.com/office/excel/2006/main">
          <x14:cfRule type="containsText" priority="45" operator="containsText" id="{E0F565C5-FDDA-4369-904F-F3B62C385EC3}">
            <xm:f>NOT(ISERROR(SEARCH("+",A66)))</xm:f>
            <xm:f>"+"</xm:f>
            <x14:dxf>
              <fill>
                <patternFill>
                  <bgColor theme="1"/>
                </patternFill>
              </fill>
            </x14:dxf>
          </x14:cfRule>
          <xm:sqref>A66:A84</xm:sqref>
        </x14:conditionalFormatting>
        <x14:conditionalFormatting xmlns:xm="http://schemas.microsoft.com/office/excel/2006/main">
          <x14:cfRule type="containsText" priority="5" operator="containsText" id="{5B0DB68F-229A-4A16-8691-2F7FD7D810D5}">
            <xm:f>NOT(ISERROR(SEARCH($BB$183,B180)))</xm:f>
            <xm:f>$BB$183</xm:f>
            <x14:dxf>
              <font>
                <b/>
                <i/>
                <color theme="1" tint="0.499984740745262"/>
              </font>
            </x14:dxf>
          </x14:cfRule>
          <xm:sqref>B180:M182</xm:sqref>
        </x14:conditionalFormatting>
        <x14:conditionalFormatting xmlns:xm="http://schemas.microsoft.com/office/excel/2006/main">
          <x14:cfRule type="containsText" priority="3" operator="containsText" id="{BDE34E17-B02D-49A4-9843-49325C27A412}">
            <xm:f>NOT(ISERROR(SEARCH($BD$758,E759)))</xm:f>
            <xm:f>$BD$758</xm:f>
            <x14:dxf>
              <font>
                <color rgb="FFC00000"/>
              </font>
              <fill>
                <patternFill patternType="mediumGray">
                  <fgColor rgb="FFFFCCCC"/>
                </patternFill>
              </fill>
            </x14:dxf>
          </x14:cfRule>
          <x14:cfRule type="containsText" priority="4" operator="containsText" id="{A0979088-2551-4605-B15A-7B1BDF042992}">
            <xm:f>NOT(ISERROR(SEARCH($BD$757,E759)))</xm:f>
            <xm:f>$BD$757</xm:f>
            <x14:dxf>
              <font>
                <color rgb="FF0070C0"/>
              </font>
              <fill>
                <patternFill patternType="mediumGray">
                  <fgColor theme="8" tint="0.79998168889431442"/>
                  <bgColor auto="1"/>
                </patternFill>
              </fill>
            </x14:dxf>
          </x14:cfRule>
          <xm:sqref>E759:F759</xm:sqref>
        </x14:conditionalFormatting>
        <x14:conditionalFormatting xmlns:xm="http://schemas.microsoft.com/office/excel/2006/main">
          <x14:cfRule type="containsText" priority="1" operator="containsText" id="{3DF800C1-DEA4-4C03-A420-23E834C6EE6C}">
            <xm:f>NOT(ISERROR(SEARCH($BD$758,L759)))</xm:f>
            <xm:f>$BD$758</xm:f>
            <x14:dxf>
              <font>
                <color rgb="FFC00000"/>
              </font>
              <fill>
                <patternFill patternType="mediumGray">
                  <fgColor rgb="FFFFCCCC"/>
                </patternFill>
              </fill>
              <border>
                <left style="thin">
                  <color rgb="FF780000"/>
                </left>
                <right style="thin">
                  <color rgb="FF780000"/>
                </right>
                <top style="thin">
                  <color rgb="FF780000"/>
                </top>
                <bottom style="thin">
                  <color rgb="FF780000"/>
                </bottom>
              </border>
            </x14:dxf>
          </x14:cfRule>
          <x14:cfRule type="containsText" priority="2" operator="containsText" id="{11FBB21E-0EC8-40F2-B357-0B0707EF589E}">
            <xm:f>NOT(ISERROR(SEARCH($BD$757,L759)))</xm:f>
            <xm:f>$BD$757</xm:f>
            <x14:dxf>
              <font>
                <color rgb="FF0070C0"/>
              </font>
              <fill>
                <patternFill patternType="mediumGray">
                  <fgColor theme="8" tint="0.79998168889431442"/>
                  <bgColor auto="1"/>
                </patternFill>
              </fill>
              <border>
                <left style="thin">
                  <color rgb="FF002060"/>
                </left>
                <right style="thin">
                  <color rgb="FF002060"/>
                </right>
                <top style="thin">
                  <color rgb="FF002060"/>
                </top>
                <bottom style="thin">
                  <color rgb="FF002060"/>
                </bottom>
              </border>
            </x14:dxf>
          </x14:cfRule>
          <xm:sqref>L759:M759</xm:sqref>
        </x14:conditionalFormatting>
      </x14:conditionalFormattings>
    </ext>
  </extLs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BBE358-4B27-4F52-8E86-24BEDEF16097}">
  <dimension ref="A1:DI1187"/>
  <sheetViews>
    <sheetView zoomScaleNormal="100" zoomScaleSheetLayoutView="90" workbookViewId="0">
      <selection sqref="A1:N8"/>
    </sheetView>
  </sheetViews>
  <sheetFormatPr defaultColWidth="8.88671875" defaultRowHeight="13.8"/>
  <cols>
    <col min="1" max="1" width="1.6640625" style="2" customWidth="1"/>
    <col min="2" max="13" width="7.33203125" style="2" customWidth="1"/>
    <col min="14" max="14" width="1.6640625" style="2" customWidth="1"/>
    <col min="15" max="15" width="1.6640625" style="2" hidden="1" customWidth="1"/>
    <col min="16" max="27" width="7.33203125" style="2" hidden="1" customWidth="1"/>
    <col min="28" max="28" width="1.6640625" style="2" hidden="1" customWidth="1"/>
    <col min="29" max="51" width="10.77734375" style="2" customWidth="1"/>
    <col min="52" max="52" width="1.6640625" style="2" customWidth="1"/>
    <col min="53" max="57" width="8.88671875" style="2"/>
    <col min="58" max="72" width="8.88671875" style="2" hidden="1" customWidth="1"/>
    <col min="73" max="75" width="8.88671875" style="2"/>
    <col min="76" max="102" width="8.88671875" style="2" customWidth="1"/>
    <col min="103" max="103" width="8.88671875" style="2"/>
    <col min="104" max="129" width="8.88671875" style="2" customWidth="1"/>
    <col min="130" max="16384" width="8.88671875" style="2"/>
  </cols>
  <sheetData>
    <row r="1" spans="1:51" ht="45" customHeight="1">
      <c r="A1" s="482"/>
      <c r="B1" s="483"/>
      <c r="C1" s="483"/>
      <c r="D1" s="484"/>
      <c r="E1" s="484"/>
      <c r="F1" s="484"/>
      <c r="G1" s="484"/>
      <c r="H1" s="484"/>
      <c r="I1" s="484"/>
      <c r="J1" s="484"/>
      <c r="K1" s="484"/>
      <c r="L1" s="484"/>
      <c r="M1" s="484"/>
      <c r="N1" s="485"/>
      <c r="O1" s="482"/>
      <c r="P1" s="1278"/>
      <c r="Q1" s="1278"/>
      <c r="R1" s="1278"/>
      <c r="S1" s="1278"/>
      <c r="T1" s="1278"/>
      <c r="U1" s="1278"/>
      <c r="V1" s="1278"/>
      <c r="W1" s="486"/>
      <c r="X1" s="487"/>
      <c r="Y1" s="487"/>
      <c r="Z1" s="487"/>
      <c r="AA1" s="487"/>
      <c r="AB1" s="485"/>
      <c r="AC1" s="576"/>
      <c r="AD1" s="576"/>
      <c r="AE1" s="576"/>
      <c r="AF1" s="576"/>
      <c r="AG1" s="576"/>
      <c r="AH1" s="576"/>
      <c r="AI1" s="576"/>
      <c r="AJ1" s="576"/>
      <c r="AK1" s="576"/>
      <c r="AL1" s="576"/>
      <c r="AM1" s="576"/>
      <c r="AN1" s="576"/>
      <c r="AO1" s="576"/>
      <c r="AP1" s="576"/>
      <c r="AQ1" s="576"/>
      <c r="AR1" s="576"/>
      <c r="AS1" s="576"/>
      <c r="AT1" s="576"/>
      <c r="AU1" s="576"/>
      <c r="AV1" s="576"/>
      <c r="AW1" s="576"/>
      <c r="AX1" s="576"/>
      <c r="AY1" s="576"/>
    </row>
    <row r="2" spans="1:51" ht="10.050000000000001" customHeight="1">
      <c r="A2" s="299"/>
      <c r="B2" s="488"/>
      <c r="C2" s="488"/>
      <c r="D2" s="488"/>
      <c r="E2" s="488"/>
      <c r="F2" s="488"/>
      <c r="G2" s="488"/>
      <c r="H2" s="488"/>
      <c r="I2" s="488"/>
      <c r="J2" s="488"/>
      <c r="K2" s="488"/>
      <c r="L2" s="488"/>
      <c r="M2" s="488"/>
      <c r="N2" s="489"/>
      <c r="O2" s="299"/>
      <c r="P2" s="488"/>
      <c r="Q2" s="488"/>
      <c r="R2" s="488"/>
      <c r="S2" s="488"/>
      <c r="T2" s="488"/>
      <c r="U2" s="488"/>
      <c r="V2" s="488"/>
      <c r="W2" s="488"/>
      <c r="X2" s="488"/>
      <c r="Y2" s="488"/>
      <c r="Z2" s="488"/>
      <c r="AA2" s="488"/>
      <c r="AB2" s="489"/>
      <c r="AC2" s="1"/>
      <c r="AD2" s="1"/>
      <c r="AE2" s="1"/>
      <c r="AF2" s="1"/>
      <c r="AG2" s="1"/>
      <c r="AH2" s="1"/>
      <c r="AI2" s="1"/>
      <c r="AJ2" s="1"/>
      <c r="AK2" s="1"/>
      <c r="AL2" s="1"/>
      <c r="AM2" s="1"/>
      <c r="AN2" s="1"/>
      <c r="AO2" s="1"/>
      <c r="AP2" s="1"/>
      <c r="AQ2" s="1"/>
      <c r="AR2" s="1"/>
      <c r="AS2" s="1"/>
      <c r="AT2" s="1"/>
      <c r="AU2" s="1"/>
      <c r="AV2" s="1"/>
      <c r="AW2" s="1"/>
      <c r="AX2" s="1"/>
      <c r="AY2" s="1"/>
    </row>
    <row r="3" spans="1:51" ht="30" customHeight="1">
      <c r="A3" s="299"/>
      <c r="B3" s="488"/>
      <c r="C3" s="488"/>
      <c r="D3" s="488"/>
      <c r="E3" s="488"/>
      <c r="F3" s="488"/>
      <c r="G3" s="488"/>
      <c r="H3" s="488"/>
      <c r="I3" s="488"/>
      <c r="J3" s="488"/>
      <c r="K3" s="488"/>
      <c r="L3" s="488"/>
      <c r="M3" s="488"/>
      <c r="N3" s="489"/>
      <c r="O3" s="490"/>
      <c r="P3" s="1279"/>
      <c r="Q3" s="1279"/>
      <c r="R3" s="1279"/>
      <c r="S3" s="1279"/>
      <c r="T3" s="1279"/>
      <c r="U3" s="1279"/>
      <c r="V3" s="1279"/>
      <c r="W3" s="492"/>
      <c r="X3" s="493"/>
      <c r="Y3" s="493"/>
      <c r="Z3" s="493"/>
      <c r="AA3" s="493"/>
      <c r="AB3" s="494"/>
      <c r="AC3" s="576"/>
      <c r="AD3" s="576"/>
      <c r="AE3" s="576"/>
      <c r="AF3" s="576"/>
      <c r="AG3" s="576"/>
      <c r="AH3" s="576"/>
      <c r="AI3" s="576"/>
      <c r="AJ3" s="576"/>
      <c r="AK3" s="576"/>
      <c r="AL3" s="576"/>
      <c r="AM3" s="576"/>
      <c r="AN3" s="576"/>
      <c r="AO3" s="576"/>
      <c r="AP3" s="576"/>
      <c r="AQ3" s="576"/>
      <c r="AR3" s="576"/>
      <c r="AS3" s="576"/>
      <c r="AT3" s="576"/>
      <c r="AU3" s="576"/>
      <c r="AV3" s="576"/>
      <c r="AW3" s="576"/>
      <c r="AX3" s="576"/>
      <c r="AY3" s="576"/>
    </row>
    <row r="4" spans="1:51" ht="30" customHeight="1">
      <c r="A4" s="299"/>
      <c r="B4" s="488"/>
      <c r="C4" s="488"/>
      <c r="D4" s="488"/>
      <c r="E4" s="488"/>
      <c r="F4" s="488"/>
      <c r="G4" s="488"/>
      <c r="H4" s="488"/>
      <c r="I4" s="488"/>
      <c r="J4" s="488"/>
      <c r="K4" s="488"/>
      <c r="L4" s="488"/>
      <c r="M4" s="488"/>
      <c r="N4" s="489"/>
      <c r="O4" s="299"/>
      <c r="P4" s="488"/>
      <c r="Q4" s="488"/>
      <c r="R4" s="488"/>
      <c r="S4" s="488"/>
      <c r="T4" s="488"/>
      <c r="U4" s="488"/>
      <c r="V4" s="488"/>
      <c r="W4" s="488"/>
      <c r="X4" s="488"/>
      <c r="Y4" s="488"/>
      <c r="Z4" s="488"/>
      <c r="AA4" s="488"/>
      <c r="AB4" s="489"/>
      <c r="AC4" s="1"/>
      <c r="AD4" s="1"/>
      <c r="AE4" s="1"/>
      <c r="AF4" s="1"/>
      <c r="AG4" s="1"/>
      <c r="AH4" s="1"/>
      <c r="AI4" s="1"/>
      <c r="AJ4" s="1"/>
      <c r="AK4" s="1"/>
      <c r="AL4" s="1"/>
      <c r="AM4" s="1"/>
      <c r="AN4" s="1"/>
      <c r="AO4" s="1"/>
      <c r="AP4" s="1"/>
      <c r="AQ4" s="1"/>
      <c r="AR4" s="1"/>
      <c r="AS4" s="1"/>
      <c r="AT4" s="1"/>
      <c r="AU4" s="1"/>
      <c r="AV4" s="1"/>
      <c r="AW4" s="1"/>
      <c r="AX4" s="1"/>
      <c r="AY4" s="1"/>
    </row>
    <row r="5" spans="1:51" ht="30" customHeight="1">
      <c r="A5" s="299"/>
      <c r="B5" s="488"/>
      <c r="C5" s="488"/>
      <c r="D5" s="488"/>
      <c r="E5" s="488"/>
      <c r="F5" s="488"/>
      <c r="G5" s="488"/>
      <c r="H5" s="488"/>
      <c r="I5" s="488"/>
      <c r="J5" s="488"/>
      <c r="K5" s="488"/>
      <c r="L5" s="488"/>
      <c r="M5" s="488"/>
      <c r="N5" s="489"/>
      <c r="O5" s="490"/>
      <c r="P5" s="1279"/>
      <c r="Q5" s="1279"/>
      <c r="R5" s="1279"/>
      <c r="S5" s="1279"/>
      <c r="T5" s="1279"/>
      <c r="U5" s="1279"/>
      <c r="V5" s="1279"/>
      <c r="W5" s="492"/>
      <c r="X5" s="493"/>
      <c r="Y5" s="493"/>
      <c r="Z5" s="493"/>
      <c r="AA5" s="493"/>
      <c r="AB5" s="494"/>
      <c r="AC5" s="576"/>
      <c r="AD5" s="576"/>
      <c r="AE5" s="576"/>
      <c r="AF5" s="576"/>
      <c r="AG5" s="576"/>
      <c r="AH5" s="576"/>
      <c r="AI5" s="576"/>
      <c r="AJ5" s="576"/>
      <c r="AK5" s="576"/>
      <c r="AL5" s="576"/>
      <c r="AM5" s="576"/>
      <c r="AN5" s="576"/>
      <c r="AO5" s="576"/>
      <c r="AP5" s="576"/>
      <c r="AQ5" s="576"/>
      <c r="AR5" s="576"/>
      <c r="AS5" s="576"/>
      <c r="AT5" s="576"/>
      <c r="AU5" s="576"/>
      <c r="AV5" s="576"/>
      <c r="AW5" s="576"/>
      <c r="AX5" s="576"/>
      <c r="AY5" s="576"/>
    </row>
    <row r="6" spans="1:51" ht="30" customHeight="1">
      <c r="A6" s="299"/>
      <c r="B6" s="488"/>
      <c r="C6" s="488"/>
      <c r="D6" s="488"/>
      <c r="E6" s="488"/>
      <c r="F6" s="488"/>
      <c r="G6" s="488"/>
      <c r="H6" s="488"/>
      <c r="I6" s="488"/>
      <c r="J6" s="488"/>
      <c r="K6" s="488"/>
      <c r="L6" s="488"/>
      <c r="M6" s="488"/>
      <c r="N6" s="489"/>
      <c r="O6" s="299"/>
      <c r="P6" s="488"/>
      <c r="Q6" s="488"/>
      <c r="R6" s="488"/>
      <c r="S6" s="488"/>
      <c r="T6" s="488"/>
      <c r="U6" s="488"/>
      <c r="V6" s="488"/>
      <c r="W6" s="488"/>
      <c r="X6" s="488"/>
      <c r="Y6" s="488"/>
      <c r="Z6" s="488"/>
      <c r="AA6" s="488"/>
      <c r="AB6" s="489"/>
      <c r="AC6" s="1"/>
      <c r="AD6" s="1"/>
      <c r="AE6" s="1"/>
      <c r="AF6" s="1"/>
      <c r="AG6" s="1"/>
      <c r="AH6" s="1"/>
      <c r="AI6" s="1"/>
      <c r="AJ6" s="1"/>
      <c r="AK6" s="1"/>
      <c r="AL6" s="1"/>
      <c r="AM6" s="1"/>
      <c r="AN6" s="1"/>
      <c r="AO6" s="1"/>
      <c r="AP6" s="1"/>
      <c r="AQ6" s="1"/>
      <c r="AR6" s="1"/>
      <c r="AS6" s="1"/>
      <c r="AT6" s="1"/>
      <c r="AU6" s="1"/>
      <c r="AV6" s="1"/>
      <c r="AW6" s="1"/>
      <c r="AX6" s="1"/>
      <c r="AY6" s="1"/>
    </row>
    <row r="7" spans="1:51" ht="30" customHeight="1">
      <c r="A7" s="299"/>
      <c r="B7" s="488"/>
      <c r="C7" s="488"/>
      <c r="D7" s="488"/>
      <c r="E7" s="488"/>
      <c r="F7" s="488"/>
      <c r="G7" s="488"/>
      <c r="H7" s="488"/>
      <c r="I7" s="488"/>
      <c r="J7" s="488"/>
      <c r="K7" s="488"/>
      <c r="L7" s="488"/>
      <c r="M7" s="488"/>
      <c r="N7" s="489"/>
      <c r="O7" s="490"/>
      <c r="P7" s="1279"/>
      <c r="Q7" s="1279"/>
      <c r="R7" s="1279"/>
      <c r="S7" s="1279"/>
      <c r="T7" s="1279"/>
      <c r="U7" s="1279"/>
      <c r="V7" s="1279"/>
      <c r="W7" s="492"/>
      <c r="X7" s="493"/>
      <c r="Y7" s="493"/>
      <c r="Z7" s="493"/>
      <c r="AA7" s="493"/>
      <c r="AB7" s="494"/>
      <c r="AC7" s="576"/>
      <c r="AD7" s="576"/>
      <c r="AE7" s="576"/>
      <c r="AF7" s="576"/>
      <c r="AG7" s="576"/>
      <c r="AH7" s="576"/>
      <c r="AI7" s="576"/>
      <c r="AJ7" s="576"/>
      <c r="AK7" s="576"/>
      <c r="AL7" s="576"/>
      <c r="AM7" s="576"/>
      <c r="AN7" s="576"/>
      <c r="AO7" s="576"/>
      <c r="AP7" s="576"/>
      <c r="AQ7" s="576"/>
      <c r="AR7" s="576"/>
      <c r="AS7" s="576"/>
      <c r="AT7" s="576"/>
      <c r="AU7" s="576"/>
      <c r="AV7" s="576"/>
      <c r="AW7" s="576"/>
      <c r="AX7" s="576"/>
      <c r="AY7" s="576"/>
    </row>
    <row r="8" spans="1:51" ht="30" customHeight="1">
      <c r="A8" s="299"/>
      <c r="B8" s="488"/>
      <c r="C8" s="488"/>
      <c r="D8" s="488"/>
      <c r="E8" s="488"/>
      <c r="F8" s="488"/>
      <c r="G8" s="488"/>
      <c r="H8" s="488"/>
      <c r="I8" s="488"/>
      <c r="J8" s="488"/>
      <c r="K8" s="488"/>
      <c r="L8" s="488"/>
      <c r="M8" s="488"/>
      <c r="N8" s="489"/>
      <c r="O8" s="490"/>
      <c r="P8" s="491"/>
      <c r="Q8" s="491"/>
      <c r="R8" s="491"/>
      <c r="S8" s="491"/>
      <c r="T8" s="491"/>
      <c r="U8" s="491"/>
      <c r="V8" s="491"/>
      <c r="W8" s="492"/>
      <c r="X8" s="493"/>
      <c r="Y8" s="493"/>
      <c r="Z8" s="493"/>
      <c r="AA8" s="493"/>
      <c r="AB8" s="494"/>
      <c r="AC8" s="576"/>
      <c r="AD8" s="576"/>
      <c r="AE8" s="576"/>
      <c r="AF8" s="576"/>
      <c r="AG8" s="576"/>
      <c r="AH8" s="576"/>
      <c r="AI8" s="576"/>
      <c r="AJ8" s="576"/>
      <c r="AK8" s="576"/>
      <c r="AL8" s="576"/>
      <c r="AM8" s="576"/>
      <c r="AN8" s="576"/>
      <c r="AO8" s="576"/>
      <c r="AP8" s="576"/>
      <c r="AQ8" s="576"/>
      <c r="AR8" s="576"/>
      <c r="AS8" s="576"/>
      <c r="AT8" s="576"/>
      <c r="AU8" s="576"/>
      <c r="AV8" s="576"/>
      <c r="AW8" s="576"/>
      <c r="AX8" s="576"/>
      <c r="AY8" s="576"/>
    </row>
    <row r="9" spans="1:51" ht="30" customHeight="1">
      <c r="A9" s="299"/>
      <c r="B9" s="488"/>
      <c r="C9" s="488"/>
      <c r="D9" s="488"/>
      <c r="E9" s="488"/>
      <c r="F9" s="488"/>
      <c r="G9" s="488"/>
      <c r="H9" s="488"/>
      <c r="I9" s="488"/>
      <c r="J9" s="488"/>
      <c r="K9" s="488"/>
      <c r="L9" s="488"/>
      <c r="M9" s="488"/>
      <c r="N9" s="489"/>
      <c r="O9" s="299"/>
      <c r="P9" s="488"/>
      <c r="Q9" s="488"/>
      <c r="R9" s="488"/>
      <c r="S9" s="488"/>
      <c r="T9" s="488"/>
      <c r="U9" s="488"/>
      <c r="V9" s="488"/>
      <c r="W9" s="488"/>
      <c r="X9" s="488"/>
      <c r="Y9" s="488"/>
      <c r="Z9" s="488"/>
      <c r="AA9" s="488"/>
      <c r="AB9" s="489"/>
      <c r="AC9" s="1"/>
      <c r="AD9" s="1"/>
      <c r="AE9" s="1"/>
      <c r="AF9" s="1"/>
      <c r="AG9" s="1"/>
      <c r="AH9" s="1"/>
      <c r="AI9" s="1"/>
      <c r="AJ9" s="1"/>
      <c r="AK9" s="1"/>
      <c r="AL9" s="1"/>
      <c r="AM9" s="1"/>
      <c r="AN9" s="1"/>
      <c r="AO9" s="1"/>
      <c r="AP9" s="1"/>
      <c r="AQ9" s="1"/>
      <c r="AR9" s="1"/>
      <c r="AS9" s="1"/>
      <c r="AT9" s="1"/>
      <c r="AU9" s="1"/>
      <c r="AV9" s="1"/>
      <c r="AW9" s="1"/>
      <c r="AX9" s="1"/>
      <c r="AY9" s="1"/>
    </row>
    <row r="10" spans="1:51" ht="30" customHeight="1">
      <c r="A10" s="299"/>
      <c r="B10" s="488"/>
      <c r="C10" s="488"/>
      <c r="D10" s="488"/>
      <c r="E10" s="488"/>
      <c r="F10" s="488"/>
      <c r="G10" s="488"/>
      <c r="H10" s="488"/>
      <c r="I10" s="488"/>
      <c r="J10" s="488"/>
      <c r="K10" s="488"/>
      <c r="L10" s="488"/>
      <c r="M10" s="488"/>
      <c r="N10" s="489"/>
      <c r="O10" s="490"/>
      <c r="P10" s="1279"/>
      <c r="Q10" s="1279"/>
      <c r="R10" s="1279"/>
      <c r="S10" s="1279"/>
      <c r="T10" s="1279"/>
      <c r="U10" s="1279"/>
      <c r="V10" s="1279"/>
      <c r="W10" s="492"/>
      <c r="X10" s="493"/>
      <c r="Y10" s="493"/>
      <c r="Z10" s="493"/>
      <c r="AA10" s="493"/>
      <c r="AB10" s="494"/>
      <c r="AC10" s="576"/>
      <c r="AD10" s="576"/>
      <c r="AE10" s="576"/>
      <c r="AF10" s="576"/>
      <c r="AG10" s="576"/>
      <c r="AH10" s="576"/>
      <c r="AI10" s="576"/>
      <c r="AJ10" s="576"/>
      <c r="AK10" s="576"/>
      <c r="AL10" s="576"/>
      <c r="AM10" s="576"/>
      <c r="AN10" s="576"/>
      <c r="AO10" s="576"/>
      <c r="AP10" s="576"/>
      <c r="AQ10" s="576"/>
      <c r="AR10" s="576"/>
      <c r="AS10" s="576"/>
      <c r="AT10" s="576"/>
      <c r="AU10" s="576"/>
      <c r="AV10" s="576"/>
      <c r="AW10" s="576"/>
      <c r="AX10" s="576"/>
      <c r="AY10" s="576"/>
    </row>
    <row r="11" spans="1:51" ht="30" customHeight="1">
      <c r="A11" s="299"/>
      <c r="B11" s="488"/>
      <c r="C11" s="488"/>
      <c r="D11" s="488"/>
      <c r="E11" s="488"/>
      <c r="F11" s="488"/>
      <c r="G11" s="488"/>
      <c r="H11" s="488"/>
      <c r="I11" s="488"/>
      <c r="J11" s="488"/>
      <c r="K11" s="488"/>
      <c r="L11" s="488"/>
      <c r="M11" s="488"/>
      <c r="N11" s="489"/>
      <c r="O11" s="299"/>
      <c r="P11" s="488"/>
      <c r="Q11" s="488"/>
      <c r="R11" s="488"/>
      <c r="S11" s="488"/>
      <c r="T11" s="488"/>
      <c r="U11" s="488"/>
      <c r="V11" s="488"/>
      <c r="W11" s="488"/>
      <c r="X11" s="488"/>
      <c r="Y11" s="488"/>
      <c r="Z11" s="488"/>
      <c r="AA11" s="488"/>
      <c r="AB11" s="489"/>
      <c r="AC11" s="1"/>
      <c r="AD11" s="1"/>
      <c r="AE11" s="1"/>
      <c r="AF11" s="1"/>
      <c r="AG11" s="1"/>
      <c r="AH11" s="1"/>
      <c r="AI11" s="1"/>
      <c r="AJ11" s="1"/>
      <c r="AK11" s="1"/>
      <c r="AL11" s="1"/>
      <c r="AM11" s="1"/>
      <c r="AN11" s="1"/>
      <c r="AO11" s="1"/>
      <c r="AP11" s="1"/>
      <c r="AQ11" s="1"/>
      <c r="AR11" s="1"/>
      <c r="AS11" s="1"/>
      <c r="AT11" s="1"/>
      <c r="AU11" s="1"/>
      <c r="AV11" s="1"/>
      <c r="AW11" s="1"/>
      <c r="AX11" s="1"/>
      <c r="AY11" s="1"/>
    </row>
    <row r="12" spans="1:51" ht="30" customHeight="1">
      <c r="A12" s="299"/>
      <c r="B12" s="488"/>
      <c r="C12" s="488"/>
      <c r="D12" s="488"/>
      <c r="E12" s="488"/>
      <c r="F12" s="488"/>
      <c r="G12" s="488"/>
      <c r="H12" s="488"/>
      <c r="I12" s="488"/>
      <c r="J12" s="488"/>
      <c r="K12" s="488"/>
      <c r="L12" s="488"/>
      <c r="M12" s="488"/>
      <c r="N12" s="489"/>
      <c r="O12" s="490"/>
      <c r="P12" s="1279"/>
      <c r="Q12" s="1279"/>
      <c r="R12" s="1279"/>
      <c r="S12" s="1279"/>
      <c r="T12" s="1279"/>
      <c r="U12" s="1279"/>
      <c r="V12" s="1279"/>
      <c r="W12" s="492"/>
      <c r="X12" s="493"/>
      <c r="Y12" s="493"/>
      <c r="Z12" s="493"/>
      <c r="AA12" s="493"/>
      <c r="AB12" s="494"/>
      <c r="AC12" s="576"/>
      <c r="AD12" s="576"/>
      <c r="AE12" s="576"/>
      <c r="AF12" s="576"/>
      <c r="AG12" s="576"/>
      <c r="AH12" s="576"/>
      <c r="AI12" s="576"/>
      <c r="AJ12" s="576"/>
      <c r="AK12" s="576"/>
      <c r="AL12" s="576"/>
      <c r="AM12" s="576"/>
      <c r="AN12" s="576"/>
      <c r="AO12" s="576"/>
      <c r="AP12" s="576"/>
      <c r="AQ12" s="576"/>
      <c r="AR12" s="576"/>
      <c r="AS12" s="576"/>
      <c r="AT12" s="576"/>
      <c r="AU12" s="576"/>
      <c r="AV12" s="576"/>
      <c r="AW12" s="576"/>
      <c r="AX12" s="576"/>
      <c r="AY12" s="576"/>
    </row>
    <row r="13" spans="1:51" ht="30" customHeight="1">
      <c r="A13" s="299"/>
      <c r="B13" s="488"/>
      <c r="C13" s="488"/>
      <c r="D13" s="488"/>
      <c r="E13" s="488"/>
      <c r="F13" s="488"/>
      <c r="G13" s="488"/>
      <c r="H13" s="488"/>
      <c r="I13" s="488"/>
      <c r="J13" s="488"/>
      <c r="K13" s="488"/>
      <c r="L13" s="488"/>
      <c r="M13" s="488"/>
      <c r="N13" s="489"/>
      <c r="O13" s="299"/>
      <c r="P13" s="488"/>
      <c r="Q13" s="488"/>
      <c r="R13" s="488"/>
      <c r="S13" s="488"/>
      <c r="T13" s="488"/>
      <c r="U13" s="488"/>
      <c r="V13" s="488"/>
      <c r="W13" s="488"/>
      <c r="X13" s="488"/>
      <c r="Y13" s="488"/>
      <c r="Z13" s="488"/>
      <c r="AA13" s="488"/>
      <c r="AB13" s="489"/>
      <c r="AC13" s="1"/>
      <c r="AD13" s="1"/>
      <c r="AE13" s="1"/>
      <c r="AF13" s="1"/>
      <c r="AG13" s="1"/>
      <c r="AH13" s="1"/>
      <c r="AI13" s="1"/>
      <c r="AJ13" s="1"/>
      <c r="AK13" s="1"/>
      <c r="AL13" s="1"/>
      <c r="AM13" s="1"/>
      <c r="AN13" s="1"/>
      <c r="AO13" s="1"/>
      <c r="AP13" s="1"/>
      <c r="AQ13" s="1"/>
      <c r="AR13" s="1"/>
      <c r="AS13" s="1"/>
      <c r="AT13" s="1"/>
      <c r="AU13" s="1"/>
      <c r="AV13" s="1"/>
      <c r="AW13" s="1"/>
      <c r="AX13" s="1"/>
      <c r="AY13" s="1"/>
    </row>
    <row r="14" spans="1:51" ht="30" customHeight="1">
      <c r="A14" s="299"/>
      <c r="B14" s="488"/>
      <c r="C14" s="488"/>
      <c r="D14" s="488"/>
      <c r="E14" s="488"/>
      <c r="F14" s="488"/>
      <c r="G14" s="488"/>
      <c r="H14" s="488"/>
      <c r="I14" s="488"/>
      <c r="J14" s="488"/>
      <c r="K14" s="488"/>
      <c r="L14" s="488"/>
      <c r="M14" s="488"/>
      <c r="N14" s="489"/>
      <c r="O14" s="299"/>
      <c r="P14" s="488"/>
      <c r="Q14" s="488"/>
      <c r="R14" s="488"/>
      <c r="S14" s="488"/>
      <c r="T14" s="488"/>
      <c r="U14" s="488"/>
      <c r="V14" s="488"/>
      <c r="W14" s="488"/>
      <c r="X14" s="488"/>
      <c r="Y14" s="488"/>
      <c r="Z14" s="488"/>
      <c r="AA14" s="488"/>
      <c r="AB14" s="489"/>
      <c r="AC14" s="1"/>
      <c r="AD14" s="1"/>
      <c r="AE14" s="1"/>
      <c r="AF14" s="1"/>
      <c r="AG14" s="1"/>
      <c r="AH14" s="1"/>
      <c r="AI14" s="1"/>
      <c r="AJ14" s="1"/>
      <c r="AK14" s="1"/>
      <c r="AL14" s="1"/>
      <c r="AM14" s="1"/>
      <c r="AN14" s="1"/>
      <c r="AO14" s="1"/>
      <c r="AP14" s="1"/>
      <c r="AQ14" s="1"/>
      <c r="AR14" s="1"/>
      <c r="AS14" s="1"/>
      <c r="AT14" s="1"/>
      <c r="AU14" s="1"/>
      <c r="AV14" s="1"/>
      <c r="AW14" s="1"/>
      <c r="AX14" s="1"/>
      <c r="AY14" s="1"/>
    </row>
    <row r="15" spans="1:51" ht="30" customHeight="1">
      <c r="A15" s="299"/>
      <c r="B15" s="488"/>
      <c r="C15" s="488"/>
      <c r="D15" s="488"/>
      <c r="E15" s="488"/>
      <c r="F15" s="488"/>
      <c r="G15" s="488"/>
      <c r="H15" s="488"/>
      <c r="I15" s="488"/>
      <c r="J15" s="488"/>
      <c r="K15" s="488"/>
      <c r="L15" s="488"/>
      <c r="M15" s="488"/>
      <c r="N15" s="489"/>
      <c r="O15" s="299"/>
      <c r="P15" s="488"/>
      <c r="Q15" s="488"/>
      <c r="R15" s="488"/>
      <c r="S15" s="488"/>
      <c r="T15" s="488"/>
      <c r="U15" s="488"/>
      <c r="V15" s="488"/>
      <c r="W15" s="488"/>
      <c r="X15" s="488"/>
      <c r="Y15" s="488"/>
      <c r="Z15" s="488"/>
      <c r="AA15" s="488"/>
      <c r="AB15" s="489"/>
      <c r="AC15" s="1"/>
      <c r="AD15" s="1"/>
      <c r="AE15" s="1"/>
      <c r="AF15" s="1"/>
      <c r="AG15" s="1"/>
      <c r="AH15" s="1"/>
      <c r="AI15" s="1"/>
      <c r="AJ15" s="1"/>
      <c r="AK15" s="1"/>
      <c r="AL15" s="1"/>
      <c r="AM15" s="1"/>
      <c r="AN15" s="1"/>
      <c r="AO15" s="1"/>
      <c r="AP15" s="1"/>
      <c r="AQ15" s="1"/>
      <c r="AR15" s="1"/>
      <c r="AS15" s="1"/>
      <c r="AT15" s="1"/>
      <c r="AU15" s="1"/>
      <c r="AV15" s="1"/>
      <c r="AW15" s="1"/>
      <c r="AX15" s="1"/>
      <c r="AY15" s="1"/>
    </row>
    <row r="16" spans="1:51" ht="30" customHeight="1">
      <c r="A16" s="299"/>
      <c r="B16" s="488"/>
      <c r="C16" s="488"/>
      <c r="D16" s="488"/>
      <c r="E16" s="488"/>
      <c r="F16" s="488"/>
      <c r="G16" s="488"/>
      <c r="H16" s="488"/>
      <c r="I16" s="488"/>
      <c r="J16" s="488"/>
      <c r="K16" s="488"/>
      <c r="L16" s="488"/>
      <c r="M16" s="488"/>
      <c r="N16" s="489"/>
      <c r="O16" s="299"/>
      <c r="P16" s="488"/>
      <c r="Q16" s="488"/>
      <c r="R16" s="488"/>
      <c r="S16" s="488"/>
      <c r="T16" s="488"/>
      <c r="U16" s="488"/>
      <c r="V16" s="488"/>
      <c r="W16" s="488"/>
      <c r="X16" s="488"/>
      <c r="Y16" s="488"/>
      <c r="Z16" s="488"/>
      <c r="AA16" s="488"/>
      <c r="AB16" s="489"/>
      <c r="AC16" s="1"/>
      <c r="AD16" s="1"/>
      <c r="AE16" s="1"/>
      <c r="AF16" s="1"/>
      <c r="AG16" s="1"/>
      <c r="AH16" s="1"/>
      <c r="AI16" s="1"/>
      <c r="AJ16" s="1"/>
      <c r="AK16" s="1"/>
      <c r="AL16" s="1"/>
      <c r="AM16" s="1"/>
      <c r="AN16" s="1"/>
      <c r="AO16" s="1"/>
      <c r="AP16" s="1"/>
      <c r="AQ16" s="1"/>
      <c r="AR16" s="1"/>
      <c r="AS16" s="1"/>
      <c r="AT16" s="1"/>
      <c r="AU16" s="1"/>
      <c r="AV16" s="1"/>
      <c r="AW16" s="1"/>
      <c r="AX16" s="1"/>
      <c r="AY16" s="1"/>
    </row>
    <row r="17" spans="1:51" ht="30" customHeight="1">
      <c r="A17" s="299"/>
      <c r="B17" s="488"/>
      <c r="C17" s="488"/>
      <c r="D17" s="488"/>
      <c r="E17" s="488"/>
      <c r="F17" s="488"/>
      <c r="G17" s="488"/>
      <c r="H17" s="488"/>
      <c r="I17" s="488"/>
      <c r="J17" s="488"/>
      <c r="K17" s="488"/>
      <c r="L17" s="488"/>
      <c r="M17" s="488"/>
      <c r="N17" s="489"/>
      <c r="O17" s="299"/>
      <c r="P17" s="488"/>
      <c r="Q17" s="488"/>
      <c r="R17" s="488"/>
      <c r="S17" s="488"/>
      <c r="T17" s="488"/>
      <c r="U17" s="488"/>
      <c r="V17" s="488"/>
      <c r="W17" s="488"/>
      <c r="X17" s="488"/>
      <c r="Y17" s="488"/>
      <c r="Z17" s="488"/>
      <c r="AA17" s="488"/>
      <c r="AB17" s="489"/>
      <c r="AC17" s="1"/>
      <c r="AD17" s="1"/>
      <c r="AE17" s="1"/>
      <c r="AF17" s="1"/>
      <c r="AG17" s="1"/>
      <c r="AH17" s="1"/>
      <c r="AI17" s="1"/>
      <c r="AJ17" s="1"/>
      <c r="AK17" s="1"/>
      <c r="AL17" s="1"/>
      <c r="AM17" s="1"/>
      <c r="AN17" s="1"/>
      <c r="AO17" s="1"/>
      <c r="AP17" s="1"/>
      <c r="AQ17" s="1"/>
      <c r="AR17" s="1"/>
      <c r="AS17" s="1"/>
      <c r="AT17" s="1"/>
      <c r="AU17" s="1"/>
      <c r="AV17" s="1"/>
      <c r="AW17" s="1"/>
      <c r="AX17" s="1"/>
      <c r="AY17" s="1"/>
    </row>
    <row r="18" spans="1:51" ht="30" customHeight="1">
      <c r="A18" s="299"/>
      <c r="B18" s="488"/>
      <c r="C18" s="488"/>
      <c r="D18" s="488"/>
      <c r="E18" s="488"/>
      <c r="F18" s="488"/>
      <c r="G18" s="488"/>
      <c r="H18" s="488"/>
      <c r="I18" s="488"/>
      <c r="J18" s="488"/>
      <c r="K18" s="488"/>
      <c r="L18" s="488"/>
      <c r="M18" s="488"/>
      <c r="N18" s="489"/>
      <c r="O18" s="299"/>
      <c r="P18" s="488"/>
      <c r="Q18" s="488"/>
      <c r="R18" s="488"/>
      <c r="S18" s="488"/>
      <c r="T18" s="488"/>
      <c r="U18" s="488"/>
      <c r="V18" s="488"/>
      <c r="W18" s="488"/>
      <c r="X18" s="488"/>
      <c r="Y18" s="488"/>
      <c r="Z18" s="488"/>
      <c r="AA18" s="488"/>
      <c r="AB18" s="489"/>
      <c r="AC18" s="1"/>
      <c r="AD18" s="1"/>
      <c r="AE18" s="1"/>
      <c r="AF18" s="1"/>
      <c r="AG18" s="1"/>
      <c r="AH18" s="1"/>
      <c r="AI18" s="1"/>
      <c r="AJ18" s="1"/>
      <c r="AK18" s="1"/>
      <c r="AL18" s="1"/>
      <c r="AM18" s="1"/>
      <c r="AN18" s="1"/>
      <c r="AO18" s="1"/>
      <c r="AP18" s="1"/>
      <c r="AQ18" s="1"/>
      <c r="AR18" s="1"/>
      <c r="AS18" s="1"/>
      <c r="AT18" s="1"/>
      <c r="AU18" s="1"/>
      <c r="AV18" s="1"/>
      <c r="AW18" s="1"/>
      <c r="AX18" s="1"/>
      <c r="AY18" s="1"/>
    </row>
    <row r="19" spans="1:51" ht="30" customHeight="1">
      <c r="A19" s="299"/>
      <c r="B19" s="488"/>
      <c r="C19" s="488"/>
      <c r="D19" s="488"/>
      <c r="E19" s="488"/>
      <c r="F19" s="488"/>
      <c r="G19" s="488"/>
      <c r="H19" s="488"/>
      <c r="I19" s="488"/>
      <c r="J19" s="488"/>
      <c r="K19" s="488"/>
      <c r="L19" s="488"/>
      <c r="M19" s="488"/>
      <c r="N19" s="489"/>
      <c r="O19" s="299"/>
      <c r="P19" s="488"/>
      <c r="Q19" s="488"/>
      <c r="R19" s="488"/>
      <c r="S19" s="488"/>
      <c r="T19" s="488"/>
      <c r="U19" s="488"/>
      <c r="V19" s="488"/>
      <c r="W19" s="488"/>
      <c r="X19" s="488"/>
      <c r="Y19" s="488"/>
      <c r="Z19" s="488"/>
      <c r="AA19" s="488"/>
      <c r="AB19" s="489"/>
      <c r="AC19" s="1"/>
      <c r="AD19" s="1"/>
      <c r="AE19" s="1"/>
      <c r="AF19" s="1"/>
      <c r="AG19" s="1"/>
      <c r="AH19" s="1"/>
      <c r="AI19" s="1"/>
      <c r="AJ19" s="1"/>
      <c r="AK19" s="1"/>
      <c r="AL19" s="1"/>
      <c r="AM19" s="1"/>
      <c r="AN19" s="1"/>
      <c r="AO19" s="1"/>
      <c r="AP19" s="1"/>
      <c r="AQ19" s="1"/>
      <c r="AR19" s="1"/>
      <c r="AS19" s="1"/>
      <c r="AT19" s="1"/>
      <c r="AU19" s="1"/>
      <c r="AV19" s="1"/>
      <c r="AW19" s="1"/>
      <c r="AX19" s="1"/>
      <c r="AY19" s="1"/>
    </row>
    <row r="20" spans="1:51" ht="40.049999999999997" customHeight="1">
      <c r="A20" s="299"/>
      <c r="B20" s="1287" t="s">
        <v>1787</v>
      </c>
      <c r="C20" s="1287"/>
      <c r="D20" s="1287"/>
      <c r="E20" s="1287"/>
      <c r="F20" s="1287"/>
      <c r="G20" s="1287"/>
      <c r="H20" s="1287"/>
      <c r="I20" s="1287"/>
      <c r="J20" s="1287"/>
      <c r="K20" s="1287"/>
      <c r="L20" s="1287"/>
      <c r="M20" s="1287"/>
      <c r="N20" s="489"/>
      <c r="O20" s="299"/>
      <c r="P20" s="488"/>
      <c r="Q20" s="488"/>
      <c r="R20" s="488"/>
      <c r="S20" s="488"/>
      <c r="T20" s="488"/>
      <c r="U20" s="488"/>
      <c r="V20" s="488"/>
      <c r="W20" s="488"/>
      <c r="X20" s="488"/>
      <c r="Y20" s="488"/>
      <c r="Z20" s="488"/>
      <c r="AA20" s="488"/>
      <c r="AB20" s="489"/>
      <c r="AC20" s="1"/>
      <c r="AD20" s="1"/>
      <c r="AE20" s="1"/>
      <c r="AF20" s="1"/>
      <c r="AG20" s="1"/>
      <c r="AH20" s="1"/>
      <c r="AI20" s="1"/>
      <c r="AJ20" s="1"/>
      <c r="AK20" s="1"/>
      <c r="AL20" s="1"/>
      <c r="AM20" s="1"/>
      <c r="AN20" s="1"/>
      <c r="AO20" s="1"/>
      <c r="AP20" s="1"/>
      <c r="AQ20" s="1"/>
      <c r="AR20" s="1"/>
      <c r="AS20" s="1"/>
      <c r="AT20" s="1"/>
      <c r="AU20" s="1"/>
      <c r="AV20" s="1"/>
      <c r="AW20" s="1"/>
      <c r="AX20" s="1"/>
      <c r="AY20" s="1"/>
    </row>
    <row r="21" spans="1:51" ht="30" customHeight="1">
      <c r="A21" s="299"/>
      <c r="B21" s="1276" t="s">
        <v>1786</v>
      </c>
      <c r="C21" s="1276"/>
      <c r="D21" s="1276"/>
      <c r="E21" s="1276"/>
      <c r="F21" s="1276"/>
      <c r="G21" s="1276"/>
      <c r="H21" s="1276"/>
      <c r="I21" s="1276"/>
      <c r="J21" s="1276"/>
      <c r="K21" s="1276"/>
      <c r="L21" s="1276"/>
      <c r="M21" s="1276"/>
      <c r="N21" s="489"/>
      <c r="O21" s="299"/>
      <c r="P21" s="488"/>
      <c r="Q21" s="488"/>
      <c r="R21" s="488"/>
      <c r="S21" s="488"/>
      <c r="T21" s="488"/>
      <c r="U21" s="488"/>
      <c r="V21" s="488"/>
      <c r="W21" s="488"/>
      <c r="X21" s="488"/>
      <c r="Y21" s="488"/>
      <c r="Z21" s="488"/>
      <c r="AA21" s="488"/>
      <c r="AB21" s="489"/>
      <c r="AC21" s="1"/>
      <c r="AD21" s="1"/>
      <c r="AE21" s="1"/>
      <c r="AF21" s="1"/>
      <c r="AG21" s="1"/>
      <c r="AH21" s="1"/>
      <c r="AI21" s="1"/>
      <c r="AJ21" s="1"/>
      <c r="AK21" s="1"/>
      <c r="AL21" s="1"/>
      <c r="AM21" s="1"/>
      <c r="AN21" s="1"/>
      <c r="AO21" s="1"/>
      <c r="AP21" s="1"/>
      <c r="AQ21" s="1"/>
      <c r="AR21" s="1"/>
      <c r="AS21" s="1"/>
      <c r="AT21" s="1"/>
      <c r="AU21" s="1"/>
      <c r="AV21" s="1"/>
      <c r="AW21" s="1"/>
      <c r="AX21" s="1"/>
      <c r="AY21" s="1"/>
    </row>
    <row r="22" spans="1:51" ht="30" customHeight="1">
      <c r="A22" s="299"/>
      <c r="B22" s="488"/>
      <c r="C22" s="488"/>
      <c r="D22" s="488"/>
      <c r="E22" s="488"/>
      <c r="F22" s="488"/>
      <c r="G22" s="488"/>
      <c r="H22" s="488"/>
      <c r="I22" s="488"/>
      <c r="J22" s="488"/>
      <c r="K22" s="488"/>
      <c r="L22" s="488"/>
      <c r="M22" s="488"/>
      <c r="N22" s="489"/>
      <c r="O22" s="299"/>
      <c r="P22" s="488"/>
      <c r="Q22" s="488"/>
      <c r="R22" s="488"/>
      <c r="S22" s="488"/>
      <c r="T22" s="488"/>
      <c r="U22" s="488"/>
      <c r="V22" s="488"/>
      <c r="W22" s="488"/>
      <c r="X22" s="488"/>
      <c r="Y22" s="488"/>
      <c r="Z22" s="488"/>
      <c r="AA22" s="488"/>
      <c r="AB22" s="489"/>
      <c r="AC22" s="1"/>
      <c r="AD22" s="1"/>
      <c r="AE22" s="1"/>
      <c r="AF22" s="1"/>
      <c r="AG22" s="1"/>
      <c r="AH22" s="1"/>
      <c r="AI22" s="1"/>
      <c r="AJ22" s="1"/>
      <c r="AK22" s="1"/>
      <c r="AL22" s="1"/>
      <c r="AM22" s="1"/>
      <c r="AN22" s="1"/>
      <c r="AO22" s="1"/>
      <c r="AP22" s="1"/>
      <c r="AQ22" s="1"/>
      <c r="AR22" s="1"/>
      <c r="AS22" s="1"/>
      <c r="AT22" s="1"/>
      <c r="AU22" s="1"/>
      <c r="AV22" s="1"/>
      <c r="AW22" s="1"/>
      <c r="AX22" s="1"/>
      <c r="AY22" s="1"/>
    </row>
    <row r="23" spans="1:51" ht="60" customHeight="1">
      <c r="A23" s="479"/>
      <c r="B23" s="479"/>
      <c r="C23" s="479"/>
      <c r="D23" s="479"/>
      <c r="E23" s="479"/>
      <c r="F23" s="479"/>
      <c r="G23" s="479"/>
      <c r="H23" s="479"/>
      <c r="I23" s="479"/>
      <c r="J23" s="479"/>
      <c r="K23" s="479"/>
      <c r="L23" s="479"/>
      <c r="M23" s="479"/>
      <c r="N23" s="479"/>
      <c r="O23" s="479"/>
      <c r="P23" s="479"/>
      <c r="Q23" s="479"/>
      <c r="R23" s="479"/>
      <c r="S23" s="479"/>
      <c r="T23" s="479"/>
      <c r="U23" s="479"/>
      <c r="V23" s="479"/>
      <c r="W23" s="479"/>
      <c r="X23" s="479"/>
      <c r="Y23" s="479"/>
      <c r="Z23" s="479"/>
      <c r="AA23" s="479"/>
      <c r="AB23" s="479"/>
    </row>
    <row r="24" spans="1:51" ht="19.95" customHeight="1">
      <c r="A24" s="479"/>
      <c r="B24" s="479"/>
      <c r="C24" s="479"/>
      <c r="D24" s="479"/>
      <c r="E24" s="479"/>
      <c r="F24" s="479"/>
      <c r="G24" s="479"/>
      <c r="H24" s="479"/>
      <c r="I24" s="479"/>
      <c r="J24" s="479"/>
      <c r="K24" s="479"/>
      <c r="L24" s="479"/>
      <c r="M24" s="479"/>
      <c r="N24" s="479"/>
      <c r="O24" s="479"/>
      <c r="P24" s="479"/>
      <c r="Q24" s="479"/>
      <c r="R24" s="479"/>
      <c r="S24" s="479"/>
      <c r="T24" s="479"/>
      <c r="U24" s="479"/>
      <c r="V24" s="479"/>
      <c r="W24" s="479"/>
      <c r="X24" s="479"/>
      <c r="Y24" s="479"/>
      <c r="Z24" s="479"/>
      <c r="AA24" s="479"/>
      <c r="AB24" s="479"/>
    </row>
    <row r="25" spans="1:51" ht="19.95" customHeight="1" thickBot="1">
      <c r="A25" s="479"/>
      <c r="B25" s="479"/>
      <c r="C25" s="479"/>
      <c r="D25" s="479"/>
      <c r="E25" s="479"/>
      <c r="F25" s="479"/>
      <c r="G25" s="479"/>
      <c r="H25" s="479"/>
      <c r="I25" s="479"/>
      <c r="J25" s="479"/>
      <c r="K25" s="479"/>
      <c r="L25" s="479"/>
      <c r="M25" s="479"/>
      <c r="N25" s="479"/>
      <c r="O25" s="479"/>
      <c r="P25" s="479"/>
      <c r="Q25" s="479"/>
      <c r="R25" s="479"/>
      <c r="S25" s="479"/>
      <c r="T25" s="479"/>
      <c r="U25" s="479"/>
      <c r="V25" s="479"/>
      <c r="W25" s="479"/>
      <c r="X25" s="479"/>
      <c r="Y25" s="479"/>
      <c r="Z25" s="479"/>
      <c r="AA25" s="479"/>
      <c r="AB25" s="479"/>
    </row>
    <row r="26" spans="1:51" ht="19.95" customHeight="1">
      <c r="A26" s="479"/>
      <c r="B26" s="555"/>
      <c r="C26" s="556"/>
      <c r="D26" s="556"/>
      <c r="E26" s="556"/>
      <c r="F26" s="556"/>
      <c r="G26" s="556"/>
      <c r="H26" s="556"/>
      <c r="I26" s="556"/>
      <c r="J26" s="556"/>
      <c r="K26" s="556"/>
      <c r="L26" s="556"/>
      <c r="M26" s="557"/>
      <c r="N26" s="479"/>
      <c r="O26" s="479"/>
      <c r="P26" s="479"/>
      <c r="Q26" s="479"/>
      <c r="R26" s="479"/>
      <c r="S26" s="479"/>
      <c r="T26" s="479"/>
      <c r="U26" s="479"/>
      <c r="V26" s="479"/>
      <c r="W26" s="479"/>
      <c r="X26" s="479"/>
      <c r="Y26" s="479"/>
      <c r="Z26" s="479"/>
      <c r="AA26" s="479"/>
      <c r="AB26" s="479"/>
    </row>
    <row r="27" spans="1:51" ht="49.95" customHeight="1">
      <c r="A27" s="479"/>
      <c r="B27" s="558"/>
      <c r="C27" s="525"/>
      <c r="D27" s="525"/>
      <c r="E27" s="525"/>
      <c r="F27" s="525"/>
      <c r="G27" s="525"/>
      <c r="H27" s="525"/>
      <c r="I27" s="525"/>
      <c r="J27" s="525"/>
      <c r="K27" s="525"/>
      <c r="L27" s="525"/>
      <c r="M27" s="559"/>
      <c r="N27" s="479"/>
      <c r="O27" s="479"/>
      <c r="P27" s="479"/>
      <c r="Q27" s="479"/>
      <c r="R27" s="479"/>
      <c r="S27" s="479"/>
      <c r="T27" s="479"/>
      <c r="U27" s="479"/>
      <c r="V27" s="479"/>
      <c r="W27" s="479"/>
      <c r="X27" s="479"/>
      <c r="Y27" s="479"/>
      <c r="Z27" s="479"/>
      <c r="AA27" s="479"/>
      <c r="AB27" s="479"/>
    </row>
    <row r="28" spans="1:51" ht="19.95" customHeight="1">
      <c r="A28" s="479"/>
      <c r="B28" s="558"/>
      <c r="C28" s="525"/>
      <c r="D28" s="525"/>
      <c r="E28" s="525"/>
      <c r="F28" s="525"/>
      <c r="G28" s="525"/>
      <c r="H28" s="525"/>
      <c r="I28" s="525"/>
      <c r="J28" s="525"/>
      <c r="K28" s="525"/>
      <c r="L28" s="525"/>
      <c r="M28" s="559"/>
      <c r="N28" s="479"/>
      <c r="O28" s="479"/>
      <c r="P28" s="479"/>
      <c r="Q28" s="479"/>
      <c r="R28" s="479"/>
      <c r="S28" s="479"/>
      <c r="T28" s="479"/>
      <c r="U28" s="479"/>
      <c r="V28" s="479"/>
      <c r="W28" s="479"/>
      <c r="X28" s="479"/>
      <c r="Y28" s="479"/>
      <c r="Z28" s="479"/>
      <c r="AA28" s="479"/>
      <c r="AB28" s="479"/>
    </row>
    <row r="29" spans="1:51" ht="19.95" customHeight="1">
      <c r="A29" s="479"/>
      <c r="B29" s="558"/>
      <c r="C29" s="525"/>
      <c r="D29" s="525"/>
      <c r="E29" s="525"/>
      <c r="F29" s="525"/>
      <c r="G29" s="525"/>
      <c r="H29" s="525"/>
      <c r="I29" s="525"/>
      <c r="J29" s="525"/>
      <c r="K29" s="525"/>
      <c r="L29" s="525"/>
      <c r="M29" s="559"/>
      <c r="N29" s="479"/>
      <c r="O29" s="479"/>
      <c r="P29" s="479"/>
      <c r="Q29" s="479"/>
      <c r="R29" s="479"/>
      <c r="S29" s="479"/>
      <c r="T29" s="479"/>
      <c r="U29" s="479"/>
      <c r="V29" s="479"/>
      <c r="W29" s="479"/>
      <c r="X29" s="479"/>
      <c r="Y29" s="479"/>
      <c r="Z29" s="479"/>
      <c r="AA29" s="479"/>
      <c r="AB29" s="479"/>
    </row>
    <row r="30" spans="1:51" ht="19.95" customHeight="1">
      <c r="A30" s="479"/>
      <c r="B30" s="558"/>
      <c r="C30" s="525"/>
      <c r="D30" s="525"/>
      <c r="E30" s="525"/>
      <c r="F30" s="525"/>
      <c r="G30" s="525"/>
      <c r="H30" s="525"/>
      <c r="I30" s="525"/>
      <c r="J30" s="525"/>
      <c r="K30" s="525"/>
      <c r="L30" s="525"/>
      <c r="M30" s="559"/>
      <c r="N30" s="479"/>
      <c r="O30" s="479"/>
      <c r="P30" s="479"/>
      <c r="Q30" s="479"/>
      <c r="R30" s="479"/>
      <c r="S30" s="479"/>
      <c r="T30" s="479"/>
      <c r="U30" s="479"/>
      <c r="V30" s="479"/>
      <c r="W30" s="479"/>
      <c r="X30" s="479"/>
      <c r="Y30" s="479"/>
      <c r="Z30" s="479"/>
      <c r="AA30" s="479"/>
      <c r="AB30" s="479"/>
    </row>
    <row r="31" spans="1:51" ht="19.95" customHeight="1" thickBot="1">
      <c r="A31" s="479"/>
      <c r="B31" s="560"/>
      <c r="C31" s="561"/>
      <c r="D31" s="561"/>
      <c r="E31" s="561"/>
      <c r="F31" s="561"/>
      <c r="G31" s="561"/>
      <c r="H31" s="561"/>
      <c r="I31" s="561"/>
      <c r="J31" s="561"/>
      <c r="K31" s="561"/>
      <c r="L31" s="561"/>
      <c r="M31" s="562"/>
      <c r="N31" s="479"/>
      <c r="O31" s="479"/>
      <c r="P31" s="479"/>
      <c r="Q31" s="479"/>
      <c r="R31" s="479"/>
      <c r="S31" s="479"/>
      <c r="T31" s="479"/>
      <c r="U31" s="479"/>
      <c r="V31" s="479"/>
      <c r="W31" s="479"/>
      <c r="X31" s="479"/>
      <c r="Y31" s="479"/>
      <c r="Z31" s="479"/>
      <c r="AA31" s="479"/>
      <c r="AB31" s="479"/>
    </row>
    <row r="32" spans="1:51" ht="10.050000000000001" customHeight="1" thickBot="1">
      <c r="A32" s="479"/>
      <c r="B32" s="479"/>
      <c r="C32" s="523"/>
      <c r="D32" s="479"/>
      <c r="E32" s="479"/>
      <c r="F32" s="479"/>
      <c r="G32" s="479"/>
      <c r="H32" s="479"/>
      <c r="I32" s="479"/>
      <c r="J32" s="479"/>
      <c r="K32" s="479"/>
      <c r="L32" s="479"/>
      <c r="M32" s="479"/>
      <c r="N32" s="479"/>
      <c r="O32" s="479"/>
      <c r="P32" s="479"/>
      <c r="Q32" s="479"/>
      <c r="R32" s="479"/>
      <c r="S32" s="479"/>
      <c r="T32" s="479"/>
      <c r="U32" s="479"/>
      <c r="V32" s="479"/>
      <c r="W32" s="479"/>
      <c r="X32" s="479"/>
      <c r="Y32" s="479"/>
      <c r="Z32" s="479"/>
      <c r="AA32" s="479"/>
      <c r="AB32" s="479"/>
    </row>
    <row r="33" spans="1:28" ht="19.95" customHeight="1">
      <c r="A33" s="479"/>
      <c r="B33" s="529"/>
      <c r="C33" s="552" t="s">
        <v>2010</v>
      </c>
      <c r="D33" s="552"/>
      <c r="E33" s="530"/>
      <c r="F33" s="530"/>
      <c r="G33" s="530"/>
      <c r="H33" s="530"/>
      <c r="I33" s="530"/>
      <c r="J33" s="530"/>
      <c r="K33" s="530"/>
      <c r="L33" s="541">
        <v>2</v>
      </c>
      <c r="M33" s="545">
        <v>2</v>
      </c>
      <c r="N33" s="479"/>
      <c r="O33" s="479"/>
      <c r="P33" s="479"/>
      <c r="Q33" s="479"/>
      <c r="R33" s="479"/>
      <c r="S33" s="479"/>
      <c r="T33" s="479"/>
      <c r="U33" s="479"/>
      <c r="V33" s="479"/>
      <c r="W33" s="479"/>
      <c r="X33" s="479"/>
      <c r="Y33" s="479"/>
      <c r="Z33" s="479"/>
      <c r="AA33" s="479"/>
      <c r="AB33" s="479"/>
    </row>
    <row r="34" spans="1:28" ht="19.95" customHeight="1">
      <c r="A34" s="479"/>
      <c r="B34" s="531"/>
      <c r="C34" s="554" t="s">
        <v>1790</v>
      </c>
      <c r="D34" s="553"/>
      <c r="E34" s="525"/>
      <c r="F34" s="525"/>
      <c r="G34" s="525"/>
      <c r="H34" s="532"/>
      <c r="I34" s="525"/>
      <c r="J34" s="525"/>
      <c r="K34" s="525"/>
      <c r="L34" s="542">
        <v>3</v>
      </c>
      <c r="M34" s="546">
        <v>3</v>
      </c>
      <c r="N34" s="479"/>
      <c r="O34" s="479"/>
      <c r="P34" s="479"/>
      <c r="Q34" s="479"/>
      <c r="R34" s="479"/>
      <c r="S34" s="479"/>
      <c r="T34" s="479"/>
      <c r="U34" s="479"/>
      <c r="V34" s="479"/>
      <c r="W34" s="479"/>
      <c r="X34" s="479"/>
      <c r="Y34" s="479"/>
      <c r="Z34" s="479"/>
      <c r="AA34" s="479"/>
      <c r="AB34" s="479"/>
    </row>
    <row r="35" spans="1:28" ht="19.95" customHeight="1" thickBot="1">
      <c r="A35" s="479"/>
      <c r="B35" s="533"/>
      <c r="C35" s="1284" t="str">
        <f>B89</f>
        <v>Slipping into political tension</v>
      </c>
      <c r="D35" s="1284"/>
      <c r="E35" s="1284"/>
      <c r="F35" s="1284"/>
      <c r="G35" s="1284"/>
      <c r="H35" s="580" t="s">
        <v>1794</v>
      </c>
      <c r="I35" s="563" t="s">
        <v>1793</v>
      </c>
      <c r="J35" s="563" t="s">
        <v>1792</v>
      </c>
      <c r="K35" s="563" t="s">
        <v>1791</v>
      </c>
      <c r="L35" s="543">
        <v>4</v>
      </c>
      <c r="M35" s="547">
        <v>4</v>
      </c>
      <c r="N35" s="479"/>
      <c r="O35" s="479"/>
      <c r="P35" s="479"/>
      <c r="Q35" s="479"/>
      <c r="R35" s="479"/>
      <c r="S35" s="479"/>
      <c r="T35" s="479"/>
      <c r="U35" s="479"/>
      <c r="V35" s="479"/>
      <c r="W35" s="479"/>
      <c r="X35" s="479"/>
      <c r="Y35" s="479"/>
      <c r="Z35" s="479"/>
      <c r="AA35" s="479"/>
      <c r="AB35" s="479"/>
    </row>
    <row r="36" spans="1:28" ht="25.05" customHeight="1" thickTop="1">
      <c r="A36" s="479"/>
      <c r="B36" s="526"/>
      <c r="C36" s="1283" t="str">
        <f>B126</f>
        <v>Moving therapy beyond popular politics</v>
      </c>
      <c r="D36" s="1283"/>
      <c r="E36" s="1283"/>
      <c r="F36" s="1283"/>
      <c r="G36" s="1283"/>
      <c r="H36" s="1283"/>
      <c r="I36" s="1283"/>
      <c r="J36" s="1283"/>
      <c r="K36" s="1283"/>
      <c r="L36" s="544">
        <v>5</v>
      </c>
      <c r="M36" s="548">
        <v>5</v>
      </c>
      <c r="N36" s="479"/>
      <c r="O36" s="479"/>
      <c r="P36" s="479"/>
      <c r="Q36" s="479"/>
      <c r="R36" s="479"/>
      <c r="S36" s="479"/>
      <c r="T36" s="479"/>
      <c r="U36" s="479"/>
      <c r="V36" s="479"/>
      <c r="W36" s="479"/>
      <c r="X36" s="479"/>
      <c r="Y36" s="479"/>
      <c r="Z36" s="479"/>
      <c r="AA36" s="479"/>
      <c r="AB36" s="479"/>
    </row>
    <row r="37" spans="1:28" ht="19.95" customHeight="1">
      <c r="A37" s="479"/>
      <c r="B37" s="527"/>
      <c r="C37" s="1285" t="str">
        <f>B163</f>
        <v>1. Politics reveals your client's unresolved needs.</v>
      </c>
      <c r="D37" s="1285"/>
      <c r="E37" s="1285"/>
      <c r="F37" s="1285"/>
      <c r="G37" s="1285"/>
      <c r="H37" s="1285"/>
      <c r="I37" s="1285"/>
      <c r="J37" s="1285"/>
      <c r="K37" s="1285"/>
      <c r="L37" s="542">
        <v>6</v>
      </c>
      <c r="M37" s="549">
        <v>6</v>
      </c>
      <c r="N37" s="479"/>
      <c r="O37" s="479"/>
      <c r="P37" s="479"/>
      <c r="Q37" s="479"/>
      <c r="R37" s="479"/>
      <c r="S37" s="479"/>
      <c r="T37" s="479"/>
      <c r="U37" s="479"/>
      <c r="V37" s="479"/>
      <c r="W37" s="479"/>
      <c r="X37" s="479"/>
      <c r="Y37" s="479"/>
      <c r="Z37" s="479"/>
      <c r="AA37" s="479"/>
      <c r="AB37" s="479"/>
    </row>
    <row r="38" spans="1:28" ht="19.95" customHeight="1">
      <c r="A38" s="479"/>
      <c r="B38" s="527"/>
      <c r="C38" s="1285" t="str">
        <f>B203</f>
        <v>2. Politics unmasks your client's vulnerable needs.</v>
      </c>
      <c r="D38" s="1285"/>
      <c r="E38" s="1285"/>
      <c r="F38" s="1285"/>
      <c r="G38" s="1285"/>
      <c r="H38" s="1285"/>
      <c r="I38" s="1285"/>
      <c r="J38" s="1285"/>
      <c r="K38" s="1285"/>
      <c r="L38" s="542">
        <v>7</v>
      </c>
      <c r="M38" s="549">
        <v>7</v>
      </c>
      <c r="N38" s="479"/>
      <c r="O38" s="479"/>
      <c r="P38" s="479"/>
      <c r="Q38" s="479"/>
      <c r="R38" s="479"/>
      <c r="S38" s="479"/>
      <c r="T38" s="479"/>
      <c r="U38" s="479"/>
      <c r="V38" s="479"/>
      <c r="W38" s="479"/>
      <c r="X38" s="479"/>
      <c r="Y38" s="479"/>
      <c r="Z38" s="479"/>
      <c r="AA38" s="479"/>
      <c r="AB38" s="479"/>
    </row>
    <row r="39" spans="1:28" ht="19.95" customHeight="1" thickBot="1">
      <c r="A39" s="479"/>
      <c r="B39" s="528"/>
      <c r="C39" s="1290" t="str">
        <f>B240</f>
        <v>3. Politics exposes structural barriers to needs.</v>
      </c>
      <c r="D39" s="1290"/>
      <c r="E39" s="1290"/>
      <c r="F39" s="1290"/>
      <c r="G39" s="1290"/>
      <c r="H39" s="1290"/>
      <c r="I39" s="1290"/>
      <c r="J39" s="1290"/>
      <c r="K39" s="1290"/>
      <c r="L39" s="543">
        <v>8</v>
      </c>
      <c r="M39" s="550">
        <v>8</v>
      </c>
      <c r="N39" s="479"/>
      <c r="O39" s="479"/>
      <c r="P39" s="479"/>
      <c r="Q39" s="479"/>
      <c r="R39" s="479"/>
      <c r="S39" s="479"/>
      <c r="T39" s="479"/>
      <c r="U39" s="479"/>
      <c r="V39" s="479"/>
      <c r="W39" s="479"/>
      <c r="X39" s="479"/>
      <c r="Y39" s="479"/>
      <c r="Z39" s="479"/>
      <c r="AA39" s="479"/>
      <c r="AB39" s="479"/>
    </row>
    <row r="40" spans="1:28" ht="25.05" customHeight="1" thickTop="1">
      <c r="A40" s="479"/>
      <c r="B40" s="526"/>
      <c r="C40" s="1283" t="str">
        <f>B277</f>
        <v>Therapeutic Harmony Politics</v>
      </c>
      <c r="D40" s="1283"/>
      <c r="E40" s="1283"/>
      <c r="F40" s="1283"/>
      <c r="G40" s="1283"/>
      <c r="H40" s="1283"/>
      <c r="I40" s="1283"/>
      <c r="J40" s="1283"/>
      <c r="K40" s="1283"/>
      <c r="L40" s="544">
        <v>9</v>
      </c>
      <c r="M40" s="548">
        <v>9</v>
      </c>
      <c r="N40" s="479"/>
      <c r="O40" s="479"/>
      <c r="P40" s="479"/>
      <c r="Q40" s="479"/>
      <c r="R40" s="479"/>
      <c r="S40" s="479"/>
      <c r="T40" s="479"/>
      <c r="U40" s="479"/>
      <c r="V40" s="479"/>
      <c r="W40" s="479"/>
      <c r="X40" s="479"/>
      <c r="Y40" s="479"/>
      <c r="Z40" s="479"/>
      <c r="AA40" s="479"/>
      <c r="AB40" s="479"/>
    </row>
    <row r="41" spans="1:28" ht="19.95" customHeight="1">
      <c r="A41" s="479"/>
      <c r="B41" s="527"/>
      <c r="C41" s="1285" t="str">
        <f>B314</f>
        <v>1. Identifying affected needs - "degeneralize"</v>
      </c>
      <c r="D41" s="1285"/>
      <c r="E41" s="1285"/>
      <c r="F41" s="1285"/>
      <c r="G41" s="1285"/>
      <c r="H41" s="1285"/>
      <c r="I41" s="1285"/>
      <c r="J41" s="1285"/>
      <c r="K41" s="1285"/>
      <c r="L41" s="542">
        <v>10</v>
      </c>
      <c r="M41" s="549">
        <v>10</v>
      </c>
      <c r="N41" s="479"/>
      <c r="O41" s="479"/>
      <c r="P41" s="479"/>
      <c r="Q41" s="479"/>
      <c r="R41" s="479"/>
      <c r="S41" s="479"/>
      <c r="T41" s="479"/>
      <c r="U41" s="479"/>
      <c r="V41" s="479"/>
      <c r="W41" s="479"/>
      <c r="X41" s="479"/>
      <c r="Y41" s="479"/>
      <c r="Z41" s="479"/>
      <c r="AA41" s="479"/>
      <c r="AB41" s="479"/>
    </row>
    <row r="42" spans="1:28" ht="19.95" customHeight="1">
      <c r="A42" s="479"/>
      <c r="B42" s="527"/>
      <c r="C42" s="1291" t="str">
        <f>B352</f>
        <v>De-generalizing</v>
      </c>
      <c r="D42" s="1291"/>
      <c r="E42" s="1291"/>
      <c r="F42" s="1291"/>
      <c r="G42" s="1291"/>
      <c r="H42" s="1291"/>
      <c r="I42" s="1291"/>
      <c r="J42" s="1291"/>
      <c r="K42" s="1291"/>
      <c r="L42" s="542">
        <v>11</v>
      </c>
      <c r="M42" s="549">
        <v>11</v>
      </c>
      <c r="N42" s="479"/>
      <c r="O42" s="479"/>
      <c r="P42" s="479"/>
      <c r="Q42" s="479"/>
      <c r="R42" s="479"/>
      <c r="S42" s="479"/>
      <c r="T42" s="479"/>
      <c r="U42" s="479"/>
      <c r="V42" s="479"/>
      <c r="W42" s="479"/>
      <c r="X42" s="479"/>
      <c r="Y42" s="479"/>
      <c r="Z42" s="479"/>
      <c r="AA42" s="479"/>
      <c r="AB42" s="479"/>
    </row>
    <row r="43" spans="1:28" ht="19.95" customHeight="1">
      <c r="A43" s="479"/>
      <c r="B43" s="527"/>
      <c r="C43" s="1285" t="str">
        <f>B386</f>
        <v>2. Expressing affected needs - "dealienate"</v>
      </c>
      <c r="D43" s="1285"/>
      <c r="E43" s="1285"/>
      <c r="F43" s="1285"/>
      <c r="G43" s="1285"/>
      <c r="H43" s="1285"/>
      <c r="I43" s="1285"/>
      <c r="J43" s="1285"/>
      <c r="K43" s="1285"/>
      <c r="L43" s="542">
        <v>12</v>
      </c>
      <c r="M43" s="549">
        <v>12</v>
      </c>
      <c r="N43" s="479"/>
      <c r="O43" s="479"/>
      <c r="P43" s="479"/>
      <c r="Q43" s="479"/>
      <c r="R43" s="479"/>
      <c r="S43" s="479"/>
      <c r="T43" s="479"/>
      <c r="U43" s="479"/>
      <c r="V43" s="479"/>
      <c r="W43" s="479"/>
      <c r="X43" s="479"/>
      <c r="Y43" s="479"/>
      <c r="Z43" s="479"/>
      <c r="AA43" s="479"/>
      <c r="AB43" s="479"/>
    </row>
    <row r="44" spans="1:28" ht="19.95" customHeight="1">
      <c r="A44" s="479"/>
      <c r="B44" s="527"/>
      <c r="C44" s="1291" t="str">
        <f>B425</f>
        <v>De-alienating</v>
      </c>
      <c r="D44" s="1291"/>
      <c r="E44" s="1291"/>
      <c r="F44" s="1291"/>
      <c r="G44" s="1291"/>
      <c r="H44" s="1291"/>
      <c r="I44" s="1291"/>
      <c r="J44" s="1291"/>
      <c r="K44" s="1291"/>
      <c r="L44" s="542">
        <v>13</v>
      </c>
      <c r="M44" s="549">
        <v>13</v>
      </c>
      <c r="N44" s="479"/>
      <c r="O44" s="479"/>
      <c r="P44" s="479"/>
      <c r="Q44" s="479"/>
      <c r="R44" s="479"/>
      <c r="S44" s="479"/>
      <c r="T44" s="479"/>
      <c r="U44" s="479"/>
      <c r="V44" s="479"/>
      <c r="W44" s="479"/>
      <c r="X44" s="479"/>
      <c r="Y44" s="479"/>
      <c r="Z44" s="479"/>
      <c r="AA44" s="479"/>
      <c r="AB44" s="479"/>
    </row>
    <row r="45" spans="1:28" ht="19.95" customHeight="1">
      <c r="A45" s="479"/>
      <c r="B45" s="527"/>
      <c r="C45" s="1285" t="str">
        <f>B461</f>
        <v>3. Addressing affected needs - "depolarize"</v>
      </c>
      <c r="D45" s="1285"/>
      <c r="E45" s="1285"/>
      <c r="F45" s="1285"/>
      <c r="G45" s="1285"/>
      <c r="H45" s="1285"/>
      <c r="I45" s="1285"/>
      <c r="J45" s="1285"/>
      <c r="K45" s="1285"/>
      <c r="L45" s="542">
        <v>14</v>
      </c>
      <c r="M45" s="549">
        <v>14</v>
      </c>
      <c r="N45" s="479"/>
      <c r="O45" s="479"/>
      <c r="P45" s="479"/>
      <c r="Q45" s="479"/>
      <c r="R45" s="479"/>
      <c r="S45" s="479"/>
      <c r="T45" s="479"/>
      <c r="U45" s="479"/>
      <c r="V45" s="479"/>
      <c r="W45" s="479"/>
      <c r="X45" s="479"/>
      <c r="Y45" s="479"/>
      <c r="Z45" s="479"/>
      <c r="AA45" s="479"/>
      <c r="AB45" s="479"/>
    </row>
    <row r="46" spans="1:28" ht="19.95" customHeight="1" thickBot="1">
      <c r="A46" s="479"/>
      <c r="B46" s="528"/>
      <c r="C46" s="1288" t="str">
        <f>B500</f>
        <v>De-polarizing</v>
      </c>
      <c r="D46" s="1288"/>
      <c r="E46" s="1288"/>
      <c r="F46" s="1288"/>
      <c r="G46" s="1288"/>
      <c r="H46" s="1288"/>
      <c r="I46" s="1288"/>
      <c r="J46" s="1288"/>
      <c r="K46" s="1288"/>
      <c r="L46" s="543">
        <v>15</v>
      </c>
      <c r="M46" s="550">
        <v>15</v>
      </c>
      <c r="N46" s="479"/>
      <c r="O46" s="479"/>
      <c r="P46" s="479"/>
      <c r="Q46" s="479"/>
      <c r="R46" s="479"/>
      <c r="S46" s="479"/>
      <c r="T46" s="479"/>
      <c r="U46" s="479"/>
      <c r="V46" s="479"/>
      <c r="W46" s="479"/>
      <c r="X46" s="479"/>
      <c r="Y46" s="479"/>
      <c r="Z46" s="479"/>
      <c r="AA46" s="479"/>
      <c r="AB46" s="479"/>
    </row>
    <row r="47" spans="1:28" ht="25.05" customHeight="1" thickTop="1">
      <c r="A47" s="479"/>
      <c r="B47" s="534"/>
      <c r="C47" s="1283" t="str">
        <f>B538</f>
        <v>TAKEAWAY</v>
      </c>
      <c r="D47" s="1283"/>
      <c r="E47" s="1283"/>
      <c r="F47" s="1283"/>
      <c r="G47" s="1283"/>
      <c r="H47" s="1283"/>
      <c r="I47" s="524"/>
      <c r="J47" s="524"/>
      <c r="K47" s="524"/>
      <c r="L47" s="544">
        <v>16</v>
      </c>
      <c r="M47" s="551">
        <v>16</v>
      </c>
      <c r="N47" s="479"/>
      <c r="O47" s="479"/>
      <c r="P47" s="479"/>
      <c r="Q47" s="479"/>
      <c r="R47" s="479"/>
      <c r="S47" s="479"/>
      <c r="T47" s="479"/>
      <c r="U47" s="479"/>
      <c r="V47" s="479"/>
      <c r="W47" s="479"/>
      <c r="X47" s="479"/>
      <c r="Y47" s="479"/>
      <c r="Z47" s="479"/>
      <c r="AA47" s="479"/>
      <c r="AB47" s="479"/>
    </row>
    <row r="48" spans="1:28" ht="19.95" customHeight="1">
      <c r="A48" s="479"/>
      <c r="B48" s="531"/>
      <c r="C48" s="1289" t="str">
        <f>B571</f>
        <v>Therapeutic Harmony Politics</v>
      </c>
      <c r="D48" s="1289"/>
      <c r="E48" s="1289"/>
      <c r="F48" s="1289"/>
      <c r="G48" s="1289"/>
      <c r="H48" s="1289"/>
      <c r="I48" s="525"/>
      <c r="J48" s="525"/>
      <c r="K48" s="525"/>
      <c r="L48" s="542">
        <v>17</v>
      </c>
      <c r="M48" s="546">
        <v>17</v>
      </c>
      <c r="N48" s="479"/>
      <c r="O48" s="479"/>
      <c r="P48" s="479"/>
      <c r="Q48" s="479"/>
      <c r="R48" s="479"/>
      <c r="S48" s="479"/>
      <c r="T48" s="479"/>
      <c r="U48" s="479"/>
      <c r="V48" s="479"/>
      <c r="W48" s="479"/>
      <c r="X48" s="479"/>
      <c r="Y48" s="479"/>
      <c r="Z48" s="479"/>
      <c r="AA48" s="479"/>
      <c r="AB48" s="479"/>
    </row>
    <row r="49" spans="1:52" ht="19.95" customHeight="1">
      <c r="A49" s="479"/>
      <c r="B49" s="531"/>
      <c r="C49" s="1289" t="str">
        <f>B608</f>
        <v>Introducing psychosociotherapy</v>
      </c>
      <c r="D49" s="1289"/>
      <c r="E49" s="1289"/>
      <c r="F49" s="1289"/>
      <c r="G49" s="1289"/>
      <c r="H49" s="1289"/>
      <c r="I49" s="525"/>
      <c r="J49" s="525"/>
      <c r="K49" s="525"/>
      <c r="L49" s="542">
        <v>18</v>
      </c>
      <c r="M49" s="546">
        <v>18</v>
      </c>
      <c r="N49" s="479"/>
      <c r="O49" s="479"/>
      <c r="P49" s="479"/>
      <c r="Q49" s="479"/>
      <c r="R49" s="479"/>
      <c r="S49" s="479"/>
      <c r="T49" s="479"/>
      <c r="U49" s="479"/>
      <c r="V49" s="479"/>
      <c r="W49" s="479"/>
      <c r="X49" s="479"/>
      <c r="Y49" s="479"/>
      <c r="Z49" s="479"/>
      <c r="AA49" s="479"/>
      <c r="AB49" s="479"/>
    </row>
    <row r="50" spans="1:52" ht="19.95" customHeight="1">
      <c r="A50" s="479"/>
      <c r="B50" s="531"/>
      <c r="C50" s="1289" t="str">
        <f>B641</f>
        <v>Competitive responsiveness</v>
      </c>
      <c r="D50" s="1289"/>
      <c r="E50" s="1289"/>
      <c r="F50" s="1289"/>
      <c r="G50" s="1289"/>
      <c r="H50" s="1289"/>
      <c r="I50" s="525"/>
      <c r="J50" s="525"/>
      <c r="K50" s="525"/>
      <c r="L50" s="542">
        <v>19</v>
      </c>
      <c r="M50" s="546">
        <v>19</v>
      </c>
      <c r="N50" s="479"/>
      <c r="O50" s="479"/>
      <c r="P50" s="479"/>
      <c r="Q50" s="479"/>
      <c r="R50" s="479"/>
      <c r="S50" s="479"/>
      <c r="T50" s="479"/>
      <c r="U50" s="479"/>
      <c r="V50" s="479"/>
      <c r="W50" s="479"/>
      <c r="X50" s="479"/>
      <c r="Y50" s="479"/>
      <c r="Z50" s="479"/>
      <c r="AA50" s="479"/>
      <c r="AB50" s="479"/>
    </row>
    <row r="51" spans="1:52" ht="19.95" customHeight="1">
      <c r="A51" s="479"/>
      <c r="B51" s="531"/>
      <c r="C51" s="1289" t="str">
        <f>B676</f>
        <v>Value Relating's other free tools</v>
      </c>
      <c r="D51" s="1289"/>
      <c r="E51" s="1289"/>
      <c r="F51" s="1289"/>
      <c r="G51" s="1289"/>
      <c r="H51" s="1289"/>
      <c r="I51" s="525"/>
      <c r="J51" s="525"/>
      <c r="K51" s="525"/>
      <c r="L51" s="542">
        <v>20</v>
      </c>
      <c r="M51" s="546">
        <v>20</v>
      </c>
      <c r="N51" s="479"/>
      <c r="O51" s="479"/>
      <c r="P51" s="479"/>
      <c r="Q51" s="479"/>
      <c r="R51" s="479"/>
      <c r="S51" s="479"/>
      <c r="T51" s="479"/>
      <c r="U51" s="479"/>
      <c r="V51" s="479"/>
      <c r="W51" s="479"/>
      <c r="X51" s="479"/>
      <c r="Y51" s="479"/>
      <c r="Z51" s="479"/>
      <c r="AA51" s="479"/>
      <c r="AB51" s="479"/>
    </row>
    <row r="52" spans="1:52" ht="10.050000000000001" customHeight="1" thickBot="1">
      <c r="A52" s="479"/>
      <c r="B52" s="535"/>
      <c r="C52" s="540"/>
      <c r="D52" s="540"/>
      <c r="E52" s="536"/>
      <c r="F52" s="536"/>
      <c r="G52" s="536"/>
      <c r="H52" s="536"/>
      <c r="I52" s="536"/>
      <c r="J52" s="536"/>
      <c r="K52" s="536"/>
      <c r="L52" s="536"/>
      <c r="M52" s="537"/>
      <c r="N52" s="479"/>
      <c r="O52" s="479"/>
      <c r="P52" s="479"/>
      <c r="Q52" s="479"/>
      <c r="R52" s="479"/>
      <c r="S52" s="479"/>
      <c r="T52" s="479"/>
      <c r="U52" s="479"/>
      <c r="V52" s="479"/>
      <c r="W52" s="479"/>
      <c r="X52" s="479"/>
      <c r="Y52" s="479"/>
      <c r="Z52" s="479"/>
      <c r="AA52" s="479"/>
      <c r="AB52" s="479"/>
    </row>
    <row r="53" spans="1:52" ht="15" customHeight="1">
      <c r="A53" s="479"/>
      <c r="B53" s="479"/>
      <c r="C53" s="479"/>
      <c r="D53" s="479"/>
      <c r="E53" s="479"/>
      <c r="F53" s="479"/>
      <c r="G53" s="479"/>
      <c r="H53" s="479"/>
      <c r="I53" s="479"/>
      <c r="J53" s="479"/>
      <c r="K53" s="479"/>
      <c r="L53" s="479"/>
      <c r="M53" s="479"/>
      <c r="N53" s="479"/>
      <c r="O53" s="479"/>
      <c r="P53" s="479"/>
      <c r="Q53" s="479"/>
      <c r="R53" s="479"/>
      <c r="S53" s="479"/>
      <c r="T53" s="479"/>
      <c r="U53" s="479"/>
      <c r="V53" s="479"/>
      <c r="W53" s="479"/>
      <c r="X53" s="479"/>
      <c r="Y53" s="479"/>
      <c r="Z53" s="479"/>
      <c r="AA53" s="479"/>
      <c r="AB53" s="479"/>
    </row>
    <row r="54" spans="1:52" ht="45" customHeight="1">
      <c r="A54" s="368"/>
      <c r="B54" s="539" t="s">
        <v>1790</v>
      </c>
      <c r="C54" s="581"/>
      <c r="D54" s="388"/>
      <c r="E54" s="388"/>
      <c r="F54" s="388"/>
      <c r="G54" s="388"/>
      <c r="H54" s="388"/>
      <c r="I54" s="388"/>
      <c r="J54" s="388"/>
      <c r="K54" s="388"/>
      <c r="L54" s="388"/>
      <c r="M54" s="388"/>
      <c r="N54" s="370"/>
      <c r="O54" s="368"/>
      <c r="P54" s="1293" t="s">
        <v>1246</v>
      </c>
      <c r="Q54" s="1293"/>
      <c r="R54" s="1293"/>
      <c r="S54" s="1293"/>
      <c r="T54" s="1293"/>
      <c r="U54" s="1293"/>
      <c r="V54" s="1293"/>
      <c r="W54" s="371"/>
      <c r="X54" s="369"/>
      <c r="Y54" s="369"/>
      <c r="Z54" s="369"/>
      <c r="AA54" s="369"/>
      <c r="AB54" s="521" t="s">
        <v>1149</v>
      </c>
      <c r="AC54" s="577"/>
      <c r="AH54" s="577"/>
      <c r="AI54" s="577"/>
      <c r="AJ54" s="577"/>
      <c r="AK54" s="577"/>
      <c r="AL54" s="577"/>
      <c r="AM54" s="577"/>
      <c r="AN54" s="577"/>
      <c r="AO54" s="577"/>
      <c r="AP54" s="577"/>
      <c r="AQ54" s="577"/>
      <c r="AR54" s="577"/>
      <c r="AS54" s="577"/>
      <c r="AT54" s="577"/>
      <c r="AU54" s="577"/>
      <c r="AV54" s="577"/>
      <c r="AW54" s="577"/>
      <c r="AX54" s="577"/>
      <c r="AY54" s="577"/>
      <c r="AZ54" s="1"/>
    </row>
    <row r="55" spans="1:52" ht="15">
      <c r="A55" s="378"/>
      <c r="B55" s="379"/>
      <c r="C55" s="379"/>
      <c r="D55" s="379"/>
      <c r="E55" s="379"/>
      <c r="F55" s="379"/>
      <c r="G55" s="379"/>
      <c r="H55" s="379"/>
      <c r="I55" s="379"/>
      <c r="J55" s="379"/>
      <c r="K55" s="379"/>
      <c r="L55" s="379"/>
      <c r="M55" s="379"/>
      <c r="N55" s="380"/>
      <c r="O55" s="378"/>
      <c r="P55" s="379"/>
      <c r="Q55" s="379"/>
      <c r="R55" s="379"/>
      <c r="S55" s="379"/>
      <c r="T55" s="379"/>
      <c r="U55" s="379"/>
      <c r="V55" s="379"/>
      <c r="W55" s="379"/>
      <c r="X55" s="379"/>
      <c r="Y55" s="379"/>
      <c r="Z55" s="379"/>
      <c r="AA55" s="379"/>
      <c r="AB55" s="522"/>
      <c r="AC55" s="1"/>
      <c r="AH55" s="1"/>
      <c r="AI55" s="1"/>
      <c r="AJ55" s="1"/>
      <c r="AK55" s="1"/>
      <c r="AL55" s="1"/>
      <c r="AM55" s="1"/>
      <c r="AN55" s="1"/>
      <c r="AO55" s="1"/>
      <c r="AP55" s="1"/>
      <c r="AQ55" s="1"/>
      <c r="AR55" s="1"/>
      <c r="AS55" s="1"/>
      <c r="AT55" s="1"/>
      <c r="AU55" s="1"/>
      <c r="AV55" s="1"/>
      <c r="AW55" s="1"/>
      <c r="AX55" s="1"/>
      <c r="AY55" s="1"/>
      <c r="AZ55" s="1"/>
    </row>
    <row r="56" spans="1:52">
      <c r="A56" s="197"/>
      <c r="B56" s="195"/>
      <c r="C56" s="195"/>
      <c r="D56" s="195"/>
      <c r="E56" s="195"/>
      <c r="F56" s="195"/>
      <c r="G56" s="195"/>
      <c r="H56" s="195"/>
      <c r="I56" s="195"/>
      <c r="J56" s="195"/>
      <c r="K56" s="195"/>
      <c r="L56" s="195"/>
      <c r="M56" s="195"/>
      <c r="N56" s="196"/>
      <c r="O56" s="197"/>
      <c r="P56" s="195"/>
      <c r="Q56" s="195"/>
      <c r="R56" s="195"/>
      <c r="S56" s="195"/>
      <c r="T56" s="195"/>
      <c r="U56" s="195"/>
      <c r="V56" s="195"/>
      <c r="W56" s="195"/>
      <c r="X56" s="195"/>
      <c r="Y56" s="195"/>
      <c r="Z56" s="195"/>
      <c r="AA56" s="195"/>
      <c r="AB56" s="196"/>
      <c r="AC56" s="1"/>
      <c r="AD56" s="1"/>
      <c r="AE56" s="1"/>
      <c r="AF56" s="1"/>
      <c r="AG56" s="1"/>
      <c r="AH56" s="1"/>
      <c r="AI56" s="1"/>
      <c r="AJ56" s="1"/>
      <c r="AK56" s="1"/>
      <c r="AL56" s="1"/>
      <c r="AM56" s="1"/>
      <c r="AN56" s="1"/>
      <c r="AO56" s="1"/>
      <c r="AP56" s="1"/>
      <c r="AQ56" s="1"/>
      <c r="AR56" s="1"/>
      <c r="AS56" s="1"/>
      <c r="AT56" s="1"/>
      <c r="AU56" s="1"/>
      <c r="AV56" s="1"/>
      <c r="AW56" s="1"/>
      <c r="AX56" s="1"/>
      <c r="AY56" s="1"/>
      <c r="AZ56" s="1"/>
    </row>
    <row r="57" spans="1:52" ht="30" customHeight="1">
      <c r="A57" s="197"/>
      <c r="B57" s="195"/>
      <c r="C57" s="195"/>
      <c r="D57" s="195"/>
      <c r="E57" s="195"/>
      <c r="F57" s="195"/>
      <c r="G57" s="195"/>
      <c r="H57" s="195"/>
      <c r="I57" s="195"/>
      <c r="J57" s="195"/>
      <c r="K57" s="195"/>
      <c r="L57" s="195"/>
      <c r="M57" s="195"/>
      <c r="N57" s="196"/>
      <c r="O57" s="197"/>
      <c r="P57" s="195"/>
      <c r="Q57" s="195"/>
      <c r="R57" s="195"/>
      <c r="S57" s="195"/>
      <c r="T57" s="195"/>
      <c r="U57" s="195"/>
      <c r="V57" s="195"/>
      <c r="W57" s="195"/>
      <c r="X57" s="195"/>
      <c r="Y57" s="195"/>
      <c r="Z57" s="195"/>
      <c r="AA57" s="195"/>
      <c r="AB57" s="196"/>
      <c r="AC57" s="1"/>
      <c r="AD57" s="1"/>
      <c r="AE57" s="1"/>
      <c r="AF57" s="1"/>
      <c r="AG57" s="1"/>
      <c r="AH57" s="1"/>
      <c r="AI57" s="1"/>
      <c r="AJ57" s="1"/>
      <c r="AK57" s="1"/>
      <c r="AL57" s="1"/>
      <c r="AM57" s="1"/>
      <c r="AN57" s="1"/>
      <c r="AO57" s="1"/>
      <c r="AP57" s="1"/>
      <c r="AQ57" s="1"/>
      <c r="AR57" s="1"/>
      <c r="AS57" s="1"/>
      <c r="AT57" s="1"/>
      <c r="AU57" s="1"/>
      <c r="AV57" s="1"/>
      <c r="AW57" s="1"/>
      <c r="AX57" s="1"/>
      <c r="AY57" s="1"/>
      <c r="AZ57" s="1"/>
    </row>
    <row r="58" spans="1:52">
      <c r="A58" s="197"/>
      <c r="B58" s="195"/>
      <c r="C58" s="195"/>
      <c r="D58" s="195"/>
      <c r="E58" s="195"/>
      <c r="F58" s="195"/>
      <c r="G58" s="195"/>
      <c r="H58" s="195"/>
      <c r="I58" s="195"/>
      <c r="J58" s="195"/>
      <c r="K58" s="195"/>
      <c r="L58" s="195"/>
      <c r="M58" s="195"/>
      <c r="N58" s="196"/>
      <c r="O58" s="197"/>
      <c r="P58" s="195"/>
      <c r="Q58" s="195"/>
      <c r="R58" s="195"/>
      <c r="S58" s="195"/>
      <c r="T58" s="195"/>
      <c r="U58" s="195"/>
      <c r="V58" s="195"/>
      <c r="W58" s="195"/>
      <c r="X58" s="195"/>
      <c r="Y58" s="195"/>
      <c r="Z58" s="195"/>
      <c r="AA58" s="195"/>
      <c r="AB58" s="196"/>
      <c r="AC58" s="1"/>
      <c r="AD58" s="1"/>
      <c r="AE58" s="1"/>
      <c r="AF58" s="1"/>
      <c r="AG58" s="1"/>
      <c r="AH58" s="1"/>
      <c r="AI58" s="1"/>
      <c r="AJ58" s="1"/>
      <c r="AK58" s="1"/>
      <c r="AL58" s="1"/>
      <c r="AM58" s="1"/>
      <c r="AN58" s="1"/>
      <c r="AO58" s="1"/>
      <c r="AP58" s="1"/>
      <c r="AQ58" s="1"/>
      <c r="AR58" s="1"/>
      <c r="AS58" s="1"/>
      <c r="AT58" s="1"/>
      <c r="AU58" s="1"/>
      <c r="AV58" s="1"/>
      <c r="AW58" s="1"/>
      <c r="AX58" s="1"/>
      <c r="AY58" s="1"/>
      <c r="AZ58" s="1"/>
    </row>
    <row r="59" spans="1:52">
      <c r="A59" s="197"/>
      <c r="B59" s="195"/>
      <c r="C59" s="195"/>
      <c r="D59" s="195"/>
      <c r="E59" s="195"/>
      <c r="F59" s="195"/>
      <c r="G59" s="195"/>
      <c r="H59" s="195"/>
      <c r="I59" s="195"/>
      <c r="J59" s="195"/>
      <c r="K59" s="195"/>
      <c r="L59" s="195"/>
      <c r="M59" s="195"/>
      <c r="N59" s="196"/>
      <c r="O59" s="197"/>
      <c r="P59" s="195"/>
      <c r="Q59" s="195"/>
      <c r="R59" s="195"/>
      <c r="S59" s="195"/>
      <c r="T59" s="195"/>
      <c r="U59" s="195"/>
      <c r="V59" s="195"/>
      <c r="W59" s="195"/>
      <c r="X59" s="195"/>
      <c r="Y59" s="195"/>
      <c r="Z59" s="195"/>
      <c r="AA59" s="195"/>
      <c r="AB59" s="196"/>
      <c r="AC59" s="1"/>
      <c r="AD59" s="1"/>
      <c r="AE59" s="1"/>
      <c r="AF59" s="1"/>
      <c r="AG59" s="1"/>
      <c r="AH59" s="1"/>
      <c r="AI59" s="1"/>
      <c r="AJ59" s="1"/>
      <c r="AK59" s="1"/>
      <c r="AL59" s="1"/>
      <c r="AM59" s="1"/>
      <c r="AN59" s="1"/>
      <c r="AO59" s="1"/>
      <c r="AP59" s="1"/>
      <c r="AQ59" s="1"/>
      <c r="AR59" s="1"/>
      <c r="AS59" s="1"/>
      <c r="AT59" s="1"/>
      <c r="AU59" s="1"/>
      <c r="AV59" s="1"/>
      <c r="AW59" s="1"/>
      <c r="AX59" s="1"/>
      <c r="AY59" s="1"/>
      <c r="AZ59" s="1"/>
    </row>
    <row r="60" spans="1:52">
      <c r="A60" s="197"/>
      <c r="B60" s="195"/>
      <c r="C60" s="195"/>
      <c r="D60" s="195"/>
      <c r="E60" s="195"/>
      <c r="F60" s="195"/>
      <c r="G60" s="195"/>
      <c r="H60" s="195"/>
      <c r="I60" s="195"/>
      <c r="J60" s="195"/>
      <c r="K60" s="195"/>
      <c r="L60" s="195"/>
      <c r="M60" s="195"/>
      <c r="N60" s="196"/>
      <c r="O60" s="197"/>
      <c r="P60" s="195"/>
      <c r="Q60" s="195"/>
      <c r="R60" s="195"/>
      <c r="S60" s="195"/>
      <c r="T60" s="195"/>
      <c r="U60" s="195"/>
      <c r="V60" s="195"/>
      <c r="W60" s="195"/>
      <c r="X60" s="195"/>
      <c r="Y60" s="195"/>
      <c r="Z60" s="195"/>
      <c r="AA60" s="195"/>
      <c r="AB60" s="196"/>
      <c r="AC60" s="1"/>
      <c r="AD60" s="1"/>
      <c r="AE60" s="1"/>
      <c r="AF60" s="1"/>
      <c r="AG60" s="1"/>
      <c r="AH60" s="1"/>
      <c r="AI60" s="1"/>
      <c r="AJ60" s="1"/>
      <c r="AK60" s="1"/>
      <c r="AL60" s="1"/>
      <c r="AM60" s="1"/>
      <c r="AN60" s="1"/>
      <c r="AO60" s="1"/>
      <c r="AP60" s="1"/>
      <c r="AQ60" s="1"/>
      <c r="AR60" s="1"/>
      <c r="AS60" s="1"/>
      <c r="AT60" s="1"/>
      <c r="AU60" s="1"/>
      <c r="AV60" s="1"/>
      <c r="AW60" s="1"/>
      <c r="AX60" s="1"/>
      <c r="AY60" s="1"/>
      <c r="AZ60" s="1"/>
    </row>
    <row r="61" spans="1:52">
      <c r="A61" s="197"/>
      <c r="B61" s="195"/>
      <c r="C61" s="195"/>
      <c r="D61" s="195"/>
      <c r="E61" s="195"/>
      <c r="F61" s="195"/>
      <c r="G61" s="195"/>
      <c r="H61" s="195"/>
      <c r="I61" s="195"/>
      <c r="J61" s="195"/>
      <c r="K61" s="195"/>
      <c r="L61" s="195"/>
      <c r="M61" s="195"/>
      <c r="N61" s="196"/>
      <c r="O61" s="197"/>
      <c r="P61" s="195"/>
      <c r="Q61" s="195"/>
      <c r="R61" s="195"/>
      <c r="S61" s="195"/>
      <c r="T61" s="195"/>
      <c r="U61" s="195"/>
      <c r="V61" s="195"/>
      <c r="W61" s="195"/>
      <c r="X61" s="195"/>
      <c r="Y61" s="195"/>
      <c r="Z61" s="195"/>
      <c r="AA61" s="195"/>
      <c r="AB61" s="196"/>
      <c r="AC61" s="1"/>
      <c r="AD61" s="1"/>
      <c r="AE61" s="1"/>
      <c r="AF61" s="1"/>
      <c r="AG61" s="1"/>
      <c r="AH61" s="1"/>
      <c r="AI61" s="1"/>
      <c r="AJ61" s="1"/>
      <c r="AK61" s="1"/>
      <c r="AL61" s="1"/>
      <c r="AM61" s="1"/>
      <c r="AN61" s="1"/>
      <c r="AO61" s="1"/>
      <c r="AP61" s="1"/>
      <c r="AQ61" s="1"/>
      <c r="AR61" s="1"/>
      <c r="AS61" s="1"/>
      <c r="AT61" s="1"/>
      <c r="AU61" s="1"/>
      <c r="AV61" s="1"/>
      <c r="AW61" s="1"/>
      <c r="AX61" s="1"/>
      <c r="AY61" s="1"/>
      <c r="AZ61" s="1"/>
    </row>
    <row r="62" spans="1:52">
      <c r="A62" s="197"/>
      <c r="B62" s="195"/>
      <c r="C62" s="195"/>
      <c r="D62" s="195"/>
      <c r="E62" s="195"/>
      <c r="F62" s="195"/>
      <c r="G62" s="195"/>
      <c r="H62" s="195"/>
      <c r="I62" s="195"/>
      <c r="J62" s="195"/>
      <c r="K62" s="195"/>
      <c r="L62" s="195"/>
      <c r="M62" s="195"/>
      <c r="N62" s="196"/>
      <c r="O62" s="197"/>
      <c r="P62" s="195"/>
      <c r="Q62" s="195"/>
      <c r="R62" s="195"/>
      <c r="S62" s="195"/>
      <c r="T62" s="195"/>
      <c r="U62" s="195"/>
      <c r="V62" s="195"/>
      <c r="W62" s="195"/>
      <c r="X62" s="195"/>
      <c r="Y62" s="195"/>
      <c r="Z62" s="195"/>
      <c r="AA62" s="195"/>
      <c r="AB62" s="196"/>
      <c r="AC62" s="1"/>
      <c r="AD62" s="1"/>
      <c r="AE62" s="1"/>
      <c r="AF62" s="1"/>
      <c r="AG62" s="1"/>
      <c r="AH62" s="1"/>
      <c r="AI62" s="1"/>
      <c r="AJ62" s="1"/>
      <c r="AK62" s="1"/>
      <c r="AL62" s="1"/>
      <c r="AM62" s="1"/>
      <c r="AN62" s="1"/>
      <c r="AO62" s="1"/>
      <c r="AP62" s="1"/>
      <c r="AQ62" s="1"/>
      <c r="AR62" s="1"/>
      <c r="AS62" s="1"/>
      <c r="AT62" s="1"/>
      <c r="AU62" s="1"/>
      <c r="AV62" s="1"/>
      <c r="AW62" s="1"/>
      <c r="AX62" s="1"/>
      <c r="AY62" s="1"/>
      <c r="AZ62" s="1"/>
    </row>
    <row r="63" spans="1:52">
      <c r="A63" s="197"/>
      <c r="B63" s="195"/>
      <c r="C63" s="195"/>
      <c r="D63" s="195"/>
      <c r="E63" s="195"/>
      <c r="F63" s="195"/>
      <c r="G63" s="195"/>
      <c r="H63" s="195"/>
      <c r="I63" s="195"/>
      <c r="J63" s="195"/>
      <c r="K63" s="195"/>
      <c r="L63" s="195"/>
      <c r="M63" s="195"/>
      <c r="N63" s="196"/>
      <c r="O63" s="197"/>
      <c r="P63" s="195"/>
      <c r="Q63" s="195"/>
      <c r="R63" s="195"/>
      <c r="S63" s="195"/>
      <c r="T63" s="195"/>
      <c r="U63" s="195"/>
      <c r="V63" s="195"/>
      <c r="W63" s="195"/>
      <c r="X63" s="195"/>
      <c r="Y63" s="195"/>
      <c r="Z63" s="195"/>
      <c r="AA63" s="195"/>
      <c r="AB63" s="196"/>
      <c r="AC63" s="1"/>
      <c r="AD63" s="1"/>
      <c r="AE63" s="1"/>
      <c r="AF63" s="1"/>
      <c r="AG63" s="1"/>
      <c r="AH63" s="1"/>
      <c r="AI63" s="1"/>
      <c r="AJ63" s="1"/>
      <c r="AK63" s="1"/>
      <c r="AL63" s="1"/>
      <c r="AM63" s="1"/>
      <c r="AN63" s="1"/>
      <c r="AO63" s="1"/>
      <c r="AP63" s="1"/>
      <c r="AQ63" s="1"/>
      <c r="AR63" s="1"/>
      <c r="AS63" s="1"/>
      <c r="AT63" s="1"/>
      <c r="AU63" s="1"/>
      <c r="AV63" s="1"/>
      <c r="AW63" s="1"/>
      <c r="AX63" s="1"/>
      <c r="AY63" s="1"/>
      <c r="AZ63" s="1"/>
    </row>
    <row r="64" spans="1:52">
      <c r="A64" s="197"/>
      <c r="B64" s="195"/>
      <c r="C64" s="195"/>
      <c r="D64" s="195"/>
      <c r="E64" s="195"/>
      <c r="F64" s="195"/>
      <c r="G64" s="195"/>
      <c r="H64" s="195"/>
      <c r="I64" s="195"/>
      <c r="J64" s="195"/>
      <c r="K64" s="195"/>
      <c r="L64" s="195"/>
      <c r="M64" s="195"/>
      <c r="N64" s="196"/>
      <c r="O64" s="197"/>
      <c r="P64" s="195"/>
      <c r="Q64" s="195"/>
      <c r="R64" s="195"/>
      <c r="S64" s="195"/>
      <c r="T64" s="195"/>
      <c r="U64" s="195"/>
      <c r="V64" s="195"/>
      <c r="W64" s="195"/>
      <c r="X64" s="195"/>
      <c r="Y64" s="195"/>
      <c r="Z64" s="195"/>
      <c r="AA64" s="195"/>
      <c r="AB64" s="196"/>
      <c r="AC64" s="1"/>
      <c r="AD64" s="1"/>
      <c r="AE64" s="1"/>
      <c r="AF64" s="1"/>
      <c r="AG64" s="1"/>
      <c r="AH64" s="1"/>
      <c r="AI64" s="1"/>
      <c r="AJ64" s="1"/>
      <c r="AK64" s="1"/>
      <c r="AL64" s="1"/>
      <c r="AM64" s="1"/>
      <c r="AN64" s="1"/>
      <c r="AO64" s="1"/>
      <c r="AP64" s="1"/>
      <c r="AQ64" s="1"/>
      <c r="AR64" s="1"/>
      <c r="AS64" s="1"/>
      <c r="AT64" s="1"/>
      <c r="AU64" s="1"/>
      <c r="AV64" s="1"/>
      <c r="AW64" s="1"/>
      <c r="AX64" s="1"/>
      <c r="AY64" s="1"/>
      <c r="AZ64" s="1"/>
    </row>
    <row r="65" spans="1:52">
      <c r="A65" s="197"/>
      <c r="B65" s="195"/>
      <c r="C65" s="195"/>
      <c r="D65" s="195"/>
      <c r="E65" s="195"/>
      <c r="F65" s="195"/>
      <c r="G65" s="195"/>
      <c r="H65" s="195"/>
      <c r="I65" s="195"/>
      <c r="J65" s="195"/>
      <c r="K65" s="195"/>
      <c r="L65" s="195"/>
      <c r="M65" s="195"/>
      <c r="N65" s="196"/>
      <c r="O65" s="197"/>
      <c r="P65" s="195"/>
      <c r="Q65" s="195"/>
      <c r="R65" s="195"/>
      <c r="S65" s="195"/>
      <c r="T65" s="195"/>
      <c r="U65" s="195"/>
      <c r="V65" s="195"/>
      <c r="W65" s="195"/>
      <c r="X65" s="195"/>
      <c r="Y65" s="195"/>
      <c r="Z65" s="195"/>
      <c r="AA65" s="195"/>
      <c r="AB65" s="196"/>
      <c r="AC65" s="1"/>
      <c r="AD65" s="1"/>
      <c r="AE65" s="1"/>
      <c r="AF65" s="1"/>
      <c r="AG65" s="1"/>
      <c r="AH65" s="1"/>
      <c r="AI65" s="1"/>
      <c r="AJ65" s="1"/>
      <c r="AK65" s="1"/>
      <c r="AL65" s="1"/>
      <c r="AM65" s="1"/>
      <c r="AN65" s="1"/>
      <c r="AO65" s="1"/>
      <c r="AP65" s="1"/>
      <c r="AQ65" s="1"/>
      <c r="AR65" s="1"/>
      <c r="AS65" s="1"/>
      <c r="AT65" s="1"/>
      <c r="AU65" s="1"/>
      <c r="AV65" s="1"/>
      <c r="AW65" s="1"/>
      <c r="AX65" s="1"/>
      <c r="AY65" s="1"/>
      <c r="AZ65" s="1"/>
    </row>
    <row r="66" spans="1:52" ht="30" customHeight="1">
      <c r="A66" s="197"/>
      <c r="B66" s="195"/>
      <c r="C66" s="195"/>
      <c r="D66" s="195"/>
      <c r="E66" s="195"/>
      <c r="F66" s="195"/>
      <c r="G66" s="195"/>
      <c r="H66" s="195"/>
      <c r="I66" s="195"/>
      <c r="J66" s="195"/>
      <c r="K66" s="195"/>
      <c r="L66" s="195"/>
      <c r="M66" s="195"/>
      <c r="N66" s="196"/>
      <c r="O66" s="197"/>
      <c r="P66" s="195"/>
      <c r="Q66" s="195"/>
      <c r="R66" s="195"/>
      <c r="S66" s="195"/>
      <c r="T66" s="195"/>
      <c r="U66" s="195"/>
      <c r="V66" s="195"/>
      <c r="W66" s="195"/>
      <c r="X66" s="195"/>
      <c r="Y66" s="195"/>
      <c r="Z66" s="195"/>
      <c r="AA66" s="195"/>
      <c r="AB66" s="196"/>
      <c r="AC66" s="1"/>
      <c r="AD66" s="1"/>
      <c r="AE66" s="1"/>
      <c r="AF66" s="1"/>
      <c r="AG66" s="1"/>
      <c r="AH66" s="1"/>
      <c r="AI66" s="1"/>
      <c r="AJ66" s="1"/>
      <c r="AK66" s="1"/>
      <c r="AL66" s="1"/>
      <c r="AM66" s="1"/>
      <c r="AN66" s="1"/>
      <c r="AO66" s="1"/>
      <c r="AP66" s="1"/>
      <c r="AQ66" s="1"/>
      <c r="AR66" s="1"/>
      <c r="AS66" s="1"/>
      <c r="AT66" s="1"/>
      <c r="AU66" s="1"/>
      <c r="AV66" s="1"/>
      <c r="AW66" s="1"/>
      <c r="AX66" s="1"/>
      <c r="AY66" s="1"/>
      <c r="AZ66" s="1"/>
    </row>
    <row r="67" spans="1:52">
      <c r="A67" s="197"/>
      <c r="B67" s="195"/>
      <c r="C67" s="195"/>
      <c r="D67" s="195"/>
      <c r="E67" s="195"/>
      <c r="F67" s="195"/>
      <c r="G67" s="195"/>
      <c r="H67" s="195"/>
      <c r="I67" s="195"/>
      <c r="J67" s="195"/>
      <c r="K67" s="195"/>
      <c r="L67" s="195"/>
      <c r="M67" s="195"/>
      <c r="N67" s="196"/>
      <c r="O67" s="197"/>
      <c r="P67" s="195"/>
      <c r="Q67" s="195"/>
      <c r="R67" s="195"/>
      <c r="S67" s="195"/>
      <c r="T67" s="195"/>
      <c r="U67" s="195"/>
      <c r="V67" s="195"/>
      <c r="W67" s="195"/>
      <c r="X67" s="195"/>
      <c r="Y67" s="195"/>
      <c r="Z67" s="195"/>
      <c r="AA67" s="195"/>
      <c r="AB67" s="196"/>
      <c r="AC67" s="1"/>
      <c r="AD67" s="1"/>
      <c r="AE67" s="1"/>
      <c r="AF67" s="1"/>
      <c r="AG67" s="1"/>
      <c r="AH67" s="1"/>
      <c r="AI67" s="1"/>
      <c r="AJ67" s="1"/>
      <c r="AK67" s="1"/>
      <c r="AL67" s="1"/>
      <c r="AM67" s="1"/>
      <c r="AN67" s="1"/>
      <c r="AO67" s="1"/>
      <c r="AP67" s="1"/>
      <c r="AQ67" s="1"/>
      <c r="AR67" s="1"/>
      <c r="AS67" s="1"/>
      <c r="AT67" s="1"/>
      <c r="AU67" s="1"/>
      <c r="AV67" s="1"/>
      <c r="AW67" s="1"/>
      <c r="AX67" s="1"/>
      <c r="AY67" s="1"/>
      <c r="AZ67" s="1"/>
    </row>
    <row r="68" spans="1:52">
      <c r="A68" s="197"/>
      <c r="B68" s="195"/>
      <c r="C68" s="195"/>
      <c r="D68" s="195"/>
      <c r="E68" s="195"/>
      <c r="F68" s="195"/>
      <c r="G68" s="195"/>
      <c r="H68" s="195"/>
      <c r="I68" s="195"/>
      <c r="J68" s="195"/>
      <c r="K68" s="195"/>
      <c r="L68" s="195"/>
      <c r="M68" s="195"/>
      <c r="N68" s="196"/>
      <c r="O68" s="197"/>
      <c r="P68" s="195"/>
      <c r="Q68" s="195"/>
      <c r="R68" s="195"/>
      <c r="S68" s="195"/>
      <c r="T68" s="195"/>
      <c r="U68" s="195"/>
      <c r="V68" s="195"/>
      <c r="W68" s="195"/>
      <c r="X68" s="195"/>
      <c r="Y68" s="195"/>
      <c r="Z68" s="195"/>
      <c r="AA68" s="195"/>
      <c r="AB68" s="196"/>
      <c r="AC68" s="1"/>
      <c r="AD68" s="1"/>
      <c r="AE68" s="1"/>
      <c r="AF68" s="1"/>
      <c r="AG68" s="1"/>
      <c r="AH68" s="1"/>
      <c r="AI68" s="1"/>
      <c r="AJ68" s="1"/>
      <c r="AK68" s="1"/>
      <c r="AL68" s="1"/>
      <c r="AM68" s="1"/>
      <c r="AN68" s="1"/>
      <c r="AO68" s="1"/>
      <c r="AP68" s="1"/>
      <c r="AQ68" s="1"/>
      <c r="AR68" s="1"/>
      <c r="AS68" s="1"/>
      <c r="AT68" s="1"/>
      <c r="AU68" s="1"/>
      <c r="AV68" s="1"/>
      <c r="AW68" s="1"/>
      <c r="AX68" s="1"/>
      <c r="AY68" s="1"/>
      <c r="AZ68" s="1"/>
    </row>
    <row r="69" spans="1:52" ht="19.95" customHeight="1">
      <c r="A69" s="197"/>
      <c r="B69" s="195"/>
      <c r="C69" s="195"/>
      <c r="D69" s="195"/>
      <c r="E69" s="195"/>
      <c r="F69" s="195"/>
      <c r="G69" s="195"/>
      <c r="H69" s="195"/>
      <c r="I69" s="195"/>
      <c r="J69" s="195"/>
      <c r="K69" s="195"/>
      <c r="L69" s="195"/>
      <c r="M69" s="195"/>
      <c r="N69" s="196"/>
      <c r="O69" s="197"/>
      <c r="P69" s="195"/>
      <c r="Q69" s="195"/>
      <c r="R69" s="195"/>
      <c r="S69" s="195"/>
      <c r="T69" s="195"/>
      <c r="U69" s="195"/>
      <c r="V69" s="195"/>
      <c r="W69" s="195"/>
      <c r="X69" s="195"/>
      <c r="Y69" s="195"/>
      <c r="Z69" s="195"/>
      <c r="AA69" s="195"/>
      <c r="AB69" s="196"/>
      <c r="AC69" s="1"/>
      <c r="AD69" s="1"/>
      <c r="AE69" s="1"/>
      <c r="AF69" s="1"/>
      <c r="AG69" s="1"/>
      <c r="AH69" s="1"/>
      <c r="AI69" s="1"/>
      <c r="AJ69" s="1"/>
      <c r="AK69" s="1"/>
      <c r="AL69" s="1"/>
      <c r="AM69" s="1"/>
      <c r="AN69" s="1"/>
      <c r="AO69" s="1"/>
      <c r="AP69" s="1"/>
      <c r="AQ69" s="1"/>
      <c r="AR69" s="1"/>
      <c r="AS69" s="1"/>
      <c r="AT69" s="1"/>
      <c r="AU69" s="1"/>
      <c r="AV69" s="1"/>
      <c r="AW69" s="1"/>
      <c r="AX69" s="1"/>
      <c r="AY69" s="1"/>
      <c r="AZ69" s="1"/>
    </row>
    <row r="70" spans="1:52" ht="19.95" customHeight="1">
      <c r="A70" s="197"/>
      <c r="B70" s="195"/>
      <c r="C70" s="195"/>
      <c r="D70" s="195"/>
      <c r="E70" s="195"/>
      <c r="F70" s="195"/>
      <c r="G70" s="195"/>
      <c r="H70" s="195"/>
      <c r="I70" s="195"/>
      <c r="J70" s="195"/>
      <c r="K70" s="195"/>
      <c r="L70" s="195"/>
      <c r="M70" s="195"/>
      <c r="N70" s="196"/>
      <c r="O70" s="197"/>
      <c r="P70" s="195"/>
      <c r="Q70" s="195"/>
      <c r="R70" s="195"/>
      <c r="S70" s="195"/>
      <c r="T70" s="195"/>
      <c r="U70" s="195"/>
      <c r="V70" s="195"/>
      <c r="W70" s="195"/>
      <c r="X70" s="195"/>
      <c r="Y70" s="195"/>
      <c r="Z70" s="195"/>
      <c r="AA70" s="195"/>
      <c r="AB70" s="196"/>
      <c r="AC70" s="1"/>
      <c r="AD70" s="1"/>
      <c r="AE70" s="1"/>
      <c r="AF70" s="1"/>
      <c r="AG70" s="1"/>
      <c r="AH70" s="1"/>
      <c r="AI70" s="1"/>
      <c r="AJ70" s="1"/>
      <c r="AK70" s="1"/>
      <c r="AL70" s="1"/>
      <c r="AM70" s="1"/>
      <c r="AN70" s="1"/>
      <c r="AO70" s="1"/>
      <c r="AP70" s="1"/>
      <c r="AQ70" s="1"/>
      <c r="AR70" s="1"/>
      <c r="AS70" s="1"/>
      <c r="AT70" s="1"/>
      <c r="AU70" s="1"/>
      <c r="AV70" s="1"/>
      <c r="AW70" s="1"/>
      <c r="AX70" s="1"/>
      <c r="AY70" s="1"/>
      <c r="AZ70" s="1"/>
    </row>
    <row r="71" spans="1:52" ht="19.95" customHeight="1">
      <c r="A71" s="197"/>
      <c r="B71" s="195"/>
      <c r="C71" s="195"/>
      <c r="D71" s="195"/>
      <c r="E71" s="195"/>
      <c r="F71" s="195"/>
      <c r="G71" s="195"/>
      <c r="H71" s="195"/>
      <c r="I71" s="195"/>
      <c r="J71" s="195"/>
      <c r="K71" s="195"/>
      <c r="L71" s="195"/>
      <c r="M71" s="195"/>
      <c r="N71" s="196"/>
      <c r="O71" s="197"/>
      <c r="P71" s="195"/>
      <c r="Q71" s="195"/>
      <c r="R71" s="195"/>
      <c r="S71" s="195"/>
      <c r="T71" s="195"/>
      <c r="U71" s="195"/>
      <c r="V71" s="195"/>
      <c r="W71" s="195"/>
      <c r="X71" s="195"/>
      <c r="Y71" s="195"/>
      <c r="Z71" s="195"/>
      <c r="AA71" s="195"/>
      <c r="AB71" s="196"/>
      <c r="AC71" s="1"/>
      <c r="AD71" s="1"/>
      <c r="AE71" s="1"/>
      <c r="AF71" s="1"/>
      <c r="AG71" s="1"/>
      <c r="AH71" s="1"/>
      <c r="AI71" s="1"/>
      <c r="AJ71" s="1"/>
      <c r="AK71" s="1"/>
      <c r="AL71" s="1"/>
      <c r="AM71" s="1"/>
      <c r="AN71" s="1"/>
      <c r="AO71" s="1"/>
      <c r="AP71" s="1"/>
      <c r="AQ71" s="1"/>
      <c r="AR71" s="1"/>
      <c r="AS71" s="1"/>
      <c r="AT71" s="1"/>
      <c r="AU71" s="1"/>
      <c r="AV71" s="1"/>
      <c r="AW71" s="1"/>
      <c r="AX71" s="1"/>
      <c r="AY71" s="1"/>
      <c r="AZ71" s="1"/>
    </row>
    <row r="72" spans="1:52" ht="19.95" customHeight="1">
      <c r="A72" s="197"/>
      <c r="B72" s="195"/>
      <c r="C72" s="195"/>
      <c r="D72" s="195"/>
      <c r="E72" s="195"/>
      <c r="F72" s="195"/>
      <c r="G72" s="195"/>
      <c r="H72" s="195"/>
      <c r="I72" s="195"/>
      <c r="J72" s="195"/>
      <c r="K72" s="195"/>
      <c r="L72" s="195"/>
      <c r="M72" s="195"/>
      <c r="N72" s="196"/>
      <c r="O72" s="197"/>
      <c r="P72" s="195"/>
      <c r="Q72" s="195"/>
      <c r="R72" s="195"/>
      <c r="S72" s="195"/>
      <c r="T72" s="195"/>
      <c r="U72" s="195"/>
      <c r="V72" s="195"/>
      <c r="W72" s="195"/>
      <c r="X72" s="195"/>
      <c r="Y72" s="195"/>
      <c r="Z72" s="195"/>
      <c r="AA72" s="195"/>
      <c r="AB72" s="196"/>
      <c r="AC72" s="1"/>
      <c r="AD72" s="1"/>
      <c r="AE72" s="1"/>
      <c r="AF72" s="1"/>
      <c r="AG72" s="1"/>
      <c r="AH72" s="1"/>
      <c r="AI72" s="1"/>
      <c r="AJ72" s="1"/>
      <c r="AK72" s="1"/>
      <c r="AL72" s="1"/>
      <c r="AM72" s="1"/>
      <c r="AN72" s="1"/>
      <c r="AO72" s="1"/>
      <c r="AP72" s="1"/>
      <c r="AQ72" s="1"/>
      <c r="AR72" s="1"/>
      <c r="AS72" s="1"/>
      <c r="AT72" s="1"/>
      <c r="AU72" s="1"/>
      <c r="AV72" s="1"/>
      <c r="AW72" s="1"/>
      <c r="AX72" s="1"/>
      <c r="AY72" s="1"/>
      <c r="AZ72" s="1"/>
    </row>
    <row r="73" spans="1:52" ht="19.95" customHeight="1">
      <c r="A73" s="197"/>
      <c r="B73" s="195"/>
      <c r="C73" s="195"/>
      <c r="D73" s="195"/>
      <c r="E73" s="195"/>
      <c r="F73" s="195"/>
      <c r="G73" s="195"/>
      <c r="H73" s="195"/>
      <c r="I73" s="195"/>
      <c r="J73" s="195"/>
      <c r="K73" s="195"/>
      <c r="L73" s="195"/>
      <c r="M73" s="195"/>
      <c r="N73" s="196"/>
      <c r="O73" s="197"/>
      <c r="P73" s="195"/>
      <c r="Q73" s="195"/>
      <c r="R73" s="195"/>
      <c r="S73" s="195"/>
      <c r="T73" s="195"/>
      <c r="U73" s="195"/>
      <c r="V73" s="195"/>
      <c r="W73" s="195"/>
      <c r="X73" s="195"/>
      <c r="Y73" s="195"/>
      <c r="Z73" s="195"/>
      <c r="AA73" s="195"/>
      <c r="AB73" s="196"/>
      <c r="AC73" s="1"/>
      <c r="AD73" s="1"/>
      <c r="AE73" s="1"/>
      <c r="AF73" s="1"/>
      <c r="AG73" s="1"/>
      <c r="AH73" s="1"/>
      <c r="AI73" s="1"/>
      <c r="AJ73" s="1"/>
      <c r="AK73" s="1"/>
      <c r="AL73" s="1"/>
      <c r="AM73" s="1"/>
      <c r="AN73" s="1"/>
      <c r="AO73" s="1"/>
      <c r="AP73" s="1"/>
      <c r="AQ73" s="1"/>
      <c r="AR73" s="1"/>
      <c r="AS73" s="1"/>
      <c r="AT73" s="1"/>
      <c r="AU73" s="1"/>
      <c r="AV73" s="1"/>
      <c r="AW73" s="1"/>
      <c r="AX73" s="1"/>
      <c r="AY73" s="1"/>
      <c r="AZ73" s="1"/>
    </row>
    <row r="74" spans="1:52" ht="19.95" customHeight="1">
      <c r="A74" s="197"/>
      <c r="B74" s="195"/>
      <c r="C74" s="195"/>
      <c r="D74" s="195"/>
      <c r="E74" s="195"/>
      <c r="F74" s="195"/>
      <c r="G74" s="195"/>
      <c r="H74" s="195"/>
      <c r="I74" s="195"/>
      <c r="J74" s="195"/>
      <c r="K74" s="195"/>
      <c r="L74" s="195"/>
      <c r="M74" s="195"/>
      <c r="N74" s="196"/>
      <c r="O74" s="197"/>
      <c r="P74" s="195"/>
      <c r="Q74" s="195"/>
      <c r="R74" s="195"/>
      <c r="S74" s="195"/>
      <c r="T74" s="195"/>
      <c r="U74" s="195"/>
      <c r="V74" s="195"/>
      <c r="W74" s="195"/>
      <c r="X74" s="195"/>
      <c r="Y74" s="195"/>
      <c r="Z74" s="195"/>
      <c r="AA74" s="195"/>
      <c r="AB74" s="196"/>
      <c r="AC74" s="1"/>
      <c r="AD74" s="1"/>
      <c r="AE74" s="1"/>
      <c r="AF74" s="1"/>
      <c r="AG74" s="1"/>
      <c r="AH74" s="1"/>
      <c r="AI74" s="1"/>
      <c r="AJ74" s="1"/>
      <c r="AK74" s="1"/>
      <c r="AL74" s="1"/>
      <c r="AM74" s="1"/>
      <c r="AN74" s="1"/>
      <c r="AO74" s="1"/>
      <c r="AP74" s="1"/>
      <c r="AQ74" s="1"/>
      <c r="AR74" s="1"/>
      <c r="AS74" s="1"/>
      <c r="AT74" s="1"/>
      <c r="AU74" s="1"/>
      <c r="AV74" s="1"/>
      <c r="AW74" s="1"/>
      <c r="AX74" s="1"/>
      <c r="AY74" s="1"/>
      <c r="AZ74" s="1"/>
    </row>
    <row r="75" spans="1:52" ht="19.95" customHeight="1">
      <c r="A75" s="197"/>
      <c r="B75" s="195"/>
      <c r="C75" s="195"/>
      <c r="D75" s="195"/>
      <c r="E75" s="195"/>
      <c r="F75" s="195"/>
      <c r="G75" s="195"/>
      <c r="H75" s="195"/>
      <c r="I75" s="195"/>
      <c r="J75" s="195"/>
      <c r="K75" s="195"/>
      <c r="L75" s="195"/>
      <c r="M75" s="195"/>
      <c r="N75" s="196"/>
      <c r="O75" s="197"/>
      <c r="P75" s="195"/>
      <c r="Q75" s="195"/>
      <c r="R75" s="195"/>
      <c r="S75" s="195"/>
      <c r="T75" s="195"/>
      <c r="U75" s="195"/>
      <c r="V75" s="195"/>
      <c r="W75" s="195"/>
      <c r="X75" s="195"/>
      <c r="Y75" s="195"/>
      <c r="Z75" s="195"/>
      <c r="AA75" s="195"/>
      <c r="AB75" s="196"/>
      <c r="AC75" s="1"/>
      <c r="AD75" s="1"/>
      <c r="AE75" s="1"/>
      <c r="AF75" s="1"/>
      <c r="AG75" s="1"/>
      <c r="AH75" s="1"/>
      <c r="AI75" s="1"/>
      <c r="AJ75" s="1"/>
      <c r="AK75" s="1"/>
      <c r="AL75" s="1"/>
      <c r="AM75" s="1"/>
      <c r="AN75" s="1"/>
      <c r="AO75" s="1"/>
      <c r="AP75" s="1"/>
      <c r="AQ75" s="1"/>
      <c r="AR75" s="1"/>
      <c r="AS75" s="1"/>
      <c r="AT75" s="1"/>
      <c r="AU75" s="1"/>
      <c r="AV75" s="1"/>
      <c r="AW75" s="1"/>
      <c r="AX75" s="1"/>
      <c r="AY75" s="1"/>
      <c r="AZ75" s="1"/>
    </row>
    <row r="76" spans="1:52" ht="19.95" customHeight="1">
      <c r="A76" s="197"/>
      <c r="B76" s="195"/>
      <c r="C76" s="195"/>
      <c r="D76" s="195"/>
      <c r="E76" s="195"/>
      <c r="F76" s="195"/>
      <c r="G76" s="195"/>
      <c r="H76" s="195"/>
      <c r="I76" s="195"/>
      <c r="J76" s="195"/>
      <c r="K76" s="195"/>
      <c r="L76" s="195"/>
      <c r="M76" s="195"/>
      <c r="N76" s="196"/>
      <c r="O76" s="197"/>
      <c r="P76" s="195"/>
      <c r="Q76" s="195"/>
      <c r="R76" s="195"/>
      <c r="S76" s="195"/>
      <c r="T76" s="195"/>
      <c r="U76" s="195"/>
      <c r="V76" s="195"/>
      <c r="W76" s="195"/>
      <c r="X76" s="195"/>
      <c r="Y76" s="195"/>
      <c r="Z76" s="195"/>
      <c r="AA76" s="195"/>
      <c r="AB76" s="196"/>
      <c r="AC76" s="1"/>
      <c r="AD76" s="1"/>
      <c r="AE76" s="1"/>
      <c r="AF76" s="1"/>
      <c r="AG76" s="1"/>
      <c r="AH76" s="1"/>
      <c r="AI76" s="1"/>
      <c r="AJ76" s="1"/>
      <c r="AK76" s="1"/>
      <c r="AL76" s="1"/>
      <c r="AM76" s="1"/>
      <c r="AN76" s="1"/>
      <c r="AO76" s="1"/>
      <c r="AP76" s="1"/>
      <c r="AQ76" s="1"/>
      <c r="AR76" s="1"/>
      <c r="AS76" s="1"/>
      <c r="AT76" s="1"/>
      <c r="AU76" s="1"/>
      <c r="AV76" s="1"/>
      <c r="AW76" s="1"/>
      <c r="AX76" s="1"/>
      <c r="AY76" s="1"/>
      <c r="AZ76" s="1"/>
    </row>
    <row r="77" spans="1:52" ht="19.95" customHeight="1">
      <c r="A77" s="197"/>
      <c r="B77" s="195"/>
      <c r="C77" s="195"/>
      <c r="D77" s="195"/>
      <c r="E77" s="195"/>
      <c r="F77" s="195"/>
      <c r="G77" s="195"/>
      <c r="H77" s="195"/>
      <c r="I77" s="195"/>
      <c r="J77" s="195"/>
      <c r="K77" s="195"/>
      <c r="L77" s="195"/>
      <c r="M77" s="195"/>
      <c r="N77" s="196"/>
      <c r="O77" s="197"/>
      <c r="P77" s="195"/>
      <c r="Q77" s="195"/>
      <c r="R77" s="195"/>
      <c r="S77" s="195"/>
      <c r="T77" s="195"/>
      <c r="U77" s="195"/>
      <c r="V77" s="195"/>
      <c r="W77" s="195"/>
      <c r="X77" s="195"/>
      <c r="Y77" s="195"/>
      <c r="Z77" s="195"/>
      <c r="AA77" s="195"/>
      <c r="AB77" s="196"/>
      <c r="AC77" s="1"/>
      <c r="AD77" s="1"/>
      <c r="AE77" s="1"/>
      <c r="AF77" s="1"/>
      <c r="AG77" s="1"/>
      <c r="AH77" s="1"/>
      <c r="AI77" s="1"/>
      <c r="AJ77" s="1"/>
      <c r="AK77" s="1"/>
      <c r="AL77" s="1"/>
      <c r="AM77" s="1"/>
      <c r="AN77" s="1"/>
      <c r="AO77" s="1"/>
      <c r="AP77" s="1"/>
      <c r="AQ77" s="1"/>
      <c r="AR77" s="1"/>
      <c r="AS77" s="1"/>
      <c r="AT77" s="1"/>
      <c r="AU77" s="1"/>
      <c r="AV77" s="1"/>
      <c r="AW77" s="1"/>
      <c r="AX77" s="1"/>
      <c r="AY77" s="1"/>
      <c r="AZ77" s="1"/>
    </row>
    <row r="78" spans="1:52" ht="19.95" customHeight="1">
      <c r="A78" s="197"/>
      <c r="B78" s="195"/>
      <c r="C78" s="195"/>
      <c r="D78" s="195"/>
      <c r="E78" s="195"/>
      <c r="F78" s="195"/>
      <c r="G78" s="195"/>
      <c r="H78" s="195"/>
      <c r="I78" s="195"/>
      <c r="J78" s="195"/>
      <c r="K78" s="195"/>
      <c r="L78" s="195"/>
      <c r="M78" s="195"/>
      <c r="N78" s="196"/>
      <c r="O78" s="197"/>
      <c r="P78" s="195"/>
      <c r="Q78" s="195"/>
      <c r="R78" s="195"/>
      <c r="S78" s="195"/>
      <c r="T78" s="195"/>
      <c r="U78" s="195"/>
      <c r="V78" s="195"/>
      <c r="W78" s="195"/>
      <c r="X78" s="195"/>
      <c r="Y78" s="195"/>
      <c r="Z78" s="195"/>
      <c r="AA78" s="195"/>
      <c r="AB78" s="196"/>
      <c r="AC78" s="1"/>
      <c r="AD78" s="1"/>
      <c r="AE78" s="1"/>
      <c r="AF78" s="1"/>
      <c r="AG78" s="1"/>
      <c r="AH78" s="1"/>
      <c r="AI78" s="1"/>
      <c r="AJ78" s="1"/>
      <c r="AK78" s="1"/>
      <c r="AL78" s="1"/>
      <c r="AM78" s="1"/>
      <c r="AN78" s="1"/>
      <c r="AO78" s="1"/>
      <c r="AP78" s="1"/>
      <c r="AQ78" s="1"/>
      <c r="AR78" s="1"/>
      <c r="AS78" s="1"/>
      <c r="AT78" s="1"/>
      <c r="AU78" s="1"/>
      <c r="AV78" s="1"/>
      <c r="AW78" s="1"/>
      <c r="AX78" s="1"/>
      <c r="AY78" s="1"/>
      <c r="AZ78" s="1"/>
    </row>
    <row r="79" spans="1:52" ht="19.95" customHeight="1">
      <c r="A79" s="197"/>
      <c r="B79" s="195"/>
      <c r="C79" s="195"/>
      <c r="D79" s="195"/>
      <c r="E79" s="195"/>
      <c r="F79" s="195"/>
      <c r="G79" s="195"/>
      <c r="H79" s="195"/>
      <c r="I79" s="195"/>
      <c r="J79" s="195"/>
      <c r="K79" s="195"/>
      <c r="L79" s="195"/>
      <c r="M79" s="195"/>
      <c r="N79" s="196"/>
      <c r="O79" s="197"/>
      <c r="P79" s="195"/>
      <c r="Q79" s="195"/>
      <c r="R79" s="195"/>
      <c r="S79" s="195"/>
      <c r="T79" s="195"/>
      <c r="U79" s="195"/>
      <c r="V79" s="195"/>
      <c r="W79" s="195"/>
      <c r="X79" s="195"/>
      <c r="Y79" s="195"/>
      <c r="Z79" s="195"/>
      <c r="AA79" s="195"/>
      <c r="AB79" s="196"/>
      <c r="AC79" s="1"/>
      <c r="AD79" s="1"/>
      <c r="AE79" s="1"/>
      <c r="AF79" s="1"/>
      <c r="AG79" s="1"/>
      <c r="AH79" s="1"/>
      <c r="AI79" s="1"/>
      <c r="AJ79" s="1"/>
      <c r="AK79" s="1"/>
      <c r="AL79" s="1"/>
      <c r="AM79" s="1"/>
      <c r="AN79" s="1"/>
      <c r="AO79" s="1"/>
      <c r="AP79" s="1"/>
      <c r="AQ79" s="1"/>
      <c r="AR79" s="1"/>
      <c r="AS79" s="1"/>
      <c r="AT79" s="1"/>
      <c r="AU79" s="1"/>
      <c r="AV79" s="1"/>
      <c r="AW79" s="1"/>
      <c r="AX79" s="1"/>
      <c r="AY79" s="1"/>
      <c r="AZ79" s="1"/>
    </row>
    <row r="80" spans="1:52" ht="19.95" customHeight="1">
      <c r="A80" s="197"/>
      <c r="B80" s="195"/>
      <c r="C80" s="195"/>
      <c r="D80" s="195"/>
      <c r="E80" s="195"/>
      <c r="F80" s="195"/>
      <c r="G80" s="195"/>
      <c r="H80" s="195"/>
      <c r="I80" s="195"/>
      <c r="J80" s="195"/>
      <c r="K80" s="195"/>
      <c r="L80" s="195"/>
      <c r="M80" s="195"/>
      <c r="N80" s="196"/>
      <c r="O80" s="197"/>
      <c r="P80" s="195"/>
      <c r="Q80" s="195"/>
      <c r="R80" s="195"/>
      <c r="S80" s="195"/>
      <c r="T80" s="195"/>
      <c r="U80" s="195"/>
      <c r="V80" s="195"/>
      <c r="W80" s="195"/>
      <c r="X80" s="195"/>
      <c r="Y80" s="195"/>
      <c r="Z80" s="195"/>
      <c r="AA80" s="195"/>
      <c r="AB80" s="196"/>
      <c r="AC80" s="1"/>
      <c r="AD80" s="1"/>
      <c r="AE80" s="1"/>
      <c r="AF80" s="1"/>
      <c r="AG80" s="1"/>
      <c r="AH80" s="1"/>
      <c r="AI80" s="1"/>
      <c r="AJ80" s="1"/>
      <c r="AK80" s="1"/>
      <c r="AL80" s="1"/>
      <c r="AM80" s="1"/>
      <c r="AN80" s="1"/>
      <c r="AO80" s="1"/>
      <c r="AP80" s="1"/>
      <c r="AQ80" s="1"/>
      <c r="AR80" s="1"/>
      <c r="AS80" s="1"/>
      <c r="AT80" s="1"/>
      <c r="AU80" s="1"/>
      <c r="AV80" s="1"/>
      <c r="AW80" s="1"/>
      <c r="AX80" s="1"/>
      <c r="AY80" s="1"/>
      <c r="AZ80" s="1"/>
    </row>
    <row r="81" spans="1:68" ht="19.95" customHeight="1">
      <c r="A81" s="197"/>
      <c r="B81" s="195"/>
      <c r="C81" s="195"/>
      <c r="D81" s="195"/>
      <c r="E81" s="195"/>
      <c r="F81" s="195"/>
      <c r="G81" s="195"/>
      <c r="H81" s="195"/>
      <c r="I81" s="195"/>
      <c r="J81" s="195"/>
      <c r="K81" s="195"/>
      <c r="L81" s="195"/>
      <c r="M81" s="195"/>
      <c r="N81" s="196"/>
      <c r="O81" s="197"/>
      <c r="P81" s="195"/>
      <c r="Q81" s="195"/>
      <c r="R81" s="195"/>
      <c r="S81" s="195"/>
      <c r="T81" s="195"/>
      <c r="U81" s="195"/>
      <c r="V81" s="195"/>
      <c r="W81" s="195"/>
      <c r="X81" s="195"/>
      <c r="Y81" s="195"/>
      <c r="Z81" s="195"/>
      <c r="AA81" s="195"/>
      <c r="AB81" s="196"/>
      <c r="AC81" s="1"/>
      <c r="AD81" s="1"/>
      <c r="AE81" s="1"/>
      <c r="AF81" s="1"/>
      <c r="AG81" s="1"/>
      <c r="AH81" s="1"/>
      <c r="AI81" s="1"/>
      <c r="AJ81" s="1"/>
      <c r="AK81" s="1"/>
      <c r="AL81" s="1"/>
      <c r="AM81" s="1"/>
      <c r="AN81" s="1"/>
      <c r="AO81" s="1"/>
      <c r="AP81" s="1"/>
      <c r="AQ81" s="1"/>
      <c r="AR81" s="1"/>
      <c r="AS81" s="1"/>
      <c r="AT81" s="1"/>
      <c r="AU81" s="1"/>
      <c r="AV81" s="1"/>
      <c r="AW81" s="1"/>
      <c r="AX81" s="1"/>
      <c r="AY81" s="1"/>
      <c r="AZ81" s="1"/>
    </row>
    <row r="82" spans="1:68" ht="19.95" customHeight="1">
      <c r="A82" s="197"/>
      <c r="B82" s="195"/>
      <c r="C82" s="195"/>
      <c r="D82" s="195"/>
      <c r="E82" s="195"/>
      <c r="F82" s="195"/>
      <c r="G82" s="195"/>
      <c r="H82" s="195"/>
      <c r="I82" s="195"/>
      <c r="J82" s="195"/>
      <c r="K82" s="195"/>
      <c r="L82" s="195"/>
      <c r="M82" s="195"/>
      <c r="N82" s="196"/>
      <c r="O82" s="197"/>
      <c r="P82" s="195"/>
      <c r="Q82" s="195"/>
      <c r="R82" s="195"/>
      <c r="S82" s="195"/>
      <c r="T82" s="195"/>
      <c r="U82" s="195"/>
      <c r="V82" s="195"/>
      <c r="W82" s="195"/>
      <c r="X82" s="195"/>
      <c r="Y82" s="195"/>
      <c r="Z82" s="195"/>
      <c r="AA82" s="195"/>
      <c r="AB82" s="196"/>
      <c r="AC82" s="1"/>
      <c r="AD82" s="1"/>
      <c r="AE82" s="1"/>
      <c r="AF82" s="1"/>
      <c r="AG82" s="1"/>
      <c r="AH82" s="1"/>
      <c r="AI82" s="1"/>
      <c r="AJ82" s="1"/>
      <c r="AK82" s="1"/>
      <c r="AL82" s="1"/>
      <c r="AM82" s="1"/>
      <c r="AN82" s="1"/>
      <c r="AO82" s="1"/>
      <c r="AP82" s="1"/>
      <c r="AQ82" s="1"/>
      <c r="AR82" s="1"/>
      <c r="AS82" s="1"/>
      <c r="AT82" s="1"/>
      <c r="AU82" s="1"/>
      <c r="AV82" s="1"/>
      <c r="AW82" s="1"/>
      <c r="AX82" s="1"/>
      <c r="AY82" s="1"/>
      <c r="AZ82" s="1"/>
    </row>
    <row r="83" spans="1:68" ht="19.95" customHeight="1">
      <c r="A83" s="197"/>
      <c r="B83" s="195"/>
      <c r="C83" s="195"/>
      <c r="D83" s="195"/>
      <c r="E83" s="195"/>
      <c r="F83" s="195"/>
      <c r="G83" s="195"/>
      <c r="H83" s="195"/>
      <c r="I83" s="195"/>
      <c r="J83" s="195"/>
      <c r="K83" s="195"/>
      <c r="L83" s="195"/>
      <c r="M83" s="195"/>
      <c r="N83" s="196"/>
      <c r="O83" s="197"/>
      <c r="P83" s="195"/>
      <c r="Q83" s="195"/>
      <c r="R83" s="195"/>
      <c r="S83" s="195"/>
      <c r="T83" s="195"/>
      <c r="U83" s="195"/>
      <c r="V83" s="195"/>
      <c r="W83" s="195"/>
      <c r="X83" s="195"/>
      <c r="Y83" s="195"/>
      <c r="Z83" s="195"/>
      <c r="AA83" s="195"/>
      <c r="AB83" s="196"/>
      <c r="AC83" s="1"/>
      <c r="AD83" s="1"/>
      <c r="AE83" s="1"/>
      <c r="AF83" s="1"/>
      <c r="AG83" s="1"/>
      <c r="AH83" s="1"/>
      <c r="AI83" s="1"/>
      <c r="AJ83" s="1"/>
      <c r="AK83" s="1"/>
      <c r="AL83" s="1"/>
      <c r="AM83" s="1"/>
      <c r="AN83" s="1"/>
      <c r="AO83" s="1"/>
      <c r="AP83" s="1"/>
      <c r="AQ83" s="1"/>
      <c r="AR83" s="1"/>
      <c r="AS83" s="1"/>
      <c r="AT83" s="1"/>
      <c r="AU83" s="1"/>
      <c r="AV83" s="1"/>
      <c r="AW83" s="1"/>
      <c r="AX83" s="1"/>
      <c r="AY83" s="1"/>
      <c r="AZ83" s="1"/>
    </row>
    <row r="84" spans="1:68" ht="19.95" customHeight="1">
      <c r="A84" s="197"/>
      <c r="B84" s="195"/>
      <c r="C84" s="195"/>
      <c r="D84" s="195"/>
      <c r="E84" s="195"/>
      <c r="F84" s="195"/>
      <c r="G84" s="195"/>
      <c r="H84" s="195"/>
      <c r="I84" s="195"/>
      <c r="J84" s="195"/>
      <c r="K84" s="195"/>
      <c r="L84" s="195"/>
      <c r="M84" s="195"/>
      <c r="N84" s="196"/>
      <c r="O84" s="197"/>
      <c r="P84" s="195"/>
      <c r="Q84" s="195"/>
      <c r="R84" s="195"/>
      <c r="S84" s="195"/>
      <c r="T84" s="195"/>
      <c r="U84" s="195"/>
      <c r="V84" s="195"/>
      <c r="W84" s="195"/>
      <c r="X84" s="195"/>
      <c r="Y84" s="195"/>
      <c r="Z84" s="195"/>
      <c r="AA84" s="195"/>
      <c r="AB84" s="196"/>
      <c r="AC84" s="1"/>
      <c r="AD84" s="1"/>
      <c r="AE84" s="1"/>
      <c r="AF84" s="1"/>
      <c r="AG84" s="1"/>
      <c r="AH84" s="1"/>
      <c r="AI84" s="1"/>
      <c r="AJ84" s="1"/>
      <c r="AK84" s="1"/>
      <c r="AL84" s="1"/>
      <c r="AM84" s="1"/>
      <c r="AN84" s="1"/>
      <c r="AO84" s="1"/>
      <c r="AP84" s="1"/>
      <c r="AQ84" s="1"/>
      <c r="AR84" s="1"/>
      <c r="AS84" s="1"/>
      <c r="AT84" s="1"/>
      <c r="AU84" s="1"/>
      <c r="AV84" s="1"/>
      <c r="AW84" s="1"/>
      <c r="AX84" s="1"/>
      <c r="AY84" s="1"/>
      <c r="AZ84" s="1"/>
      <c r="BH84" s="479" t="str">
        <f>CONCATENATE(BJ84,BL84,BM84)</f>
        <v>We simplify your outlook as primarily conservative. No need to complete this.</v>
      </c>
      <c r="BJ84" s="570" t="s">
        <v>1741</v>
      </c>
      <c r="BL84" s="2" t="str">
        <f>IF(BP84=BH123,BJ123,IF(BP84=BH124,BJ124,BJ125))</f>
        <v>conservative</v>
      </c>
      <c r="BM84" s="570" t="s">
        <v>1744</v>
      </c>
      <c r="BO84" s="157" t="s">
        <v>1597</v>
      </c>
      <c r="BP84" s="2" t="str">
        <f>E1096</f>
        <v>CONSERVATIVE</v>
      </c>
    </row>
    <row r="85" spans="1:68" ht="19.95" customHeight="1">
      <c r="A85" s="197"/>
      <c r="B85" s="195"/>
      <c r="C85" s="195"/>
      <c r="D85" s="195"/>
      <c r="E85" s="195"/>
      <c r="F85" s="195"/>
      <c r="G85" s="195"/>
      <c r="H85" s="195"/>
      <c r="I85" s="195"/>
      <c r="J85" s="195"/>
      <c r="K85" s="195"/>
      <c r="L85" s="195"/>
      <c r="M85" s="195"/>
      <c r="N85" s="196"/>
      <c r="O85" s="197"/>
      <c r="P85" s="195"/>
      <c r="Q85" s="195"/>
      <c r="R85" s="195"/>
      <c r="S85" s="195"/>
      <c r="T85" s="195"/>
      <c r="U85" s="195"/>
      <c r="V85" s="195"/>
      <c r="W85" s="195"/>
      <c r="X85" s="195"/>
      <c r="Y85" s="195"/>
      <c r="Z85" s="195"/>
      <c r="AA85" s="195"/>
      <c r="AB85" s="196"/>
      <c r="AC85" s="1"/>
      <c r="AD85" s="1"/>
      <c r="AE85" s="1"/>
      <c r="AF85" s="1"/>
      <c r="AG85" s="1"/>
      <c r="AH85" s="1"/>
      <c r="AI85" s="1"/>
      <c r="AJ85" s="1"/>
      <c r="AK85" s="1"/>
      <c r="AL85" s="1"/>
      <c r="AM85" s="1"/>
      <c r="AN85" s="1"/>
      <c r="AO85" s="1"/>
      <c r="AP85" s="1"/>
      <c r="AQ85" s="1"/>
      <c r="AR85" s="1"/>
      <c r="AS85" s="1"/>
      <c r="AT85" s="1"/>
      <c r="AU85" s="1"/>
      <c r="AV85" s="1"/>
      <c r="AW85" s="1"/>
      <c r="AX85" s="1"/>
      <c r="AY85" s="1"/>
      <c r="AZ85" s="1"/>
      <c r="BH85" s="476" t="str">
        <f>CONCATENATE(BJ85,BL85,BM85)</f>
        <v>We simplify your client's outlook as primarily liberal. No need to fill out.</v>
      </c>
      <c r="BJ85" s="570" t="s">
        <v>1742</v>
      </c>
      <c r="BL85" s="2" t="str">
        <f>IF(BP85=BH123,BJ123,IF(BP85=BH124,BJ124,BJ125))</f>
        <v>liberal</v>
      </c>
      <c r="BM85" s="570" t="s">
        <v>1743</v>
      </c>
      <c r="BO85" s="157" t="s">
        <v>1596</v>
      </c>
      <c r="BP85" s="2" t="str">
        <f>E1094</f>
        <v>LIBERAL</v>
      </c>
    </row>
    <row r="86" spans="1:68" ht="19.95" customHeight="1">
      <c r="A86" s="197"/>
      <c r="B86" s="195"/>
      <c r="C86" s="195"/>
      <c r="D86" s="195"/>
      <c r="E86" s="195"/>
      <c r="F86" s="195"/>
      <c r="G86" s="195"/>
      <c r="H86" s="195"/>
      <c r="I86" s="195"/>
      <c r="J86" s="195"/>
      <c r="K86" s="195"/>
      <c r="L86" s="195"/>
      <c r="M86" s="195"/>
      <c r="N86" s="196"/>
      <c r="O86" s="197"/>
      <c r="P86" s="195"/>
      <c r="Q86" s="195"/>
      <c r="R86" s="195"/>
      <c r="S86" s="195"/>
      <c r="T86" s="195"/>
      <c r="U86" s="195"/>
      <c r="V86" s="195"/>
      <c r="W86" s="195"/>
      <c r="X86" s="195"/>
      <c r="Y86" s="195"/>
      <c r="Z86" s="195"/>
      <c r="AA86" s="195"/>
      <c r="AB86" s="196"/>
      <c r="AC86" s="1"/>
      <c r="AD86" s="1"/>
      <c r="AE86" s="1"/>
      <c r="AF86" s="1"/>
      <c r="AG86" s="1"/>
      <c r="AH86" s="1"/>
      <c r="AI86" s="1"/>
      <c r="AJ86" s="1"/>
      <c r="AK86" s="1"/>
      <c r="AL86" s="1"/>
      <c r="AM86" s="1"/>
      <c r="AN86" s="1"/>
      <c r="AO86" s="1"/>
      <c r="AP86" s="1"/>
      <c r="AQ86" s="1"/>
      <c r="AR86" s="1"/>
      <c r="AS86" s="1"/>
      <c r="AT86" s="1"/>
      <c r="AU86" s="1"/>
      <c r="AV86" s="1"/>
      <c r="AW86" s="1"/>
      <c r="AX86" s="1"/>
      <c r="AY86" s="1"/>
      <c r="AZ86" s="1"/>
      <c r="BI86" s="2" t="s">
        <v>1739</v>
      </c>
    </row>
    <row r="87" spans="1:68" ht="19.95" customHeight="1">
      <c r="A87" s="197"/>
      <c r="B87" s="195"/>
      <c r="C87" s="195"/>
      <c r="D87" s="195"/>
      <c r="E87" s="195"/>
      <c r="F87" s="195"/>
      <c r="G87" s="195"/>
      <c r="H87" s="195"/>
      <c r="I87" s="195"/>
      <c r="J87" s="195"/>
      <c r="K87" s="195"/>
      <c r="L87" s="195"/>
      <c r="M87" s="195"/>
      <c r="N87" s="196"/>
      <c r="O87" s="197"/>
      <c r="P87" s="195"/>
      <c r="Q87" s="195"/>
      <c r="R87" s="195"/>
      <c r="S87" s="195"/>
      <c r="T87" s="195"/>
      <c r="U87" s="195"/>
      <c r="V87" s="195"/>
      <c r="W87" s="195"/>
      <c r="X87" s="195"/>
      <c r="Y87" s="195"/>
      <c r="Z87" s="195"/>
      <c r="AA87" s="195"/>
      <c r="AB87" s="196"/>
      <c r="AC87" s="1"/>
      <c r="AD87" s="1"/>
      <c r="AE87" s="1"/>
      <c r="AF87" s="1"/>
      <c r="AG87" s="1"/>
      <c r="AH87" s="1"/>
      <c r="AI87" s="1"/>
      <c r="AJ87" s="1"/>
      <c r="AK87" s="1"/>
      <c r="AL87" s="1"/>
      <c r="AM87" s="1"/>
      <c r="AN87" s="1"/>
      <c r="AO87" s="1"/>
      <c r="AP87" s="1"/>
      <c r="AQ87" s="1"/>
      <c r="AR87" s="1"/>
      <c r="AS87" s="1"/>
      <c r="AT87" s="1"/>
      <c r="AU87" s="1"/>
      <c r="AV87" s="1"/>
      <c r="AW87" s="1"/>
      <c r="AX87" s="1"/>
      <c r="AY87" s="1"/>
      <c r="AZ87" s="1"/>
      <c r="BI87" s="2" t="s">
        <v>1740</v>
      </c>
    </row>
    <row r="88" spans="1:68">
      <c r="A88" s="207"/>
      <c r="B88" s="208"/>
      <c r="C88" s="208"/>
      <c r="D88" s="208"/>
      <c r="E88" s="208"/>
      <c r="F88" s="208"/>
      <c r="G88" s="208"/>
      <c r="H88" s="208"/>
      <c r="I88" s="208"/>
      <c r="J88" s="208"/>
      <c r="K88" s="208"/>
      <c r="L88" s="208"/>
      <c r="M88" s="208"/>
      <c r="N88" s="209"/>
      <c r="O88" s="207"/>
      <c r="P88" s="208"/>
      <c r="Q88" s="208"/>
      <c r="R88" s="208"/>
      <c r="S88" s="208"/>
      <c r="T88" s="208"/>
      <c r="U88" s="208"/>
      <c r="V88" s="208"/>
      <c r="W88" s="208"/>
      <c r="X88" s="208"/>
      <c r="Y88" s="208"/>
      <c r="Z88" s="208"/>
      <c r="AA88" s="208"/>
      <c r="AB88" s="209"/>
      <c r="AC88" s="1"/>
      <c r="AD88" s="1"/>
      <c r="AE88" s="1"/>
      <c r="AF88" s="1"/>
      <c r="AG88" s="1"/>
      <c r="AH88" s="1"/>
      <c r="AI88" s="1"/>
      <c r="AJ88" s="1"/>
      <c r="AK88" s="1"/>
      <c r="AL88" s="1"/>
      <c r="AM88" s="1"/>
      <c r="AN88" s="1"/>
      <c r="AO88" s="1"/>
      <c r="AP88" s="1"/>
      <c r="AQ88" s="1"/>
      <c r="AR88" s="1"/>
      <c r="AS88" s="1"/>
      <c r="AT88" s="1"/>
      <c r="AU88" s="1"/>
      <c r="AV88" s="1"/>
      <c r="AW88" s="1"/>
      <c r="AX88" s="1"/>
      <c r="AY88" s="1"/>
      <c r="AZ88" s="1"/>
      <c r="BH88" s="479" t="str">
        <f>IF(BL124=BJ125,BJ89,CONCATENATE(BJ88,BK88,BL88,BM88,BN88,BO88,BP88))</f>
        <v>According to your responses, you are an independent.</v>
      </c>
      <c r="BJ88" s="478" t="s">
        <v>1732</v>
      </c>
      <c r="BK88" s="2" t="str">
        <f>BL124</f>
        <v>independent</v>
      </c>
      <c r="BL88" s="478" t="s">
        <v>1733</v>
      </c>
      <c r="BM88" s="2" t="str">
        <f>BL125</f>
        <v>independent</v>
      </c>
      <c r="BN88" s="478" t="s">
        <v>706</v>
      </c>
      <c r="BP88" s="478"/>
    </row>
    <row r="89" spans="1:68" ht="30" customHeight="1">
      <c r="A89" s="210" t="s">
        <v>1148</v>
      </c>
      <c r="B89" s="1286" t="s">
        <v>1258</v>
      </c>
      <c r="C89" s="1286"/>
      <c r="D89" s="1286"/>
      <c r="E89" s="1286"/>
      <c r="F89" s="1286"/>
      <c r="G89" s="1286"/>
      <c r="H89" s="1286"/>
      <c r="I89" s="1286"/>
      <c r="J89" s="1286"/>
      <c r="K89" s="1286"/>
      <c r="L89" s="1286"/>
      <c r="M89" s="1286"/>
      <c r="N89" s="211" t="s">
        <v>1149</v>
      </c>
      <c r="O89" s="210"/>
      <c r="P89" s="389" t="s">
        <v>1259</v>
      </c>
      <c r="Q89" s="204"/>
      <c r="R89" s="204"/>
      <c r="S89" s="204"/>
      <c r="T89" s="204"/>
      <c r="U89" s="204"/>
      <c r="V89" s="204"/>
      <c r="W89" s="204"/>
      <c r="X89" s="204"/>
      <c r="Y89" s="204"/>
      <c r="Z89" s="204"/>
      <c r="AA89" s="204"/>
      <c r="AB89" s="211" t="s">
        <v>1149</v>
      </c>
      <c r="AC89" s="577"/>
      <c r="AD89" s="1"/>
      <c r="AE89" s="1"/>
      <c r="AF89" s="1"/>
      <c r="AG89" s="1"/>
      <c r="AH89" s="1"/>
      <c r="AI89" s="1"/>
      <c r="AJ89" s="1"/>
      <c r="AK89" s="1"/>
      <c r="AL89" s="1"/>
      <c r="AM89" s="1"/>
      <c r="AN89" s="1"/>
      <c r="AO89" s="1"/>
      <c r="AP89" s="577"/>
      <c r="AQ89" s="577"/>
      <c r="AR89" s="577"/>
      <c r="AS89" s="577"/>
      <c r="AT89" s="577"/>
      <c r="AU89" s="577"/>
      <c r="AV89" s="577"/>
      <c r="AW89" s="577"/>
      <c r="AX89" s="577"/>
      <c r="AY89" s="577"/>
      <c r="AZ89" s="1"/>
      <c r="BJ89" s="478" t="s">
        <v>1736</v>
      </c>
    </row>
    <row r="90" spans="1:68" ht="7.05" customHeight="1">
      <c r="A90" s="199"/>
      <c r="B90" s="24"/>
      <c r="C90" s="24"/>
      <c r="D90" s="24"/>
      <c r="E90" s="24"/>
      <c r="F90" s="24"/>
      <c r="G90" s="24"/>
      <c r="H90" s="24"/>
      <c r="I90" s="24"/>
      <c r="J90" s="24"/>
      <c r="K90" s="24"/>
      <c r="L90" s="24"/>
      <c r="M90" s="24"/>
      <c r="N90" s="200"/>
      <c r="O90" s="199"/>
      <c r="P90" s="24"/>
      <c r="Q90" s="24"/>
      <c r="R90" s="24"/>
      <c r="S90" s="24"/>
      <c r="T90" s="24"/>
      <c r="U90" s="24"/>
      <c r="V90" s="24"/>
      <c r="W90" s="24"/>
      <c r="X90" s="24"/>
      <c r="Y90" s="24"/>
      <c r="Z90" s="24"/>
      <c r="AA90" s="24"/>
      <c r="AB90" s="200"/>
      <c r="AC90" s="1"/>
      <c r="AD90" s="1"/>
      <c r="AE90" s="1"/>
      <c r="AF90" s="1"/>
      <c r="AG90" s="1"/>
      <c r="AH90" s="1"/>
      <c r="AI90" s="1"/>
      <c r="AJ90" s="1"/>
      <c r="AK90" s="1"/>
      <c r="AL90" s="1"/>
      <c r="AM90" s="1"/>
      <c r="AN90" s="1"/>
      <c r="AO90" s="1"/>
      <c r="AP90" s="1"/>
      <c r="AQ90" s="1"/>
      <c r="AR90" s="1"/>
      <c r="AS90" s="1"/>
      <c r="AT90" s="1"/>
      <c r="AU90" s="1"/>
      <c r="AV90" s="1"/>
      <c r="AW90" s="1"/>
      <c r="AX90" s="1"/>
      <c r="AY90" s="1"/>
      <c r="AZ90" s="1"/>
      <c r="BH90" s="476" t="str">
        <f>IF(BN124=BJ125,BJ91,CONCATENATE(BJ90,BK90,BL90,BM90,BN90,BO90,BP90))</f>
        <v>According to your responses, you are an independent.</v>
      </c>
      <c r="BJ90" s="478" t="s">
        <v>1734</v>
      </c>
      <c r="BK90" s="2" t="str">
        <f>BN124</f>
        <v>independent</v>
      </c>
      <c r="BL90" s="478" t="s">
        <v>1733</v>
      </c>
      <c r="BM90" s="2" t="str">
        <f>BN125</f>
        <v>independent</v>
      </c>
      <c r="BN90" s="478" t="s">
        <v>706</v>
      </c>
      <c r="BP90" s="478"/>
    </row>
    <row r="91" spans="1:68" ht="7.05" customHeight="1">
      <c r="A91" s="199"/>
      <c r="B91" s="24"/>
      <c r="C91" s="24"/>
      <c r="D91" s="24"/>
      <c r="E91" s="24"/>
      <c r="F91" s="24"/>
      <c r="G91" s="24"/>
      <c r="H91" s="24"/>
      <c r="I91" s="24"/>
      <c r="J91" s="24"/>
      <c r="K91" s="24"/>
      <c r="L91" s="24"/>
      <c r="M91" s="24"/>
      <c r="N91" s="200"/>
      <c r="O91" s="199"/>
      <c r="P91" s="24"/>
      <c r="Q91" s="24"/>
      <c r="R91" s="24"/>
      <c r="S91" s="24"/>
      <c r="T91" s="24"/>
      <c r="U91" s="24"/>
      <c r="V91" s="24"/>
      <c r="W91" s="24"/>
      <c r="X91" s="24"/>
      <c r="Y91" s="24"/>
      <c r="Z91" s="24"/>
      <c r="AA91" s="24"/>
      <c r="AB91" s="200"/>
      <c r="AC91" s="1"/>
      <c r="AD91" s="1"/>
      <c r="AE91" s="1"/>
      <c r="AF91" s="1"/>
      <c r="AG91" s="1"/>
      <c r="AH91" s="1"/>
      <c r="AI91" s="1"/>
      <c r="AJ91" s="1"/>
      <c r="AK91" s="1"/>
      <c r="AL91" s="1"/>
      <c r="AM91" s="1"/>
      <c r="AN91" s="1"/>
      <c r="AO91" s="1"/>
      <c r="AP91" s="1"/>
      <c r="AQ91" s="1"/>
      <c r="AR91" s="1"/>
      <c r="AS91" s="1"/>
      <c r="AT91" s="1"/>
      <c r="AU91" s="1"/>
      <c r="AV91" s="1"/>
      <c r="AW91" s="1"/>
      <c r="AX91" s="1"/>
      <c r="AY91" s="1"/>
      <c r="AZ91" s="1"/>
      <c r="BJ91" s="478" t="s">
        <v>1736</v>
      </c>
    </row>
    <row r="92" spans="1:68" ht="22.95" customHeight="1">
      <c r="A92" s="199"/>
      <c r="B92" s="1277" t="s">
        <v>1260</v>
      </c>
      <c r="C92" s="1277"/>
      <c r="D92" s="1277"/>
      <c r="E92" s="1277"/>
      <c r="F92" s="1277"/>
      <c r="G92" s="1277"/>
      <c r="H92" s="1277"/>
      <c r="I92" s="1277"/>
      <c r="J92" s="1277"/>
      <c r="K92" s="1277"/>
      <c r="L92" s="1277"/>
      <c r="M92" s="1277"/>
      <c r="N92" s="200"/>
      <c r="O92" s="199"/>
      <c r="P92" s="24"/>
      <c r="Q92" s="24"/>
      <c r="R92" s="24"/>
      <c r="S92" s="24"/>
      <c r="T92" s="24"/>
      <c r="U92" s="24"/>
      <c r="V92" s="24"/>
      <c r="W92" s="24"/>
      <c r="X92" s="24"/>
      <c r="Y92" s="24"/>
      <c r="Z92" s="24"/>
      <c r="AA92" s="24"/>
      <c r="AB92" s="200"/>
      <c r="AC92" s="1"/>
      <c r="AD92" s="1"/>
      <c r="AE92" s="1"/>
      <c r="AF92" s="1"/>
      <c r="AG92" s="1"/>
      <c r="AH92" s="1"/>
      <c r="AI92" s="1"/>
      <c r="AJ92" s="1"/>
      <c r="AK92" s="1"/>
      <c r="AL92" s="1"/>
      <c r="AM92" s="1"/>
      <c r="AN92" s="1"/>
      <c r="AO92" s="1"/>
      <c r="AP92" s="1"/>
      <c r="AQ92" s="1"/>
      <c r="AR92" s="1"/>
      <c r="AS92" s="1"/>
      <c r="AT92" s="1"/>
      <c r="AU92" s="1"/>
      <c r="AV92" s="1"/>
      <c r="AW92" s="1"/>
      <c r="AX92" s="1"/>
      <c r="AY92" s="1"/>
      <c r="AZ92" s="1"/>
      <c r="BH92" s="479" t="str">
        <f>IF(AND(BF106&gt;7,BF106&lt;9),BH88,IF(AND(BF106&gt;0,BF106&lt;8),BI86,BI$93))</f>
        <v>NOTE: This tool will not work properly until you select a political outlook for yourself.</v>
      </c>
    </row>
    <row r="93" spans="1:68" ht="22.95" customHeight="1">
      <c r="A93" s="199"/>
      <c r="B93" s="1277"/>
      <c r="C93" s="1277"/>
      <c r="D93" s="1277"/>
      <c r="E93" s="1277"/>
      <c r="F93" s="1277"/>
      <c r="G93" s="1277"/>
      <c r="H93" s="1277"/>
      <c r="I93" s="1277"/>
      <c r="J93" s="1277"/>
      <c r="K93" s="1277"/>
      <c r="L93" s="1277"/>
      <c r="M93" s="1277"/>
      <c r="N93" s="200"/>
      <c r="O93" s="199"/>
      <c r="P93" s="24"/>
      <c r="Q93" s="24"/>
      <c r="R93" s="24"/>
      <c r="S93" s="24"/>
      <c r="T93" s="24"/>
      <c r="U93" s="24"/>
      <c r="V93" s="24"/>
      <c r="W93" s="24"/>
      <c r="X93" s="24"/>
      <c r="Y93" s="24"/>
      <c r="Z93" s="24"/>
      <c r="AA93" s="24"/>
      <c r="AB93" s="200"/>
      <c r="AC93" s="1"/>
      <c r="AD93" s="1"/>
      <c r="AE93" s="1"/>
      <c r="AF93" s="1"/>
      <c r="AG93" s="1"/>
      <c r="AH93" s="1"/>
      <c r="AI93" s="1"/>
      <c r="AJ93" s="1"/>
      <c r="AK93" s="1"/>
      <c r="AL93" s="1"/>
      <c r="AM93" s="1"/>
      <c r="AN93" s="1"/>
      <c r="AO93" s="1"/>
      <c r="AP93" s="1"/>
      <c r="AQ93" s="1"/>
      <c r="AR93" s="1"/>
      <c r="AS93" s="1"/>
      <c r="AT93" s="1"/>
      <c r="AU93" s="1"/>
      <c r="AV93" s="1"/>
      <c r="AW93" s="1"/>
      <c r="AX93" s="1"/>
      <c r="AY93" s="1"/>
      <c r="AZ93" s="1"/>
      <c r="BI93" s="2" t="s">
        <v>1737</v>
      </c>
    </row>
    <row r="94" spans="1:68" ht="22.95" customHeight="1">
      <c r="A94" s="199"/>
      <c r="B94" s="1277"/>
      <c r="C94" s="1277"/>
      <c r="D94" s="1277"/>
      <c r="E94" s="1277"/>
      <c r="F94" s="1277"/>
      <c r="G94" s="1277"/>
      <c r="H94" s="1277"/>
      <c r="I94" s="1277"/>
      <c r="J94" s="1277"/>
      <c r="K94" s="1277"/>
      <c r="L94" s="1277"/>
      <c r="M94" s="1277"/>
      <c r="N94" s="200"/>
      <c r="O94" s="199"/>
      <c r="P94" s="24"/>
      <c r="Q94" s="24"/>
      <c r="R94" s="24"/>
      <c r="S94" s="24"/>
      <c r="T94" s="24"/>
      <c r="U94" s="24"/>
      <c r="V94" s="24"/>
      <c r="W94" s="24"/>
      <c r="X94" s="24"/>
      <c r="Y94" s="24"/>
      <c r="Z94" s="24"/>
      <c r="AA94" s="24"/>
      <c r="AB94" s="200"/>
      <c r="AC94" s="1"/>
      <c r="AD94" s="1"/>
      <c r="AE94" s="1"/>
      <c r="AF94" s="1"/>
      <c r="AG94" s="1"/>
      <c r="AH94" s="1"/>
      <c r="AI94" s="1"/>
      <c r="AJ94" s="1"/>
      <c r="AK94" s="1"/>
      <c r="AL94" s="1"/>
      <c r="AM94" s="1"/>
      <c r="AN94" s="1"/>
      <c r="AO94" s="1"/>
      <c r="AP94" s="1"/>
      <c r="AQ94" s="1"/>
      <c r="AR94" s="1"/>
      <c r="AS94" s="1"/>
      <c r="AT94" s="1"/>
      <c r="AU94" s="1"/>
      <c r="AV94" s="1"/>
      <c r="AW94" s="1"/>
      <c r="AX94" s="1"/>
      <c r="AY94" s="1"/>
      <c r="AZ94" s="1"/>
      <c r="BH94" s="476" t="str">
        <f>IF(AND(BF123&gt;7,BF123&lt;9),BH90,IF(AND(BF123&gt;0,BF123&lt;8),BI87,BI$95))</f>
        <v>NOTE: This tool will not work properly until you select a political outlook for your client.</v>
      </c>
    </row>
    <row r="95" spans="1:68" ht="22.95" customHeight="1">
      <c r="A95" s="199"/>
      <c r="B95" s="1277"/>
      <c r="C95" s="1277"/>
      <c r="D95" s="1277"/>
      <c r="E95" s="1277"/>
      <c r="F95" s="1277"/>
      <c r="G95" s="1277"/>
      <c r="H95" s="1277"/>
      <c r="I95" s="1277"/>
      <c r="J95" s="1277"/>
      <c r="K95" s="1277"/>
      <c r="L95" s="1277"/>
      <c r="M95" s="1277"/>
      <c r="N95" s="200"/>
      <c r="O95" s="199"/>
      <c r="P95" s="24"/>
      <c r="Q95" s="24"/>
      <c r="R95" s="24"/>
      <c r="S95" s="24"/>
      <c r="T95" s="24"/>
      <c r="U95" s="24"/>
      <c r="V95" s="24"/>
      <c r="W95" s="24"/>
      <c r="X95" s="24"/>
      <c r="Y95" s="24"/>
      <c r="Z95" s="24"/>
      <c r="AA95" s="24"/>
      <c r="AB95" s="200"/>
      <c r="AC95" s="1"/>
      <c r="AD95" s="1"/>
      <c r="AE95" s="1"/>
      <c r="AF95" s="1"/>
      <c r="AG95" s="1"/>
      <c r="AH95" s="1"/>
      <c r="AI95" s="1"/>
      <c r="AJ95" s="1"/>
      <c r="AK95" s="1"/>
      <c r="AL95" s="1"/>
      <c r="AM95" s="1"/>
      <c r="AN95" s="1"/>
      <c r="AO95" s="1"/>
      <c r="AP95" s="1"/>
      <c r="AQ95" s="1"/>
      <c r="AR95" s="1"/>
      <c r="AS95" s="1"/>
      <c r="AT95" s="1"/>
      <c r="AU95" s="1"/>
      <c r="AV95" s="1"/>
      <c r="AW95" s="1"/>
      <c r="AX95" s="1"/>
      <c r="AY95" s="1"/>
      <c r="AZ95" s="1"/>
      <c r="BI95" s="2" t="s">
        <v>1738</v>
      </c>
    </row>
    <row r="96" spans="1:68" ht="4.95" customHeight="1" thickBot="1">
      <c r="A96" s="199"/>
      <c r="B96" s="391"/>
      <c r="C96" s="391"/>
      <c r="D96" s="391"/>
      <c r="E96" s="391"/>
      <c r="F96" s="391"/>
      <c r="G96" s="391"/>
      <c r="H96" s="391"/>
      <c r="I96" s="391"/>
      <c r="J96" s="391"/>
      <c r="K96" s="391"/>
      <c r="L96" s="391"/>
      <c r="M96" s="391"/>
      <c r="N96" s="200"/>
      <c r="O96" s="199"/>
      <c r="P96" s="24"/>
      <c r="Q96" s="24"/>
      <c r="R96" s="24"/>
      <c r="S96" s="24"/>
      <c r="T96" s="24"/>
      <c r="U96" s="24"/>
      <c r="V96" s="24"/>
      <c r="W96" s="24"/>
      <c r="X96" s="24"/>
      <c r="Y96" s="24"/>
      <c r="Z96" s="24"/>
      <c r="AA96" s="24"/>
      <c r="AB96" s="200"/>
      <c r="AC96" s="1"/>
      <c r="AD96" s="1"/>
      <c r="AE96" s="1"/>
      <c r="AF96" s="1"/>
      <c r="AG96" s="1"/>
      <c r="AH96" s="1"/>
      <c r="AI96" s="1"/>
      <c r="AJ96" s="1"/>
      <c r="AK96" s="1"/>
      <c r="AL96" s="1"/>
      <c r="AM96" s="1"/>
      <c r="AN96" s="1"/>
      <c r="AO96" s="1"/>
      <c r="AP96" s="1"/>
      <c r="AQ96" s="1"/>
      <c r="AR96" s="1"/>
      <c r="AS96" s="1"/>
      <c r="AT96" s="1"/>
      <c r="AU96" s="1"/>
      <c r="AV96" s="1"/>
      <c r="AW96" s="1"/>
      <c r="AX96" s="1"/>
      <c r="AY96" s="1"/>
      <c r="AZ96" s="1"/>
    </row>
    <row r="97" spans="1:66" ht="19.95" customHeight="1" thickBot="1">
      <c r="A97" s="199"/>
      <c r="B97" s="393" t="s">
        <v>1261</v>
      </c>
      <c r="C97" s="392"/>
      <c r="D97" s="392"/>
      <c r="E97" s="392"/>
      <c r="F97" s="392"/>
      <c r="G97" s="392"/>
      <c r="H97" s="1324" t="s">
        <v>1338</v>
      </c>
      <c r="I97" s="1325"/>
      <c r="J97" s="1325"/>
      <c r="K97" s="1325"/>
      <c r="L97" s="1325"/>
      <c r="M97" s="1326"/>
      <c r="N97" s="200"/>
      <c r="O97" s="199"/>
      <c r="P97" s="24"/>
      <c r="Q97" s="24"/>
      <c r="R97" s="24"/>
      <c r="S97" s="24"/>
      <c r="T97" s="24"/>
      <c r="U97" s="24"/>
      <c r="V97" s="24"/>
      <c r="W97" s="24"/>
      <c r="X97" s="24"/>
      <c r="Y97" s="24"/>
      <c r="Z97" s="24"/>
      <c r="AA97" s="24"/>
      <c r="AB97" s="200"/>
      <c r="AC97" s="1"/>
      <c r="AD97" s="1"/>
      <c r="AE97" s="1"/>
      <c r="AF97" s="1"/>
      <c r="AG97" s="1"/>
      <c r="AH97" s="1"/>
      <c r="AI97" s="1"/>
      <c r="AJ97" s="1"/>
      <c r="AK97" s="1"/>
      <c r="AL97" s="1"/>
      <c r="AM97" s="1"/>
      <c r="AN97" s="1"/>
      <c r="AO97" s="1"/>
      <c r="AP97" s="1"/>
      <c r="AQ97" s="1"/>
      <c r="AR97" s="1"/>
      <c r="AS97" s="1"/>
      <c r="AT97" s="1"/>
      <c r="AU97" s="1"/>
      <c r="AV97" s="1"/>
      <c r="AW97" s="1"/>
      <c r="AX97" s="1"/>
      <c r="AY97" s="1"/>
      <c r="AZ97" s="1"/>
    </row>
    <row r="98" spans="1:66" ht="4.95" customHeight="1" thickBot="1">
      <c r="A98" s="199"/>
      <c r="B98" s="392"/>
      <c r="C98" s="392"/>
      <c r="D98" s="392"/>
      <c r="E98" s="392"/>
      <c r="F98" s="392"/>
      <c r="G98" s="392"/>
      <c r="H98" s="24"/>
      <c r="I98" s="24"/>
      <c r="J98" s="24"/>
      <c r="K98" s="24"/>
      <c r="L98" s="24"/>
      <c r="M98" s="24"/>
      <c r="N98" s="200"/>
      <c r="O98" s="199"/>
      <c r="P98" s="24"/>
      <c r="Q98" s="24"/>
      <c r="R98" s="24"/>
      <c r="S98" s="24"/>
      <c r="T98" s="24"/>
      <c r="U98" s="24"/>
      <c r="V98" s="24"/>
      <c r="W98" s="24"/>
      <c r="X98" s="24"/>
      <c r="Y98" s="24"/>
      <c r="Z98" s="24"/>
      <c r="AA98" s="24"/>
      <c r="AB98" s="200"/>
      <c r="AC98" s="1"/>
      <c r="AD98" s="1"/>
      <c r="AE98" s="1"/>
      <c r="AF98" s="1"/>
      <c r="AG98" s="1"/>
      <c r="AH98" s="1"/>
      <c r="AI98" s="1"/>
      <c r="AJ98" s="1"/>
      <c r="AK98" s="1"/>
      <c r="AL98" s="1"/>
      <c r="AM98" s="1"/>
      <c r="AN98" s="1"/>
      <c r="AO98" s="1"/>
      <c r="AP98" s="1"/>
      <c r="AQ98" s="1"/>
      <c r="AR98" s="1"/>
      <c r="AS98" s="1"/>
      <c r="AT98" s="1"/>
      <c r="AU98" s="1"/>
      <c r="AV98" s="1"/>
      <c r="AW98" s="1"/>
      <c r="AX98" s="1"/>
      <c r="AY98" s="1"/>
      <c r="AZ98" s="1"/>
    </row>
    <row r="99" spans="1:66" ht="19.95" customHeight="1" thickBot="1">
      <c r="A99" s="199"/>
      <c r="B99" s="393" t="s">
        <v>1262</v>
      </c>
      <c r="C99" s="392"/>
      <c r="D99" s="392"/>
      <c r="E99" s="392"/>
      <c r="F99" s="392"/>
      <c r="G99" s="392"/>
      <c r="H99" s="1324" t="s">
        <v>681</v>
      </c>
      <c r="I99" s="1325"/>
      <c r="J99" s="1325"/>
      <c r="K99" s="1325"/>
      <c r="L99" s="1325"/>
      <c r="M99" s="1326"/>
      <c r="N99" s="200"/>
      <c r="O99" s="199"/>
      <c r="P99" s="24"/>
      <c r="Q99" s="24"/>
      <c r="R99" s="24"/>
      <c r="S99" s="24"/>
      <c r="T99" s="24"/>
      <c r="U99" s="24"/>
      <c r="V99" s="24"/>
      <c r="W99" s="24"/>
      <c r="X99" s="24"/>
      <c r="Y99" s="24"/>
      <c r="Z99" s="24"/>
      <c r="AA99" s="24"/>
      <c r="AB99" s="200"/>
      <c r="AC99" s="1"/>
      <c r="AD99" s="1"/>
      <c r="AE99" s="1"/>
      <c r="AF99" s="1"/>
      <c r="AG99" s="1"/>
      <c r="AH99" s="1"/>
      <c r="AI99" s="1"/>
      <c r="AJ99" s="1"/>
      <c r="AK99" s="1"/>
      <c r="AL99" s="1"/>
      <c r="AM99" s="1"/>
      <c r="AN99" s="1"/>
      <c r="AO99" s="1"/>
      <c r="AP99" s="1"/>
      <c r="AQ99" s="1"/>
      <c r="AR99" s="1"/>
      <c r="AS99" s="1"/>
      <c r="AT99" s="1"/>
      <c r="AU99" s="1"/>
      <c r="AV99" s="1"/>
      <c r="AW99" s="1"/>
      <c r="AX99" s="1"/>
      <c r="AY99" s="1"/>
      <c r="AZ99" s="1"/>
    </row>
    <row r="100" spans="1:66" ht="4.95" customHeight="1" thickBot="1">
      <c r="A100" s="199"/>
      <c r="B100" s="392"/>
      <c r="C100" s="392"/>
      <c r="D100" s="392"/>
      <c r="E100" s="392"/>
      <c r="F100" s="392"/>
      <c r="G100" s="392"/>
      <c r="H100" s="24"/>
      <c r="I100" s="24"/>
      <c r="J100" s="24"/>
      <c r="K100" s="24"/>
      <c r="L100" s="24"/>
      <c r="M100" s="24"/>
      <c r="N100" s="200"/>
      <c r="O100" s="199"/>
      <c r="P100" s="24"/>
      <c r="Q100" s="24"/>
      <c r="R100" s="24"/>
      <c r="S100" s="24"/>
      <c r="T100" s="24"/>
      <c r="U100" s="24"/>
      <c r="V100" s="24"/>
      <c r="W100" s="24"/>
      <c r="X100" s="24"/>
      <c r="Y100" s="24"/>
      <c r="Z100" s="24"/>
      <c r="AA100" s="24"/>
      <c r="AB100" s="200"/>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row>
    <row r="101" spans="1:66" ht="19.95" customHeight="1" thickBot="1">
      <c r="A101" s="199"/>
      <c r="B101" s="393" t="s">
        <v>1712</v>
      </c>
      <c r="C101" s="392"/>
      <c r="D101" s="392"/>
      <c r="E101" s="392"/>
      <c r="F101" s="392"/>
      <c r="G101" s="392"/>
      <c r="H101" s="1324" t="s">
        <v>53</v>
      </c>
      <c r="I101" s="1325"/>
      <c r="J101" s="1325"/>
      <c r="K101" s="1325"/>
      <c r="L101" s="1325"/>
      <c r="M101" s="1326"/>
      <c r="N101" s="200"/>
      <c r="O101" s="199"/>
      <c r="P101" s="24"/>
      <c r="Q101" s="24"/>
      <c r="R101" s="24"/>
      <c r="S101" s="24"/>
      <c r="T101" s="24"/>
      <c r="U101" s="24"/>
      <c r="V101" s="24"/>
      <c r="W101" s="24"/>
      <c r="X101" s="24"/>
      <c r="Y101" s="24"/>
      <c r="Z101" s="24"/>
      <c r="AA101" s="24"/>
      <c r="AB101" s="200"/>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row>
    <row r="102" spans="1:66" ht="15" customHeight="1">
      <c r="A102" s="199"/>
      <c r="B102" s="24"/>
      <c r="C102" s="24"/>
      <c r="D102" s="24"/>
      <c r="E102" s="24"/>
      <c r="F102" s="24"/>
      <c r="G102" s="24"/>
      <c r="H102" s="24"/>
      <c r="I102" s="24"/>
      <c r="J102" s="24"/>
      <c r="K102" s="24"/>
      <c r="L102" s="24"/>
      <c r="M102" s="24"/>
      <c r="N102" s="200"/>
      <c r="O102" s="199"/>
      <c r="P102" s="24"/>
      <c r="Q102" s="24"/>
      <c r="R102" s="24"/>
      <c r="S102" s="24"/>
      <c r="T102" s="24"/>
      <c r="U102" s="24"/>
      <c r="V102" s="24"/>
      <c r="W102" s="24"/>
      <c r="X102" s="24"/>
      <c r="Y102" s="24"/>
      <c r="Z102" s="24"/>
      <c r="AA102" s="24"/>
      <c r="AB102" s="200"/>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row>
    <row r="103" spans="1:66" ht="19.95" customHeight="1">
      <c r="A103" s="199"/>
      <c r="B103" s="1277" t="s">
        <v>1806</v>
      </c>
      <c r="C103" s="1277"/>
      <c r="D103" s="1277"/>
      <c r="E103" s="1277"/>
      <c r="F103" s="1277"/>
      <c r="G103" s="1277"/>
      <c r="H103" s="1277"/>
      <c r="I103" s="1277"/>
      <c r="J103" s="1277"/>
      <c r="K103" s="1277"/>
      <c r="L103" s="1277"/>
      <c r="M103" s="1277"/>
      <c r="N103" s="200"/>
      <c r="O103" s="199"/>
      <c r="P103" s="24"/>
      <c r="Q103" s="24"/>
      <c r="R103" s="24"/>
      <c r="S103" s="24"/>
      <c r="T103" s="24"/>
      <c r="U103" s="24"/>
      <c r="V103" s="24"/>
      <c r="W103" s="24"/>
      <c r="X103" s="24"/>
      <c r="Y103" s="24"/>
      <c r="Z103" s="24"/>
      <c r="AA103" s="24"/>
      <c r="AB103" s="200"/>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row>
    <row r="104" spans="1:66" ht="19.95" customHeight="1">
      <c r="A104" s="199"/>
      <c r="B104" s="1277"/>
      <c r="C104" s="1277"/>
      <c r="D104" s="1277"/>
      <c r="E104" s="1277"/>
      <c r="F104" s="1277"/>
      <c r="G104" s="1277"/>
      <c r="H104" s="1277"/>
      <c r="I104" s="1277"/>
      <c r="J104" s="1277"/>
      <c r="K104" s="1277"/>
      <c r="L104" s="1277"/>
      <c r="M104" s="1277"/>
      <c r="N104" s="200"/>
      <c r="O104" s="199"/>
      <c r="P104" s="24"/>
      <c r="Q104" s="24"/>
      <c r="R104" s="24"/>
      <c r="S104" s="24"/>
      <c r="T104" s="24"/>
      <c r="U104" s="24"/>
      <c r="V104" s="24"/>
      <c r="W104" s="24"/>
      <c r="X104" s="24"/>
      <c r="Y104" s="24"/>
      <c r="Z104" s="24"/>
      <c r="AA104" s="24"/>
      <c r="AB104" s="200"/>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row>
    <row r="105" spans="1:66" ht="19.95" customHeight="1">
      <c r="A105" s="199"/>
      <c r="B105" s="471" t="s">
        <v>1714</v>
      </c>
      <c r="C105" s="24"/>
      <c r="D105" s="24"/>
      <c r="E105" s="24"/>
      <c r="F105" s="24"/>
      <c r="G105" s="24"/>
      <c r="H105" s="471" t="s">
        <v>1713</v>
      </c>
      <c r="I105" s="24"/>
      <c r="J105" s="24"/>
      <c r="K105" s="24"/>
      <c r="L105" s="24"/>
      <c r="M105" s="24"/>
      <c r="N105" s="200"/>
      <c r="O105" s="199"/>
      <c r="P105" s="24"/>
      <c r="Q105" s="24"/>
      <c r="R105" s="24"/>
      <c r="S105" s="24"/>
      <c r="T105" s="24"/>
      <c r="U105" s="24"/>
      <c r="V105" s="24"/>
      <c r="W105" s="24"/>
      <c r="X105" s="24"/>
      <c r="Y105" s="24"/>
      <c r="Z105" s="24"/>
      <c r="AA105" s="24"/>
      <c r="AB105" s="200"/>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row>
    <row r="106" spans="1:66" ht="19.95" customHeight="1" thickBot="1">
      <c r="A106" s="199"/>
      <c r="B106" s="480" t="s">
        <v>1730</v>
      </c>
      <c r="C106" s="393"/>
      <c r="D106" s="393"/>
      <c r="E106" s="393"/>
      <c r="F106" s="393"/>
      <c r="G106" s="393"/>
      <c r="H106" s="480" t="s">
        <v>1731</v>
      </c>
      <c r="I106" s="393"/>
      <c r="J106" s="393"/>
      <c r="K106" s="393"/>
      <c r="L106" s="393"/>
      <c r="M106" s="393"/>
      <c r="N106" s="200"/>
      <c r="O106" s="199"/>
      <c r="P106" s="24"/>
      <c r="Q106" s="24"/>
      <c r="R106" s="24"/>
      <c r="S106" s="24"/>
      <c r="T106" s="24"/>
      <c r="U106" s="24"/>
      <c r="V106" s="24"/>
      <c r="W106" s="24"/>
      <c r="X106" s="24"/>
      <c r="Y106" s="24"/>
      <c r="Z106" s="24"/>
      <c r="AA106" s="24"/>
      <c r="AB106" s="200"/>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F106" s="139">
        <f>SUM(BF107:BF114)</f>
        <v>0</v>
      </c>
    </row>
    <row r="107" spans="1:66" ht="19.05" customHeight="1" thickBot="1">
      <c r="A107" s="199"/>
      <c r="B107" s="24"/>
      <c r="C107" s="1280"/>
      <c r="D107" s="1281"/>
      <c r="E107" s="1281"/>
      <c r="F107" s="1281"/>
      <c r="G107" s="1282"/>
      <c r="H107" s="24"/>
      <c r="I107" s="1280"/>
      <c r="J107" s="1281"/>
      <c r="K107" s="1281"/>
      <c r="L107" s="1281"/>
      <c r="M107" s="1282"/>
      <c r="N107" s="200"/>
      <c r="O107" s="199"/>
      <c r="P107" s="24"/>
      <c r="Q107" s="24"/>
      <c r="R107" s="24"/>
      <c r="S107" s="24"/>
      <c r="T107" s="24"/>
      <c r="U107" s="24"/>
      <c r="V107" s="24"/>
      <c r="W107" s="24"/>
      <c r="X107" s="24"/>
      <c r="Y107" s="24"/>
      <c r="Z107" s="24"/>
      <c r="AA107" s="24"/>
      <c r="AB107" s="200"/>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F107" s="144">
        <f t="shared" ref="BF107:BF114" si="0">IF(C107="",0,1)</f>
        <v>0</v>
      </c>
      <c r="BG107" s="2">
        <v>1</v>
      </c>
      <c r="BH107" s="472" t="s">
        <v>1745</v>
      </c>
      <c r="BL107" s="417">
        <f>IF($C107=$BH107,-1,IF($C107=$BH108,1,0))</f>
        <v>0</v>
      </c>
      <c r="BN107" s="417">
        <f>IF($I107=$BH107,-1,IF($I107=$BH108,1,0))</f>
        <v>0</v>
      </c>
    </row>
    <row r="108" spans="1:66" ht="19.05" customHeight="1" thickTop="1" thickBot="1">
      <c r="A108" s="199"/>
      <c r="B108" s="24"/>
      <c r="C108" s="1280"/>
      <c r="D108" s="1281"/>
      <c r="E108" s="1281"/>
      <c r="F108" s="1281"/>
      <c r="G108" s="1282"/>
      <c r="H108" s="24"/>
      <c r="I108" s="1280"/>
      <c r="J108" s="1281"/>
      <c r="K108" s="1281"/>
      <c r="L108" s="1281"/>
      <c r="M108" s="1282"/>
      <c r="N108" s="200"/>
      <c r="O108" s="199"/>
      <c r="P108" s="24"/>
      <c r="Q108" s="24"/>
      <c r="R108" s="24"/>
      <c r="S108" s="24"/>
      <c r="T108" s="24"/>
      <c r="U108" s="24"/>
      <c r="V108" s="24"/>
      <c r="W108" s="24"/>
      <c r="X108" s="24"/>
      <c r="Y108" s="24"/>
      <c r="Z108" s="24"/>
      <c r="AA108" s="24"/>
      <c r="AB108" s="200"/>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F108" s="144">
        <f t="shared" si="0"/>
        <v>0</v>
      </c>
      <c r="BH108" s="473" t="s">
        <v>1724</v>
      </c>
      <c r="BL108" s="417"/>
    </row>
    <row r="109" spans="1:66" ht="19.05" customHeight="1" thickTop="1" thickBot="1">
      <c r="A109" s="199"/>
      <c r="B109" s="24"/>
      <c r="C109" s="1280"/>
      <c r="D109" s="1281"/>
      <c r="E109" s="1281"/>
      <c r="F109" s="1281"/>
      <c r="G109" s="1282"/>
      <c r="H109" s="24"/>
      <c r="I109" s="1280"/>
      <c r="J109" s="1281"/>
      <c r="K109" s="1281"/>
      <c r="L109" s="1281"/>
      <c r="M109" s="1282"/>
      <c r="N109" s="200"/>
      <c r="O109" s="199"/>
      <c r="P109" s="24"/>
      <c r="Q109" s="24"/>
      <c r="R109" s="24"/>
      <c r="S109" s="24"/>
      <c r="T109" s="24"/>
      <c r="U109" s="24"/>
      <c r="V109" s="24"/>
      <c r="W109" s="24"/>
      <c r="X109" s="24"/>
      <c r="Y109" s="24"/>
      <c r="Z109" s="24"/>
      <c r="AA109" s="24"/>
      <c r="AB109" s="200"/>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F109" s="144">
        <f t="shared" si="0"/>
        <v>0</v>
      </c>
      <c r="BG109" s="2">
        <v>2</v>
      </c>
      <c r="BH109" s="472" t="s">
        <v>1717</v>
      </c>
      <c r="BL109" s="417">
        <f>IF($C108=$BH109,-1,IF($C108=$BH110,1,0))</f>
        <v>0</v>
      </c>
      <c r="BN109" s="417">
        <f>IF($I108=$BH109,-1,IF($I108=$BH110,1,0))</f>
        <v>0</v>
      </c>
    </row>
    <row r="110" spans="1:66" ht="19.05" customHeight="1" thickTop="1" thickBot="1">
      <c r="A110" s="199"/>
      <c r="B110" s="24"/>
      <c r="C110" s="1280"/>
      <c r="D110" s="1281"/>
      <c r="E110" s="1281"/>
      <c r="F110" s="1281"/>
      <c r="G110" s="1282"/>
      <c r="H110" s="24"/>
      <c r="I110" s="1280"/>
      <c r="J110" s="1281"/>
      <c r="K110" s="1281"/>
      <c r="L110" s="1281"/>
      <c r="M110" s="1282"/>
      <c r="N110" s="200"/>
      <c r="O110" s="199"/>
      <c r="P110" s="24"/>
      <c r="Q110" s="24"/>
      <c r="R110" s="24"/>
      <c r="S110" s="24"/>
      <c r="T110" s="24"/>
      <c r="U110" s="24"/>
      <c r="V110" s="24"/>
      <c r="W110" s="24"/>
      <c r="X110" s="24"/>
      <c r="Y110" s="24"/>
      <c r="Z110" s="24"/>
      <c r="AA110" s="24"/>
      <c r="AB110" s="200"/>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F110" s="144">
        <f t="shared" si="0"/>
        <v>0</v>
      </c>
      <c r="BH110" s="473" t="s">
        <v>1725</v>
      </c>
    </row>
    <row r="111" spans="1:66" ht="19.05" customHeight="1" thickTop="1" thickBot="1">
      <c r="A111" s="199"/>
      <c r="B111" s="24"/>
      <c r="C111" s="1280"/>
      <c r="D111" s="1281"/>
      <c r="E111" s="1281"/>
      <c r="F111" s="1281"/>
      <c r="G111" s="1282"/>
      <c r="H111" s="24"/>
      <c r="I111" s="1280"/>
      <c r="J111" s="1281"/>
      <c r="K111" s="1281"/>
      <c r="L111" s="1281"/>
      <c r="M111" s="1282"/>
      <c r="N111" s="200"/>
      <c r="O111" s="199"/>
      <c r="P111" s="24"/>
      <c r="Q111" s="24"/>
      <c r="R111" s="24"/>
      <c r="S111" s="24"/>
      <c r="T111" s="24"/>
      <c r="U111" s="24"/>
      <c r="V111" s="24"/>
      <c r="W111" s="24"/>
      <c r="X111" s="24"/>
      <c r="Y111" s="24"/>
      <c r="Z111" s="24"/>
      <c r="AA111" s="24"/>
      <c r="AB111" s="200"/>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F111" s="144">
        <f t="shared" si="0"/>
        <v>0</v>
      </c>
      <c r="BG111" s="2">
        <v>3</v>
      </c>
      <c r="BH111" s="472" t="s">
        <v>1726</v>
      </c>
      <c r="BL111" s="417">
        <f>IF($C109=$BH111,-1,IF($C109=$BH112,1,0))</f>
        <v>0</v>
      </c>
      <c r="BN111" s="417">
        <f>IF($I109=$BH111,-1,IF($I109=$BH112,1,0))</f>
        <v>0</v>
      </c>
    </row>
    <row r="112" spans="1:66" ht="19.05" customHeight="1" thickTop="1" thickBot="1">
      <c r="A112" s="199"/>
      <c r="B112" s="24"/>
      <c r="C112" s="1280"/>
      <c r="D112" s="1281"/>
      <c r="E112" s="1281"/>
      <c r="F112" s="1281"/>
      <c r="G112" s="1282"/>
      <c r="H112" s="24"/>
      <c r="I112" s="1280"/>
      <c r="J112" s="1281"/>
      <c r="K112" s="1281"/>
      <c r="L112" s="1281"/>
      <c r="M112" s="1282"/>
      <c r="N112" s="200"/>
      <c r="O112" s="199"/>
      <c r="P112" s="24"/>
      <c r="Q112" s="24"/>
      <c r="R112" s="24"/>
      <c r="S112" s="24"/>
      <c r="T112" s="24"/>
      <c r="U112" s="24"/>
      <c r="V112" s="24"/>
      <c r="W112" s="24"/>
      <c r="X112" s="24"/>
      <c r="Y112" s="24"/>
      <c r="Z112" s="24"/>
      <c r="AA112" s="24"/>
      <c r="AB112" s="200"/>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F112" s="144">
        <f t="shared" si="0"/>
        <v>0</v>
      </c>
      <c r="BH112" s="473" t="s">
        <v>1727</v>
      </c>
    </row>
    <row r="113" spans="1:66" ht="19.05" customHeight="1" thickTop="1" thickBot="1">
      <c r="A113" s="199"/>
      <c r="B113" s="24"/>
      <c r="C113" s="1280"/>
      <c r="D113" s="1281"/>
      <c r="E113" s="1281"/>
      <c r="F113" s="1281"/>
      <c r="G113" s="1282"/>
      <c r="H113" s="24"/>
      <c r="I113" s="1280"/>
      <c r="J113" s="1281"/>
      <c r="K113" s="1281"/>
      <c r="L113" s="1281"/>
      <c r="M113" s="1282"/>
      <c r="N113" s="200"/>
      <c r="O113" s="199"/>
      <c r="P113" s="24"/>
      <c r="Q113" s="24"/>
      <c r="R113" s="24"/>
      <c r="S113" s="24"/>
      <c r="T113" s="24"/>
      <c r="U113" s="24"/>
      <c r="V113" s="24"/>
      <c r="W113" s="24"/>
      <c r="X113" s="24"/>
      <c r="Y113" s="24"/>
      <c r="Z113" s="24"/>
      <c r="AA113" s="24"/>
      <c r="AB113" s="200"/>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F113" s="144">
        <f t="shared" si="0"/>
        <v>0</v>
      </c>
      <c r="BG113" s="2">
        <v>4</v>
      </c>
      <c r="BH113" s="472" t="s">
        <v>1718</v>
      </c>
      <c r="BL113" s="417">
        <f>IF($C110=$BH113,-1,IF($C110=$BH114,1,0))</f>
        <v>0</v>
      </c>
      <c r="BN113" s="417">
        <f>IF($I110=$BH113,-1,IF($I110=$BH114,1,0))</f>
        <v>0</v>
      </c>
    </row>
    <row r="114" spans="1:66" ht="19.05" customHeight="1" thickTop="1" thickBot="1">
      <c r="A114" s="199"/>
      <c r="B114" s="24"/>
      <c r="C114" s="1280"/>
      <c r="D114" s="1281"/>
      <c r="E114" s="1281"/>
      <c r="F114" s="1281"/>
      <c r="G114" s="1282"/>
      <c r="H114" s="24"/>
      <c r="I114" s="1280"/>
      <c r="J114" s="1281"/>
      <c r="K114" s="1281"/>
      <c r="L114" s="1281"/>
      <c r="M114" s="1282"/>
      <c r="N114" s="200"/>
      <c r="O114" s="199"/>
      <c r="P114" s="24"/>
      <c r="Q114" s="24"/>
      <c r="R114" s="24"/>
      <c r="S114" s="24"/>
      <c r="T114" s="24"/>
      <c r="U114" s="24"/>
      <c r="V114" s="24"/>
      <c r="W114" s="24"/>
      <c r="X114" s="24"/>
      <c r="Y114" s="24"/>
      <c r="Z114" s="24"/>
      <c r="AA114" s="24"/>
      <c r="AB114" s="200"/>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F114" s="144">
        <f t="shared" si="0"/>
        <v>0</v>
      </c>
      <c r="BH114" s="473" t="s">
        <v>1719</v>
      </c>
    </row>
    <row r="115" spans="1:66" ht="19.95" customHeight="1" thickTop="1">
      <c r="A115" s="199"/>
      <c r="B115" s="24"/>
      <c r="C115" s="24"/>
      <c r="D115" s="24"/>
      <c r="E115" s="24"/>
      <c r="F115" s="24"/>
      <c r="G115" s="24"/>
      <c r="H115" s="24"/>
      <c r="I115" s="24"/>
      <c r="J115" s="24"/>
      <c r="K115" s="24"/>
      <c r="L115" s="24"/>
      <c r="M115" s="24"/>
      <c r="N115" s="24"/>
      <c r="O115" s="199"/>
      <c r="P115" s="24"/>
      <c r="Q115" s="24"/>
      <c r="R115" s="24"/>
      <c r="S115" s="24"/>
      <c r="T115" s="24"/>
      <c r="U115" s="24"/>
      <c r="V115" s="24"/>
      <c r="W115" s="24"/>
      <c r="X115" s="24"/>
      <c r="Y115" s="24"/>
      <c r="Z115" s="24"/>
      <c r="AA115" s="24"/>
      <c r="AB115" s="200"/>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F115" s="2">
        <f t="shared" ref="BF115:BF122" si="1">IF(I107="",0,1)</f>
        <v>0</v>
      </c>
      <c r="BG115" s="2">
        <v>5</v>
      </c>
      <c r="BH115" s="472" t="s">
        <v>1720</v>
      </c>
      <c r="BL115" s="417">
        <f>IF($C111=$BH115,-1,IF($C111=$BH116,1,0))</f>
        <v>0</v>
      </c>
      <c r="BN115" s="417">
        <f>IF($I111=$BH115,-1,IF($I111=$BH116,1,0))</f>
        <v>0</v>
      </c>
    </row>
    <row r="116" spans="1:66" ht="30" customHeight="1">
      <c r="A116" s="199"/>
      <c r="B116" s="1306" t="str">
        <f>IF(H99="",BH92,BH84)</f>
        <v>We simplify your outlook as primarily conservative. No need to complete this.</v>
      </c>
      <c r="C116" s="1306"/>
      <c r="D116" s="1306"/>
      <c r="E116" s="1306"/>
      <c r="F116" s="1306"/>
      <c r="G116" s="1306"/>
      <c r="H116" s="1306" t="str">
        <f>IF(H97="",BH94,BH85)</f>
        <v>We simplify your client's outlook as primarily liberal. No need to fill out.</v>
      </c>
      <c r="I116" s="1306"/>
      <c r="J116" s="1306"/>
      <c r="K116" s="1306"/>
      <c r="L116" s="1306"/>
      <c r="M116" s="1306"/>
      <c r="N116" s="200"/>
      <c r="O116" s="199"/>
      <c r="P116" s="24"/>
      <c r="Q116" s="24"/>
      <c r="R116" s="24"/>
      <c r="S116" s="24"/>
      <c r="T116" s="24"/>
      <c r="U116" s="24"/>
      <c r="V116" s="24"/>
      <c r="W116" s="24"/>
      <c r="X116" s="24"/>
      <c r="Y116" s="24"/>
      <c r="Z116" s="24"/>
      <c r="AA116" s="24"/>
      <c r="AB116" s="200"/>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F116" s="2">
        <f t="shared" si="1"/>
        <v>0</v>
      </c>
      <c r="BH116" s="473" t="s">
        <v>1721</v>
      </c>
    </row>
    <row r="117" spans="1:66" ht="30" customHeight="1">
      <c r="A117" s="199"/>
      <c r="B117" s="1306"/>
      <c r="C117" s="1306"/>
      <c r="D117" s="1306"/>
      <c r="E117" s="1306"/>
      <c r="F117" s="1306"/>
      <c r="G117" s="1306"/>
      <c r="H117" s="1306"/>
      <c r="I117" s="1306"/>
      <c r="J117" s="1306"/>
      <c r="K117" s="1306"/>
      <c r="L117" s="1306"/>
      <c r="M117" s="1306"/>
      <c r="N117" s="200"/>
      <c r="O117" s="199"/>
      <c r="P117" s="24"/>
      <c r="Q117" s="24"/>
      <c r="R117" s="24"/>
      <c r="S117" s="24"/>
      <c r="T117" s="24"/>
      <c r="U117" s="24"/>
      <c r="V117" s="24"/>
      <c r="W117" s="24"/>
      <c r="X117" s="24"/>
      <c r="Y117" s="24"/>
      <c r="Z117" s="24"/>
      <c r="AA117" s="24"/>
      <c r="AB117" s="200"/>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F117" s="2">
        <f t="shared" si="1"/>
        <v>0</v>
      </c>
      <c r="BG117" s="2">
        <v>6</v>
      </c>
      <c r="BH117" s="472" t="s">
        <v>1722</v>
      </c>
      <c r="BL117" s="417">
        <f>IF($C112=$BH117,-1,IF($C112=$BH118,1,0))</f>
        <v>0</v>
      </c>
      <c r="BN117" s="417">
        <f>IF($I112=$BH117,-1,IF($I112=$BH118,1,0))</f>
        <v>0</v>
      </c>
    </row>
    <row r="118" spans="1:66" ht="21" customHeight="1">
      <c r="A118" s="199"/>
      <c r="B118" s="1277" t="s">
        <v>1746</v>
      </c>
      <c r="C118" s="1277"/>
      <c r="D118" s="1277"/>
      <c r="E118" s="1277"/>
      <c r="F118" s="1277"/>
      <c r="G118" s="1277"/>
      <c r="H118" s="1277"/>
      <c r="I118" s="1277"/>
      <c r="J118" s="1277"/>
      <c r="K118" s="1277"/>
      <c r="L118" s="1277"/>
      <c r="M118" s="1277"/>
      <c r="N118" s="200"/>
      <c r="O118" s="199"/>
      <c r="P118" s="24"/>
      <c r="Q118" s="24"/>
      <c r="R118" s="24"/>
      <c r="S118" s="24"/>
      <c r="T118" s="24"/>
      <c r="U118" s="24"/>
      <c r="V118" s="24"/>
      <c r="W118" s="24"/>
      <c r="X118" s="24"/>
      <c r="Y118" s="24"/>
      <c r="Z118" s="24"/>
      <c r="AA118" s="24"/>
      <c r="AB118" s="200"/>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F118" s="2">
        <f t="shared" si="1"/>
        <v>0</v>
      </c>
      <c r="BH118" s="473" t="s">
        <v>1723</v>
      </c>
    </row>
    <row r="119" spans="1:66" ht="21" customHeight="1">
      <c r="A119" s="199"/>
      <c r="B119" s="1277"/>
      <c r="C119" s="1277"/>
      <c r="D119" s="1277"/>
      <c r="E119" s="1277"/>
      <c r="F119" s="1277"/>
      <c r="G119" s="1277"/>
      <c r="H119" s="1277"/>
      <c r="I119" s="1277"/>
      <c r="J119" s="1277"/>
      <c r="K119" s="1277"/>
      <c r="L119" s="1277"/>
      <c r="M119" s="1277"/>
      <c r="N119" s="200"/>
      <c r="O119" s="199"/>
      <c r="P119" s="24"/>
      <c r="Q119" s="24"/>
      <c r="R119" s="24"/>
      <c r="S119" s="24"/>
      <c r="T119" s="24"/>
      <c r="U119" s="24"/>
      <c r="V119" s="24"/>
      <c r="W119" s="24"/>
      <c r="X119" s="24"/>
      <c r="Y119" s="24"/>
      <c r="Z119" s="24"/>
      <c r="AA119" s="24"/>
      <c r="AB119" s="200"/>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F119" s="2">
        <f t="shared" si="1"/>
        <v>0</v>
      </c>
      <c r="BG119" s="2">
        <v>7</v>
      </c>
      <c r="BH119" s="472" t="s">
        <v>1716</v>
      </c>
      <c r="BL119" s="417">
        <f>IF($C113=$BH119,-1,IF($C113=$BH120,1,0))</f>
        <v>0</v>
      </c>
      <c r="BN119" s="417">
        <f>IF($I113=$BH119,-1,IF($I113=$BH120,1,0))</f>
        <v>0</v>
      </c>
    </row>
    <row r="120" spans="1:66" ht="21" customHeight="1">
      <c r="A120" s="199"/>
      <c r="B120" s="1277"/>
      <c r="C120" s="1277"/>
      <c r="D120" s="1277"/>
      <c r="E120" s="1277"/>
      <c r="F120" s="1277"/>
      <c r="G120" s="1277"/>
      <c r="H120" s="1277"/>
      <c r="I120" s="1277"/>
      <c r="J120" s="1277"/>
      <c r="K120" s="1277"/>
      <c r="L120" s="1277"/>
      <c r="M120" s="1277"/>
      <c r="N120" s="200"/>
      <c r="O120" s="199"/>
      <c r="P120" s="24"/>
      <c r="Q120" s="24"/>
      <c r="R120" s="24"/>
      <c r="S120" s="24"/>
      <c r="T120" s="24"/>
      <c r="U120" s="24"/>
      <c r="V120" s="24"/>
      <c r="W120" s="24"/>
      <c r="X120" s="24"/>
      <c r="Y120" s="24"/>
      <c r="Z120" s="24"/>
      <c r="AA120" s="24"/>
      <c r="AB120" s="200"/>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F120" s="2">
        <f t="shared" si="1"/>
        <v>0</v>
      </c>
      <c r="BH120" s="473" t="s">
        <v>1715</v>
      </c>
    </row>
    <row r="121" spans="1:66" ht="21" customHeight="1">
      <c r="A121" s="199"/>
      <c r="B121" s="1277"/>
      <c r="C121" s="1277"/>
      <c r="D121" s="1277"/>
      <c r="E121" s="1277"/>
      <c r="F121" s="1277"/>
      <c r="G121" s="1277"/>
      <c r="H121" s="1277"/>
      <c r="I121" s="1277"/>
      <c r="J121" s="1277"/>
      <c r="K121" s="1277"/>
      <c r="L121" s="1277"/>
      <c r="M121" s="1277"/>
      <c r="N121" s="200"/>
      <c r="O121" s="199"/>
      <c r="P121" s="24"/>
      <c r="Q121" s="24"/>
      <c r="R121" s="24"/>
      <c r="S121" s="24"/>
      <c r="T121" s="24"/>
      <c r="U121" s="24"/>
      <c r="V121" s="24"/>
      <c r="W121" s="24"/>
      <c r="X121" s="24"/>
      <c r="Y121" s="24"/>
      <c r="Z121" s="24"/>
      <c r="AA121" s="24"/>
      <c r="AB121" s="200"/>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F121" s="2">
        <f t="shared" si="1"/>
        <v>0</v>
      </c>
      <c r="BG121" s="2">
        <v>8</v>
      </c>
      <c r="BH121" s="472" t="s">
        <v>1728</v>
      </c>
      <c r="BL121" s="417">
        <f>IF($C114=$BH121,-1,IF($C114=$BH122,1,0))</f>
        <v>0</v>
      </c>
      <c r="BN121" s="417">
        <f>IF($I114=$BH121,-1,IF($I114=$BH122,1,0))</f>
        <v>0</v>
      </c>
    </row>
    <row r="122" spans="1:66" ht="21" customHeight="1">
      <c r="A122" s="199"/>
      <c r="B122" s="1277"/>
      <c r="C122" s="1277"/>
      <c r="D122" s="1277"/>
      <c r="E122" s="1277"/>
      <c r="F122" s="1277"/>
      <c r="G122" s="1277"/>
      <c r="H122" s="1277"/>
      <c r="I122" s="1277"/>
      <c r="J122" s="1277"/>
      <c r="K122" s="1277"/>
      <c r="L122" s="1277"/>
      <c r="M122" s="1277"/>
      <c r="N122" s="200"/>
      <c r="O122" s="199"/>
      <c r="P122" s="24"/>
      <c r="Q122" s="24"/>
      <c r="R122" s="24"/>
      <c r="S122" s="24"/>
      <c r="T122" s="24"/>
      <c r="U122" s="24"/>
      <c r="V122" s="24"/>
      <c r="W122" s="24"/>
      <c r="X122" s="24"/>
      <c r="Y122" s="24"/>
      <c r="Z122" s="24"/>
      <c r="AA122" s="24"/>
      <c r="AB122" s="200"/>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F122" s="2">
        <f t="shared" si="1"/>
        <v>0</v>
      </c>
      <c r="BH122" s="473" t="s">
        <v>1729</v>
      </c>
    </row>
    <row r="123" spans="1:66" ht="22.05" customHeight="1">
      <c r="A123" s="199"/>
      <c r="B123" s="1277"/>
      <c r="C123" s="1277"/>
      <c r="D123" s="1277"/>
      <c r="E123" s="1277"/>
      <c r="F123" s="1277"/>
      <c r="G123" s="1277"/>
      <c r="H123" s="1277"/>
      <c r="I123" s="1277"/>
      <c r="J123" s="1277"/>
      <c r="K123" s="1277"/>
      <c r="L123" s="1277"/>
      <c r="M123" s="1277"/>
      <c r="N123" s="200"/>
      <c r="O123" s="199"/>
      <c r="P123" s="24"/>
      <c r="Q123" s="24"/>
      <c r="R123" s="24"/>
      <c r="S123" s="24"/>
      <c r="T123" s="24"/>
      <c r="U123" s="24"/>
      <c r="V123" s="24"/>
      <c r="W123" s="24"/>
      <c r="X123" s="24"/>
      <c r="Y123" s="24"/>
      <c r="Z123" s="24"/>
      <c r="AA123" s="24"/>
      <c r="AB123" s="200"/>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F123" s="139">
        <f>SUM(BF115:BF122)</f>
        <v>0</v>
      </c>
      <c r="BH123" s="474" t="str">
        <f>B1105</f>
        <v>LIBERAL</v>
      </c>
      <c r="BI123" s="474"/>
      <c r="BJ123" s="2" t="s">
        <v>49</v>
      </c>
      <c r="BL123" s="37">
        <f>SUM(BL107:BL122)</f>
        <v>0</v>
      </c>
      <c r="BN123" s="37">
        <f>SUM(BN107:BN122)</f>
        <v>0</v>
      </c>
    </row>
    <row r="124" spans="1:66" ht="7.05" customHeight="1">
      <c r="A124" s="199"/>
      <c r="B124" s="1277"/>
      <c r="C124" s="1277"/>
      <c r="D124" s="1277"/>
      <c r="E124" s="1277"/>
      <c r="F124" s="1277"/>
      <c r="G124" s="1277"/>
      <c r="H124" s="1277"/>
      <c r="I124" s="1277"/>
      <c r="J124" s="1277"/>
      <c r="K124" s="1277"/>
      <c r="L124" s="1277"/>
      <c r="M124" s="1277"/>
      <c r="N124" s="200"/>
      <c r="O124" s="199"/>
      <c r="P124" s="24"/>
      <c r="Q124" s="24"/>
      <c r="R124" s="24"/>
      <c r="S124" s="24"/>
      <c r="T124" s="24"/>
      <c r="U124" s="24"/>
      <c r="V124" s="24"/>
      <c r="W124" s="24"/>
      <c r="X124" s="24"/>
      <c r="Y124" s="24"/>
      <c r="Z124" s="24"/>
      <c r="AA124" s="24"/>
      <c r="AB124" s="200"/>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H124" s="475" t="str">
        <f>B1112</f>
        <v>CONSERVATIVE</v>
      </c>
      <c r="BI124" s="475"/>
      <c r="BJ124" s="2" t="s">
        <v>50</v>
      </c>
      <c r="BL124" s="2" t="str">
        <f>IF(BL$123&lt;0,$BJ$123,IF(BL$123&gt;0,$BJ$124,IF(BL$123=0,$BJ$125)))</f>
        <v>independent</v>
      </c>
      <c r="BN124" s="2" t="str">
        <f>IF(BN123&lt;0,$BJ123,IF(BN123&gt;0,$BJ124,IF(BN123=0,$BJ125)))</f>
        <v>independent</v>
      </c>
    </row>
    <row r="125" spans="1:66" ht="7.05" customHeight="1">
      <c r="A125" s="199"/>
      <c r="B125" s="24"/>
      <c r="C125" s="24"/>
      <c r="D125" s="24"/>
      <c r="E125" s="24"/>
      <c r="F125" s="24"/>
      <c r="G125" s="24"/>
      <c r="H125" s="24"/>
      <c r="I125" s="24"/>
      <c r="J125" s="24"/>
      <c r="K125" s="24"/>
      <c r="L125" s="24"/>
      <c r="M125" s="24"/>
      <c r="N125" s="200"/>
      <c r="O125" s="199"/>
      <c r="P125" s="24"/>
      <c r="Q125" s="24"/>
      <c r="R125" s="24"/>
      <c r="S125" s="24"/>
      <c r="T125" s="24"/>
      <c r="U125" s="24"/>
      <c r="V125" s="24"/>
      <c r="W125" s="24"/>
      <c r="X125" s="24"/>
      <c r="Y125" s="24"/>
      <c r="Z125" s="24"/>
      <c r="AA125" s="24"/>
      <c r="AB125" s="200"/>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H125" s="477" t="str">
        <f>B1110</f>
        <v>INDEPENDENT</v>
      </c>
      <c r="BI125" s="476"/>
      <c r="BJ125" s="2" t="s">
        <v>1735</v>
      </c>
      <c r="BL125" s="2" t="str">
        <f>IF(BL$123&lt;0,$BJ$124,IF(BL$123&gt;0,$BJ$123,IF(BL$123=0,$BJ$125)))</f>
        <v>independent</v>
      </c>
      <c r="BN125" s="2" t="str">
        <f>IF(BN$123&lt;0,$BJ$124,IF(BN$123&gt;0,$BJ$123,IF(BN$123=0,$BJ$125)))</f>
        <v>independent</v>
      </c>
    </row>
    <row r="126" spans="1:66" ht="30" customHeight="1">
      <c r="A126" s="210" t="s">
        <v>1148</v>
      </c>
      <c r="B126" s="1286" t="s">
        <v>1263</v>
      </c>
      <c r="C126" s="1286"/>
      <c r="D126" s="1286"/>
      <c r="E126" s="1286"/>
      <c r="F126" s="1286"/>
      <c r="G126" s="1286"/>
      <c r="H126" s="1286"/>
      <c r="I126" s="1286"/>
      <c r="J126" s="1286"/>
      <c r="K126" s="1286"/>
      <c r="L126" s="1286"/>
      <c r="M126" s="1286"/>
      <c r="N126" s="211" t="s">
        <v>1149</v>
      </c>
      <c r="O126" s="210"/>
      <c r="P126" s="198"/>
      <c r="Q126" s="198"/>
      <c r="R126" s="198"/>
      <c r="S126" s="198"/>
      <c r="T126" s="198"/>
      <c r="U126" s="198"/>
      <c r="V126" s="198"/>
      <c r="W126" s="198"/>
      <c r="X126" s="198"/>
      <c r="Y126" s="198"/>
      <c r="Z126" s="198"/>
      <c r="AA126" s="198"/>
      <c r="AB126" s="211" t="s">
        <v>1149</v>
      </c>
      <c r="AC126" s="577"/>
      <c r="AD126" s="577"/>
      <c r="AE126" s="577"/>
      <c r="AF126" s="577"/>
      <c r="AG126" s="577"/>
      <c r="AH126" s="577"/>
      <c r="AI126" s="577"/>
      <c r="AJ126" s="577"/>
      <c r="AK126" s="577"/>
      <c r="AL126" s="577"/>
      <c r="AM126" s="577"/>
      <c r="AN126" s="577"/>
      <c r="AO126" s="577"/>
      <c r="AP126" s="577"/>
      <c r="AQ126" s="577"/>
      <c r="AR126" s="577"/>
      <c r="AS126" s="577"/>
      <c r="AT126" s="577"/>
      <c r="AU126" s="577"/>
      <c r="AV126" s="577"/>
      <c r="AW126" s="577"/>
      <c r="AX126" s="577"/>
      <c r="AY126" s="577"/>
    </row>
    <row r="127" spans="1:66" ht="10.050000000000001" customHeight="1">
      <c r="A127" s="199"/>
      <c r="B127" s="24"/>
      <c r="C127" s="24"/>
      <c r="D127" s="24"/>
      <c r="E127" s="24"/>
      <c r="F127" s="24"/>
      <c r="G127" s="24"/>
      <c r="H127" s="24"/>
      <c r="I127" s="24"/>
      <c r="J127" s="24"/>
      <c r="K127" s="24"/>
      <c r="L127" s="24"/>
      <c r="M127" s="24"/>
      <c r="N127" s="200"/>
      <c r="O127" s="199"/>
      <c r="P127" s="24"/>
      <c r="Q127" s="24"/>
      <c r="R127" s="24"/>
      <c r="S127" s="24"/>
      <c r="T127" s="24"/>
      <c r="U127" s="24"/>
      <c r="V127" s="24"/>
      <c r="W127" s="24"/>
      <c r="X127" s="24"/>
      <c r="Y127" s="24"/>
      <c r="Z127" s="24"/>
      <c r="AA127" s="24"/>
      <c r="AB127" s="200"/>
      <c r="AC127" s="1"/>
      <c r="AD127" s="1"/>
      <c r="AE127" s="1"/>
      <c r="AF127" s="1"/>
      <c r="AG127" s="1"/>
      <c r="AH127" s="1"/>
      <c r="AI127" s="1"/>
      <c r="AJ127" s="1"/>
      <c r="AK127" s="1"/>
      <c r="AL127" s="1"/>
      <c r="AM127" s="1"/>
      <c r="AN127" s="1"/>
      <c r="AO127" s="1"/>
      <c r="AP127" s="1"/>
      <c r="AQ127" s="1"/>
      <c r="AR127" s="1"/>
      <c r="AS127" s="1"/>
      <c r="AT127" s="1"/>
      <c r="AU127" s="1"/>
      <c r="AV127" s="1"/>
      <c r="AW127" s="1"/>
      <c r="AX127" s="1"/>
      <c r="AY127" s="1"/>
    </row>
    <row r="128" spans="1:66" ht="19.95" customHeight="1">
      <c r="A128" s="199"/>
      <c r="B128" s="1277" t="s">
        <v>1264</v>
      </c>
      <c r="C128" s="1277"/>
      <c r="D128" s="1277"/>
      <c r="E128" s="1277"/>
      <c r="F128" s="1277"/>
      <c r="G128" s="1277"/>
      <c r="H128" s="1277"/>
      <c r="I128" s="1277"/>
      <c r="J128" s="1277"/>
      <c r="K128" s="1277"/>
      <c r="L128" s="1277"/>
      <c r="M128" s="1277"/>
      <c r="N128" s="200"/>
      <c r="O128" s="199"/>
      <c r="P128" s="24"/>
      <c r="Q128" s="24"/>
      <c r="R128" s="24"/>
      <c r="S128" s="24"/>
      <c r="T128" s="24"/>
      <c r="U128" s="24"/>
      <c r="V128" s="24"/>
      <c r="W128" s="24"/>
      <c r="X128" s="24"/>
      <c r="Y128" s="24"/>
      <c r="Z128" s="24"/>
      <c r="AA128" s="24"/>
      <c r="AB128" s="200"/>
      <c r="AC128" s="1"/>
      <c r="AD128" s="1"/>
      <c r="AE128" s="1"/>
      <c r="AF128" s="1"/>
      <c r="AG128" s="1"/>
      <c r="AH128" s="1"/>
      <c r="AI128" s="1"/>
      <c r="AJ128" s="1"/>
      <c r="AK128" s="1"/>
      <c r="AL128" s="1"/>
      <c r="AM128" s="1"/>
      <c r="AN128" s="1"/>
      <c r="AO128" s="1"/>
      <c r="AP128" s="1"/>
      <c r="AQ128" s="1"/>
      <c r="AR128" s="1"/>
      <c r="AS128" s="1"/>
      <c r="AT128" s="1"/>
      <c r="AU128" s="1"/>
      <c r="AV128" s="1"/>
      <c r="AW128" s="1"/>
      <c r="AX128" s="1"/>
      <c r="AY128" s="1"/>
    </row>
    <row r="129" spans="1:62" ht="19.95" customHeight="1">
      <c r="A129" s="199"/>
      <c r="B129" s="1277"/>
      <c r="C129" s="1277"/>
      <c r="D129" s="1277"/>
      <c r="E129" s="1277"/>
      <c r="F129" s="1277"/>
      <c r="G129" s="1277"/>
      <c r="H129" s="1277"/>
      <c r="I129" s="1277"/>
      <c r="J129" s="1277"/>
      <c r="K129" s="1277"/>
      <c r="L129" s="1277"/>
      <c r="M129" s="1277"/>
      <c r="N129" s="200"/>
      <c r="O129" s="199"/>
      <c r="P129" s="24"/>
      <c r="Q129" s="24"/>
      <c r="R129" s="24"/>
      <c r="S129" s="24"/>
      <c r="T129" s="24"/>
      <c r="U129" s="24"/>
      <c r="V129" s="24"/>
      <c r="W129" s="24"/>
      <c r="X129" s="24"/>
      <c r="Y129" s="24"/>
      <c r="Z129" s="24"/>
      <c r="AA129" s="24"/>
      <c r="AB129" s="200"/>
      <c r="AC129" s="1"/>
      <c r="AD129" s="1"/>
      <c r="AE129" s="1"/>
      <c r="AF129" s="1"/>
      <c r="AG129" s="1"/>
      <c r="AH129" s="1"/>
      <c r="AI129" s="1"/>
      <c r="AJ129" s="1"/>
      <c r="AK129" s="1"/>
      <c r="AL129" s="1"/>
      <c r="AM129" s="1"/>
      <c r="AN129" s="1"/>
      <c r="AO129" s="1"/>
      <c r="AP129" s="1"/>
      <c r="AQ129" s="1"/>
      <c r="AR129" s="1"/>
      <c r="AS129" s="1"/>
      <c r="AT129" s="1"/>
      <c r="AU129" s="1"/>
      <c r="AV129" s="1"/>
      <c r="AW129" s="1"/>
      <c r="AX129" s="1"/>
      <c r="AY129" s="1"/>
    </row>
    <row r="130" spans="1:62" ht="19.95" customHeight="1">
      <c r="A130" s="199"/>
      <c r="B130" s="1277"/>
      <c r="C130" s="1277"/>
      <c r="D130" s="1277"/>
      <c r="E130" s="1277"/>
      <c r="F130" s="1277"/>
      <c r="G130" s="1277"/>
      <c r="H130" s="1277"/>
      <c r="I130" s="1277"/>
      <c r="J130" s="1277"/>
      <c r="K130" s="1277"/>
      <c r="L130" s="1277"/>
      <c r="M130" s="1277"/>
      <c r="N130" s="200"/>
      <c r="O130" s="199"/>
      <c r="P130" s="24"/>
      <c r="Q130" s="24"/>
      <c r="R130" s="24"/>
      <c r="S130" s="24"/>
      <c r="T130" s="24"/>
      <c r="U130" s="24"/>
      <c r="V130" s="24"/>
      <c r="W130" s="24"/>
      <c r="X130" s="24"/>
      <c r="Y130" s="24"/>
      <c r="Z130" s="24"/>
      <c r="AA130" s="24"/>
      <c r="AB130" s="200"/>
      <c r="AC130" s="1"/>
      <c r="AD130" s="1"/>
      <c r="AE130" s="1"/>
      <c r="AF130" s="1"/>
      <c r="AG130" s="1"/>
      <c r="AH130" s="1"/>
      <c r="AI130" s="1"/>
      <c r="AJ130" s="1"/>
      <c r="AK130" s="1"/>
      <c r="AL130" s="1"/>
      <c r="AM130" s="1"/>
      <c r="AN130" s="1"/>
      <c r="AO130" s="1"/>
      <c r="AP130" s="1"/>
      <c r="AQ130" s="1"/>
      <c r="AR130" s="1"/>
      <c r="AS130" s="1"/>
      <c r="AT130" s="1"/>
      <c r="AU130" s="1"/>
      <c r="AV130" s="1"/>
      <c r="AW130" s="1"/>
      <c r="AX130" s="1"/>
      <c r="AY130" s="1"/>
    </row>
    <row r="131" spans="1:62" ht="19.95" customHeight="1">
      <c r="A131" s="199"/>
      <c r="B131" s="1277"/>
      <c r="C131" s="1277"/>
      <c r="D131" s="1277"/>
      <c r="E131" s="1277"/>
      <c r="F131" s="1277"/>
      <c r="G131" s="1277"/>
      <c r="H131" s="1277"/>
      <c r="I131" s="1277"/>
      <c r="J131" s="1277"/>
      <c r="K131" s="1277"/>
      <c r="L131" s="1277"/>
      <c r="M131" s="1277"/>
      <c r="N131" s="200"/>
      <c r="O131" s="199"/>
      <c r="P131" s="24"/>
      <c r="Q131" s="24"/>
      <c r="R131" s="24"/>
      <c r="S131" s="24"/>
      <c r="T131" s="24"/>
      <c r="U131" s="24"/>
      <c r="V131" s="24"/>
      <c r="W131" s="24"/>
      <c r="X131" s="24"/>
      <c r="Y131" s="24"/>
      <c r="Z131" s="24"/>
      <c r="AA131" s="24"/>
      <c r="AB131" s="200"/>
      <c r="AC131" s="1"/>
      <c r="AD131" s="1"/>
      <c r="AE131" s="1"/>
      <c r="AF131" s="1"/>
      <c r="AG131" s="1"/>
      <c r="AH131" s="1"/>
      <c r="AI131" s="1"/>
      <c r="AJ131" s="1"/>
      <c r="AK131" s="1"/>
      <c r="AL131" s="1"/>
      <c r="AM131" s="1"/>
      <c r="AN131" s="1"/>
      <c r="AO131" s="1"/>
      <c r="AP131" s="1"/>
      <c r="AQ131" s="1"/>
      <c r="AR131" s="1"/>
      <c r="AS131" s="1"/>
      <c r="AT131" s="1"/>
      <c r="AU131" s="1"/>
      <c r="AV131" s="1"/>
      <c r="AW131" s="1"/>
      <c r="AX131" s="1"/>
      <c r="AY131" s="1"/>
    </row>
    <row r="132" spans="1:62" ht="4.95" customHeight="1">
      <c r="A132" s="199"/>
      <c r="B132" s="391"/>
      <c r="C132" s="391"/>
      <c r="D132" s="391"/>
      <c r="E132" s="391"/>
      <c r="F132" s="391"/>
      <c r="G132" s="391"/>
      <c r="H132" s="391"/>
      <c r="I132" s="391"/>
      <c r="J132" s="391"/>
      <c r="K132" s="391"/>
      <c r="L132" s="391"/>
      <c r="M132" s="391"/>
      <c r="N132" s="200"/>
      <c r="O132" s="199"/>
      <c r="P132" s="24"/>
      <c r="Q132" s="24"/>
      <c r="R132" s="24"/>
      <c r="S132" s="24"/>
      <c r="T132" s="24"/>
      <c r="U132" s="24"/>
      <c r="V132" s="24"/>
      <c r="W132" s="24"/>
      <c r="X132" s="24"/>
      <c r="Y132" s="24"/>
      <c r="Z132" s="24"/>
      <c r="AA132" s="24"/>
      <c r="AB132" s="200"/>
      <c r="AC132" s="1"/>
      <c r="AD132" s="1"/>
      <c r="AE132" s="1"/>
      <c r="AF132" s="1"/>
      <c r="AG132" s="1"/>
      <c r="AH132" s="1"/>
      <c r="AI132" s="1"/>
      <c r="AJ132" s="1"/>
      <c r="AK132" s="1"/>
      <c r="AL132" s="1"/>
      <c r="AM132" s="1"/>
      <c r="AN132" s="1"/>
      <c r="AO132" s="1"/>
      <c r="AP132" s="1"/>
      <c r="AQ132" s="1"/>
      <c r="AR132" s="1"/>
      <c r="AS132" s="1"/>
      <c r="AT132" s="1"/>
      <c r="AU132" s="1"/>
      <c r="AV132" s="1"/>
      <c r="AW132" s="1"/>
      <c r="AX132" s="1"/>
      <c r="AY132" s="1"/>
    </row>
    <row r="133" spans="1:62" ht="19.95" customHeight="1">
      <c r="A133" s="199"/>
      <c r="B133" s="1277" t="str">
        <f>BF133</f>
        <v xml:space="preserve">For starters, politics provides you and your clients a popular way to convey your affected priority of needs. If you expect your client to experience the same priority of needs as you, and your client expresses opposing political views, you risk countertransference. You risk rejecting your client, who may then reject you.
</v>
      </c>
      <c r="C133" s="1277"/>
      <c r="D133" s="1277"/>
      <c r="E133" s="1277"/>
      <c r="F133" s="1277"/>
      <c r="G133" s="1277"/>
      <c r="H133" s="1277"/>
      <c r="I133" s="1277"/>
      <c r="J133" s="1277"/>
      <c r="K133" s="1277"/>
      <c r="L133" s="1277"/>
      <c r="M133" s="1277"/>
      <c r="N133" s="200"/>
      <c r="O133" s="199"/>
      <c r="P133" s="24"/>
      <c r="Q133" s="24"/>
      <c r="R133" s="24"/>
      <c r="S133" s="24"/>
      <c r="T133" s="24"/>
      <c r="U133" s="24"/>
      <c r="V133" s="24"/>
      <c r="W133" s="24"/>
      <c r="X133" s="24"/>
      <c r="Y133" s="24"/>
      <c r="Z133" s="24"/>
      <c r="AA133" s="24"/>
      <c r="AB133" s="200"/>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BF133" s="37" t="str">
        <f>CONCATENATE(BH133,BI133,BJ133,BK133)</f>
        <v xml:space="preserve">For starters, politics provides you and your clients a popular way to convey your affected priority of needs. If you expect your client to experience the same priority of needs as you, and your client expresses opposing political views, you risk countertransference. You risk rejecting your client, who may then reject you.
</v>
      </c>
      <c r="BH133" s="406" t="s">
        <v>1371</v>
      </c>
      <c r="BI133" s="2" t="str">
        <f>IF(OR(H97="",H99=""),"vehement",B1120)</f>
        <v>opposing</v>
      </c>
      <c r="BJ133" s="46" t="s">
        <v>1372</v>
      </c>
    </row>
    <row r="134" spans="1:62" ht="19.95" customHeight="1">
      <c r="A134" s="199"/>
      <c r="B134" s="1277"/>
      <c r="C134" s="1277"/>
      <c r="D134" s="1277"/>
      <c r="E134" s="1277"/>
      <c r="F134" s="1277"/>
      <c r="G134" s="1277"/>
      <c r="H134" s="1277"/>
      <c r="I134" s="1277"/>
      <c r="J134" s="1277"/>
      <c r="K134" s="1277"/>
      <c r="L134" s="1277"/>
      <c r="M134" s="1277"/>
      <c r="N134" s="200"/>
      <c r="O134" s="199"/>
      <c r="P134" s="24"/>
      <c r="Q134" s="24"/>
      <c r="R134" s="24"/>
      <c r="S134" s="24"/>
      <c r="T134" s="24"/>
      <c r="U134" s="24"/>
      <c r="V134" s="24"/>
      <c r="W134" s="24"/>
      <c r="X134" s="24"/>
      <c r="Y134" s="24"/>
      <c r="Z134" s="24"/>
      <c r="AA134" s="24"/>
      <c r="AB134" s="200"/>
      <c r="AC134" s="1"/>
      <c r="AD134" s="1"/>
      <c r="AE134" s="1"/>
      <c r="AF134" s="1"/>
      <c r="AG134" s="1"/>
      <c r="AH134" s="1"/>
      <c r="AI134" s="1"/>
      <c r="AJ134" s="1"/>
      <c r="AK134" s="1"/>
      <c r="AL134" s="1"/>
      <c r="AM134" s="1"/>
      <c r="AN134" s="1"/>
      <c r="AO134" s="1"/>
      <c r="AP134" s="1"/>
      <c r="AQ134" s="1"/>
      <c r="AR134" s="1"/>
      <c r="AS134" s="1"/>
      <c r="AT134" s="1"/>
      <c r="AU134" s="1"/>
      <c r="AV134" s="1"/>
      <c r="AW134" s="1"/>
      <c r="AX134" s="1"/>
      <c r="AY134" s="1"/>
    </row>
    <row r="135" spans="1:62" ht="19.95" customHeight="1">
      <c r="A135" s="199"/>
      <c r="B135" s="1277"/>
      <c r="C135" s="1277"/>
      <c r="D135" s="1277"/>
      <c r="E135" s="1277"/>
      <c r="F135" s="1277"/>
      <c r="G135" s="1277"/>
      <c r="H135" s="1277"/>
      <c r="I135" s="1277"/>
      <c r="J135" s="1277"/>
      <c r="K135" s="1277"/>
      <c r="L135" s="1277"/>
      <c r="M135" s="1277"/>
      <c r="N135" s="200"/>
      <c r="O135" s="199"/>
      <c r="P135" s="24"/>
      <c r="Q135" s="24"/>
      <c r="R135" s="24"/>
      <c r="S135" s="24"/>
      <c r="T135" s="24"/>
      <c r="U135" s="24"/>
      <c r="V135" s="24"/>
      <c r="W135" s="24"/>
      <c r="X135" s="24"/>
      <c r="Y135" s="24"/>
      <c r="Z135" s="24"/>
      <c r="AA135" s="24"/>
      <c r="AB135" s="200"/>
      <c r="AC135" s="1"/>
      <c r="AD135" s="1"/>
      <c r="AE135" s="1"/>
      <c r="AF135" s="1"/>
      <c r="AG135" s="1"/>
      <c r="AH135" s="1"/>
      <c r="AI135" s="1"/>
      <c r="AJ135" s="1"/>
      <c r="AK135" s="1"/>
      <c r="AL135" s="1"/>
      <c r="AM135" s="1"/>
      <c r="AN135" s="1"/>
      <c r="AO135" s="1"/>
      <c r="AP135" s="1"/>
      <c r="AQ135" s="1"/>
      <c r="AR135" s="1"/>
      <c r="AS135" s="1"/>
      <c r="AT135" s="1"/>
      <c r="AU135" s="1"/>
      <c r="AV135" s="1"/>
      <c r="AW135" s="1"/>
      <c r="AX135" s="1"/>
      <c r="AY135" s="1"/>
    </row>
    <row r="136" spans="1:62" ht="19.95" customHeight="1">
      <c r="A136" s="199"/>
      <c r="B136" s="1277"/>
      <c r="C136" s="1277"/>
      <c r="D136" s="1277"/>
      <c r="E136" s="1277"/>
      <c r="F136" s="1277"/>
      <c r="G136" s="1277"/>
      <c r="H136" s="1277"/>
      <c r="I136" s="1277"/>
      <c r="J136" s="1277"/>
      <c r="K136" s="1277"/>
      <c r="L136" s="1277"/>
      <c r="M136" s="1277"/>
      <c r="N136" s="200"/>
      <c r="O136" s="199"/>
      <c r="P136" s="24"/>
      <c r="Q136" s="24"/>
      <c r="R136" s="24"/>
      <c r="S136" s="24"/>
      <c r="T136" s="24"/>
      <c r="U136" s="24"/>
      <c r="V136" s="24"/>
      <c r="W136" s="24"/>
      <c r="X136" s="24"/>
      <c r="Y136" s="24"/>
      <c r="Z136" s="24"/>
      <c r="AA136" s="24"/>
      <c r="AB136" s="200"/>
      <c r="AC136" s="1"/>
      <c r="AD136" s="1"/>
      <c r="AE136" s="1"/>
      <c r="AF136" s="1"/>
      <c r="AG136" s="1"/>
      <c r="AH136" s="1"/>
      <c r="AI136" s="1"/>
      <c r="AJ136" s="1"/>
      <c r="AK136" s="1"/>
      <c r="AL136" s="1"/>
      <c r="AM136" s="1"/>
      <c r="AN136" s="1"/>
      <c r="AO136" s="1"/>
      <c r="AP136" s="1"/>
      <c r="AQ136" s="1"/>
      <c r="AR136" s="1"/>
      <c r="AS136" s="1"/>
      <c r="AT136" s="1"/>
      <c r="AU136" s="1"/>
      <c r="AV136" s="1"/>
      <c r="AW136" s="1"/>
      <c r="AX136" s="1"/>
      <c r="AY136" s="1"/>
    </row>
    <row r="137" spans="1:62" ht="4.95" customHeight="1">
      <c r="A137" s="199"/>
      <c r="B137" s="24"/>
      <c r="C137" s="24"/>
      <c r="D137" s="24"/>
      <c r="E137" s="24"/>
      <c r="F137" s="24"/>
      <c r="G137" s="24"/>
      <c r="H137" s="24"/>
      <c r="I137" s="24"/>
      <c r="J137" s="24"/>
      <c r="K137" s="24"/>
      <c r="L137" s="24"/>
      <c r="M137" s="24"/>
      <c r="N137" s="200"/>
      <c r="O137" s="199"/>
      <c r="P137" s="24"/>
      <c r="Q137" s="24"/>
      <c r="R137" s="24"/>
      <c r="S137" s="24"/>
      <c r="T137" s="24"/>
      <c r="U137" s="24"/>
      <c r="V137" s="24"/>
      <c r="W137" s="24"/>
      <c r="X137" s="24"/>
      <c r="Y137" s="24"/>
      <c r="Z137" s="24"/>
      <c r="AA137" s="24"/>
      <c r="AB137" s="200"/>
      <c r="AC137" s="1"/>
      <c r="AD137" s="1"/>
      <c r="AE137" s="1"/>
      <c r="AF137" s="1"/>
      <c r="AG137" s="1"/>
      <c r="AH137" s="1"/>
      <c r="AI137" s="1"/>
      <c r="AJ137" s="1"/>
      <c r="AK137" s="1"/>
      <c r="AL137" s="1"/>
      <c r="AM137" s="1"/>
      <c r="AN137" s="1"/>
      <c r="AO137" s="1"/>
      <c r="AP137" s="1"/>
      <c r="AQ137" s="1"/>
      <c r="AR137" s="1"/>
      <c r="AS137" s="1"/>
      <c r="AT137" s="1"/>
      <c r="AU137" s="1"/>
      <c r="AV137" s="1"/>
      <c r="AW137" s="1"/>
      <c r="AX137" s="1"/>
      <c r="AY137" s="1"/>
    </row>
    <row r="138" spans="1:62" ht="19.95" customHeight="1">
      <c r="A138" s="199"/>
      <c r="B138" s="394" t="s">
        <v>1265</v>
      </c>
      <c r="C138" s="24"/>
      <c r="D138" s="24"/>
      <c r="E138" s="24"/>
      <c r="F138" s="24"/>
      <c r="G138" s="24"/>
      <c r="H138" s="24"/>
      <c r="I138" s="24"/>
      <c r="J138" s="24"/>
      <c r="K138" s="24"/>
      <c r="L138" s="24"/>
      <c r="M138" s="24"/>
      <c r="N138" s="200"/>
      <c r="O138" s="199"/>
      <c r="P138" s="24"/>
      <c r="Q138" s="24"/>
      <c r="R138" s="24"/>
      <c r="S138" s="24"/>
      <c r="T138" s="24"/>
      <c r="U138" s="24"/>
      <c r="V138" s="24"/>
      <c r="W138" s="24"/>
      <c r="X138" s="24"/>
      <c r="Y138" s="24"/>
      <c r="Z138" s="24"/>
      <c r="AA138" s="24"/>
      <c r="AB138" s="200"/>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BF138" s="37" t="str">
        <f>CONCATENATE(BH138,BI138,BJ138,BK138)</f>
        <v xml:space="preserve">You probably do not think of political disagreement as rejection. But the more their needs tie into their immigration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
</v>
      </c>
      <c r="BH138" s="46" t="s">
        <v>1385</v>
      </c>
      <c r="BI138" s="2" t="str">
        <f>IF(H101="","political",D1124)</f>
        <v>immigration</v>
      </c>
      <c r="BJ138" s="46" t="s">
        <v>1384</v>
      </c>
    </row>
    <row r="139" spans="1:62" ht="19.95" customHeight="1">
      <c r="A139" s="199"/>
      <c r="B139" s="1277" t="str">
        <f>BF138</f>
        <v xml:space="preserve">You probably do not think of political disagreement as rejection. But the more their needs tie into their immigration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
</v>
      </c>
      <c r="C139" s="1277"/>
      <c r="D139" s="1277"/>
      <c r="E139" s="1277"/>
      <c r="F139" s="1277"/>
      <c r="G139" s="1277"/>
      <c r="H139" s="1277"/>
      <c r="I139" s="1277"/>
      <c r="J139" s="1277"/>
      <c r="K139" s="1277"/>
      <c r="L139" s="1277"/>
      <c r="M139" s="1277"/>
      <c r="N139" s="200"/>
      <c r="O139" s="199"/>
      <c r="P139" s="24"/>
      <c r="Q139" s="24"/>
      <c r="R139" s="24"/>
      <c r="S139" s="24"/>
      <c r="T139" s="24"/>
      <c r="U139" s="24"/>
      <c r="V139" s="24"/>
      <c r="W139" s="24"/>
      <c r="X139" s="24"/>
      <c r="Y139" s="24"/>
      <c r="Z139" s="24"/>
      <c r="AA139" s="24"/>
      <c r="AB139" s="200"/>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BF139" s="37" t="str">
        <f>CONCATENATE(BH139,BI139,BJ139,BK139)</f>
        <v/>
      </c>
    </row>
    <row r="140" spans="1:62" ht="19.95" customHeight="1">
      <c r="A140" s="199"/>
      <c r="B140" s="1277"/>
      <c r="C140" s="1277"/>
      <c r="D140" s="1277"/>
      <c r="E140" s="1277"/>
      <c r="F140" s="1277"/>
      <c r="G140" s="1277"/>
      <c r="H140" s="1277"/>
      <c r="I140" s="1277"/>
      <c r="J140" s="1277"/>
      <c r="K140" s="1277"/>
      <c r="L140" s="1277"/>
      <c r="M140" s="1277"/>
      <c r="N140" s="200"/>
      <c r="O140" s="199"/>
      <c r="P140" s="24"/>
      <c r="Q140" s="24"/>
      <c r="R140" s="24"/>
      <c r="S140" s="24"/>
      <c r="T140" s="24"/>
      <c r="U140" s="24"/>
      <c r="V140" s="24"/>
      <c r="W140" s="24"/>
      <c r="X140" s="24"/>
      <c r="Y140" s="24"/>
      <c r="Z140" s="24"/>
      <c r="AA140" s="24"/>
      <c r="AB140" s="200"/>
      <c r="AC140" s="1"/>
      <c r="AD140" s="1"/>
      <c r="AE140" s="1"/>
      <c r="AF140" s="1"/>
      <c r="AG140" s="1"/>
      <c r="AH140" s="1"/>
      <c r="AI140" s="1"/>
      <c r="AJ140" s="1"/>
      <c r="AK140" s="1"/>
      <c r="AL140" s="1"/>
      <c r="AM140" s="1"/>
      <c r="AN140" s="1"/>
      <c r="AO140" s="1"/>
      <c r="AP140" s="1"/>
      <c r="AQ140" s="1"/>
      <c r="AR140" s="1"/>
      <c r="AS140" s="1"/>
      <c r="AT140" s="1"/>
      <c r="AU140" s="1"/>
      <c r="AV140" s="1"/>
      <c r="AW140" s="1"/>
      <c r="AX140" s="1"/>
      <c r="AY140" s="1"/>
    </row>
    <row r="141" spans="1:62" ht="19.95" customHeight="1">
      <c r="A141" s="199"/>
      <c r="B141" s="1277"/>
      <c r="C141" s="1277"/>
      <c r="D141" s="1277"/>
      <c r="E141" s="1277"/>
      <c r="F141" s="1277"/>
      <c r="G141" s="1277"/>
      <c r="H141" s="1277"/>
      <c r="I141" s="1277"/>
      <c r="J141" s="1277"/>
      <c r="K141" s="1277"/>
      <c r="L141" s="1277"/>
      <c r="M141" s="1277"/>
      <c r="N141" s="200"/>
      <c r="O141" s="199"/>
      <c r="P141" s="24"/>
      <c r="Q141" s="24"/>
      <c r="R141" s="24"/>
      <c r="S141" s="24"/>
      <c r="T141" s="24"/>
      <c r="U141" s="24"/>
      <c r="V141" s="24"/>
      <c r="W141" s="24"/>
      <c r="X141" s="24"/>
      <c r="Y141" s="24"/>
      <c r="Z141" s="24"/>
      <c r="AA141" s="24"/>
      <c r="AB141" s="200"/>
      <c r="AC141" s="1"/>
      <c r="AD141" s="1"/>
      <c r="AE141" s="1"/>
      <c r="AF141" s="1"/>
      <c r="AG141" s="1"/>
      <c r="AH141" s="1"/>
      <c r="AI141" s="1"/>
      <c r="AJ141" s="1"/>
      <c r="AK141" s="1"/>
      <c r="AL141" s="1"/>
      <c r="AM141" s="1"/>
      <c r="AN141" s="1"/>
      <c r="AO141" s="1"/>
      <c r="AP141" s="1"/>
      <c r="AQ141" s="1"/>
      <c r="AR141" s="1"/>
      <c r="AS141" s="1"/>
      <c r="AT141" s="1"/>
      <c r="AU141" s="1"/>
      <c r="AV141" s="1"/>
      <c r="AW141" s="1"/>
      <c r="AX141" s="1"/>
      <c r="AY141" s="1"/>
    </row>
    <row r="142" spans="1:62" ht="19.95" customHeight="1">
      <c r="A142" s="199"/>
      <c r="B142" s="1277"/>
      <c r="C142" s="1277"/>
      <c r="D142" s="1277"/>
      <c r="E142" s="1277"/>
      <c r="F142" s="1277"/>
      <c r="G142" s="1277"/>
      <c r="H142" s="1277"/>
      <c r="I142" s="1277"/>
      <c r="J142" s="1277"/>
      <c r="K142" s="1277"/>
      <c r="L142" s="1277"/>
      <c r="M142" s="1277"/>
      <c r="N142" s="200"/>
      <c r="O142" s="199"/>
      <c r="P142" s="24"/>
      <c r="Q142" s="24"/>
      <c r="R142" s="24"/>
      <c r="S142" s="24"/>
      <c r="T142" s="24"/>
      <c r="U142" s="24"/>
      <c r="V142" s="24"/>
      <c r="W142" s="24"/>
      <c r="X142" s="24"/>
      <c r="Y142" s="24"/>
      <c r="Z142" s="24"/>
      <c r="AA142" s="24"/>
      <c r="AB142" s="200"/>
      <c r="AC142" s="1"/>
      <c r="AD142" s="1"/>
      <c r="AE142" s="1"/>
      <c r="AF142" s="1"/>
      <c r="AG142" s="1"/>
      <c r="AH142" s="1"/>
      <c r="AI142" s="1"/>
      <c r="AJ142" s="1"/>
      <c r="AK142" s="1"/>
      <c r="AL142" s="1"/>
      <c r="AM142" s="1"/>
      <c r="AN142" s="1"/>
      <c r="AO142" s="1"/>
      <c r="AP142" s="1"/>
      <c r="AQ142" s="1"/>
      <c r="AR142" s="1"/>
      <c r="AS142" s="1"/>
      <c r="AT142" s="1"/>
      <c r="AU142" s="1"/>
      <c r="AV142" s="1"/>
      <c r="AW142" s="1"/>
      <c r="AX142" s="1"/>
      <c r="AY142" s="1"/>
    </row>
    <row r="143" spans="1:62" ht="19.95" customHeight="1">
      <c r="A143" s="199"/>
      <c r="B143" s="1277"/>
      <c r="C143" s="1277"/>
      <c r="D143" s="1277"/>
      <c r="E143" s="1277"/>
      <c r="F143" s="1277"/>
      <c r="G143" s="1277"/>
      <c r="H143" s="1277"/>
      <c r="I143" s="1277"/>
      <c r="J143" s="1277"/>
      <c r="K143" s="1277"/>
      <c r="L143" s="1277"/>
      <c r="M143" s="1277"/>
      <c r="N143" s="200"/>
      <c r="O143" s="199"/>
      <c r="P143" s="24"/>
      <c r="Q143" s="24"/>
      <c r="R143" s="24"/>
      <c r="S143" s="24"/>
      <c r="T143" s="24"/>
      <c r="U143" s="24"/>
      <c r="V143" s="24"/>
      <c r="W143" s="24"/>
      <c r="X143" s="24"/>
      <c r="Y143" s="24"/>
      <c r="Z143" s="24"/>
      <c r="AA143" s="24"/>
      <c r="AB143" s="200"/>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BF143" s="37" t="str">
        <f>CONCATENATE(BH143,BI143,BJ143,BK143)</f>
        <v/>
      </c>
    </row>
    <row r="144" spans="1:62" ht="19.95" customHeight="1">
      <c r="A144" s="199"/>
      <c r="B144" s="1277"/>
      <c r="C144" s="1277"/>
      <c r="D144" s="1277"/>
      <c r="E144" s="1277"/>
      <c r="F144" s="1277"/>
      <c r="G144" s="1277"/>
      <c r="H144" s="1277"/>
      <c r="I144" s="1277"/>
      <c r="J144" s="1277"/>
      <c r="K144" s="1277"/>
      <c r="L144" s="1277"/>
      <c r="M144" s="1277"/>
      <c r="N144" s="200"/>
      <c r="O144" s="199"/>
      <c r="P144" s="24"/>
      <c r="Q144" s="24"/>
      <c r="R144" s="24"/>
      <c r="S144" s="24"/>
      <c r="T144" s="24"/>
      <c r="U144" s="24"/>
      <c r="V144" s="24"/>
      <c r="W144" s="24"/>
      <c r="X144" s="24"/>
      <c r="Y144" s="24"/>
      <c r="Z144" s="24"/>
      <c r="AA144" s="24"/>
      <c r="AB144" s="200"/>
      <c r="AC144" s="1"/>
      <c r="AD144" s="1"/>
      <c r="AE144" s="1"/>
      <c r="AF144" s="1"/>
      <c r="AG144" s="1"/>
      <c r="AH144" s="1"/>
      <c r="AI144" s="1"/>
      <c r="AJ144" s="1"/>
      <c r="AK144" s="1"/>
      <c r="AL144" s="1"/>
      <c r="AM144" s="1"/>
      <c r="AN144" s="1"/>
      <c r="AO144" s="1"/>
      <c r="AP144" s="1"/>
      <c r="AQ144" s="1"/>
      <c r="AR144" s="1"/>
      <c r="AS144" s="1"/>
      <c r="AT144" s="1"/>
      <c r="AU144" s="1"/>
      <c r="AV144" s="1"/>
      <c r="AW144" s="1"/>
      <c r="AX144" s="1"/>
      <c r="AY144" s="1"/>
    </row>
    <row r="145" spans="1:64" ht="4.95" customHeight="1">
      <c r="A145" s="199"/>
      <c r="B145" s="24"/>
      <c r="C145" s="24"/>
      <c r="D145" s="24"/>
      <c r="E145" s="24"/>
      <c r="F145" s="24"/>
      <c r="G145" s="24"/>
      <c r="H145" s="24"/>
      <c r="I145" s="24"/>
      <c r="J145" s="24"/>
      <c r="K145" s="24"/>
      <c r="L145" s="24"/>
      <c r="M145" s="24"/>
      <c r="N145" s="200"/>
      <c r="O145" s="199"/>
      <c r="P145" s="24"/>
      <c r="Q145" s="24"/>
      <c r="R145" s="24"/>
      <c r="S145" s="24"/>
      <c r="T145" s="24"/>
      <c r="U145" s="24"/>
      <c r="V145" s="24"/>
      <c r="W145" s="24"/>
      <c r="X145" s="24"/>
      <c r="Y145" s="24"/>
      <c r="Z145" s="24"/>
      <c r="AA145" s="24"/>
      <c r="AB145" s="200"/>
      <c r="AC145" s="1"/>
      <c r="AD145" s="1"/>
      <c r="AE145" s="1"/>
      <c r="AF145" s="1"/>
      <c r="AG145" s="1"/>
      <c r="AH145" s="1"/>
      <c r="AI145" s="1"/>
      <c r="AJ145" s="1"/>
      <c r="AK145" s="1"/>
      <c r="AL145" s="1"/>
      <c r="AM145" s="1"/>
      <c r="AN145" s="1"/>
      <c r="AO145" s="1"/>
      <c r="AP145" s="1"/>
      <c r="AQ145" s="1"/>
      <c r="AR145" s="1"/>
      <c r="AS145" s="1"/>
      <c r="AT145" s="1"/>
      <c r="AU145" s="1"/>
      <c r="AV145" s="1"/>
      <c r="AW145" s="1"/>
      <c r="AX145" s="1"/>
      <c r="AY145" s="1"/>
    </row>
    <row r="146" spans="1:64" ht="19.95" customHeight="1">
      <c r="A146" s="199"/>
      <c r="B146" s="394" t="s">
        <v>1266</v>
      </c>
      <c r="C146" s="24"/>
      <c r="D146" s="24"/>
      <c r="E146" s="24"/>
      <c r="F146" s="24"/>
      <c r="G146" s="24"/>
      <c r="H146" s="24"/>
      <c r="I146" s="24"/>
      <c r="J146" s="24"/>
      <c r="K146" s="24"/>
      <c r="L146" s="24"/>
      <c r="M146" s="24"/>
      <c r="N146" s="200"/>
      <c r="O146" s="199"/>
      <c r="P146" s="24"/>
      <c r="Q146" s="24"/>
      <c r="R146" s="24"/>
      <c r="S146" s="24"/>
      <c r="T146" s="24"/>
      <c r="U146" s="24"/>
      <c r="V146" s="24"/>
      <c r="W146" s="24"/>
      <c r="X146" s="24"/>
      <c r="Y146" s="24"/>
      <c r="Z146" s="24"/>
      <c r="AA146" s="24"/>
      <c r="AB146" s="200"/>
      <c r="AC146" s="1"/>
      <c r="AD146" s="1"/>
      <c r="AE146" s="1"/>
      <c r="AF146" s="1"/>
      <c r="AG146" s="1"/>
      <c r="AH146" s="1"/>
      <c r="AI146" s="1"/>
      <c r="AJ146" s="1"/>
      <c r="AK146" s="1"/>
      <c r="AL146" s="1"/>
      <c r="AM146" s="1"/>
      <c r="AN146" s="1"/>
      <c r="AO146" s="1"/>
      <c r="AP146" s="1"/>
      <c r="AQ146" s="1"/>
      <c r="AR146" s="1"/>
      <c r="AS146" s="1"/>
      <c r="AT146" s="1"/>
      <c r="AU146" s="1"/>
      <c r="AV146" s="1"/>
      <c r="AW146" s="1"/>
      <c r="AX146" s="1"/>
      <c r="AY146" s="1"/>
    </row>
    <row r="147" spans="1:64" ht="19.95" customHeight="1">
      <c r="A147" s="199"/>
      <c r="B147" s="1277" t="s">
        <v>1267</v>
      </c>
      <c r="C147" s="1277"/>
      <c r="D147" s="1277"/>
      <c r="E147" s="1277"/>
      <c r="F147" s="1277"/>
      <c r="G147" s="1277"/>
      <c r="H147" s="1277"/>
      <c r="I147" s="1277"/>
      <c r="J147" s="1277"/>
      <c r="K147" s="1277"/>
      <c r="L147" s="1277"/>
      <c r="M147" s="1277"/>
      <c r="N147" s="200"/>
      <c r="O147" s="199"/>
      <c r="P147" s="24"/>
      <c r="Q147" s="24"/>
      <c r="R147" s="24"/>
      <c r="S147" s="24"/>
      <c r="T147" s="24"/>
      <c r="U147" s="24"/>
      <c r="V147" s="24"/>
      <c r="W147" s="24"/>
      <c r="X147" s="24"/>
      <c r="Y147" s="24"/>
      <c r="Z147" s="24"/>
      <c r="AA147" s="24"/>
      <c r="AB147" s="200"/>
      <c r="AC147" s="1"/>
      <c r="AD147" s="1"/>
      <c r="AE147" s="1"/>
      <c r="AF147" s="1"/>
      <c r="AG147" s="1"/>
      <c r="AH147" s="1"/>
      <c r="AI147" s="1"/>
      <c r="AJ147" s="1"/>
      <c r="AK147" s="1"/>
      <c r="AL147" s="1"/>
      <c r="AM147" s="1"/>
      <c r="AN147" s="1"/>
      <c r="AO147" s="1"/>
      <c r="AP147" s="1"/>
      <c r="AQ147" s="1"/>
      <c r="AR147" s="1"/>
      <c r="AS147" s="1"/>
      <c r="AT147" s="1"/>
      <c r="AU147" s="1"/>
      <c r="AV147" s="1"/>
      <c r="AW147" s="1"/>
      <c r="AX147" s="1"/>
      <c r="AY147" s="1"/>
    </row>
    <row r="148" spans="1:64" ht="19.95" customHeight="1">
      <c r="A148" s="199"/>
      <c r="B148" s="1277"/>
      <c r="C148" s="1277"/>
      <c r="D148" s="1277"/>
      <c r="E148" s="1277"/>
      <c r="F148" s="1277"/>
      <c r="G148" s="1277"/>
      <c r="H148" s="1277"/>
      <c r="I148" s="1277"/>
      <c r="J148" s="1277"/>
      <c r="K148" s="1277"/>
      <c r="L148" s="1277"/>
      <c r="M148" s="1277"/>
      <c r="N148" s="200"/>
      <c r="O148" s="199"/>
      <c r="P148" s="24"/>
      <c r="Q148" s="24"/>
      <c r="R148" s="24"/>
      <c r="S148" s="24"/>
      <c r="T148" s="24"/>
      <c r="U148" s="24"/>
      <c r="V148" s="24"/>
      <c r="W148" s="24"/>
      <c r="X148" s="24"/>
      <c r="Y148" s="24"/>
      <c r="Z148" s="24"/>
      <c r="AA148" s="24"/>
      <c r="AB148" s="200"/>
      <c r="AC148" s="1"/>
      <c r="AD148" s="1"/>
      <c r="AE148" s="1"/>
      <c r="AF148" s="1"/>
      <c r="AG148" s="1"/>
      <c r="AH148" s="1"/>
      <c r="AI148" s="1"/>
      <c r="AJ148" s="1"/>
      <c r="AK148" s="1"/>
      <c r="AL148" s="1"/>
      <c r="AM148" s="1"/>
      <c r="AN148" s="1"/>
      <c r="AO148" s="1"/>
      <c r="AP148" s="1"/>
      <c r="AQ148" s="1"/>
      <c r="AR148" s="1"/>
      <c r="AS148" s="1"/>
      <c r="AT148" s="1"/>
      <c r="AU148" s="1"/>
      <c r="AV148" s="1"/>
      <c r="AW148" s="1"/>
      <c r="AX148" s="1"/>
      <c r="AY148" s="1"/>
    </row>
    <row r="149" spans="1:64" ht="19.95" customHeight="1">
      <c r="A149" s="199"/>
      <c r="B149" s="1277"/>
      <c r="C149" s="1277"/>
      <c r="D149" s="1277"/>
      <c r="E149" s="1277"/>
      <c r="F149" s="1277"/>
      <c r="G149" s="1277"/>
      <c r="H149" s="1277"/>
      <c r="I149" s="1277"/>
      <c r="J149" s="1277"/>
      <c r="K149" s="1277"/>
      <c r="L149" s="1277"/>
      <c r="M149" s="1277"/>
      <c r="N149" s="200"/>
      <c r="O149" s="199"/>
      <c r="P149" s="24"/>
      <c r="Q149" s="24"/>
      <c r="R149" s="24"/>
      <c r="S149" s="24"/>
      <c r="T149" s="24"/>
      <c r="U149" s="24"/>
      <c r="V149" s="24"/>
      <c r="W149" s="24"/>
      <c r="X149" s="24"/>
      <c r="Y149" s="24"/>
      <c r="Z149" s="24"/>
      <c r="AA149" s="24"/>
      <c r="AB149" s="200"/>
      <c r="AC149" s="1"/>
      <c r="AD149" s="1"/>
      <c r="AE149" s="1"/>
      <c r="AF149" s="1"/>
      <c r="AG149" s="1"/>
      <c r="AH149" s="1"/>
      <c r="AI149" s="1"/>
      <c r="AJ149" s="1"/>
      <c r="AK149" s="1"/>
      <c r="AL149" s="1"/>
      <c r="AM149" s="1"/>
      <c r="AN149" s="1"/>
      <c r="AO149" s="1"/>
      <c r="AP149" s="1"/>
      <c r="AQ149" s="1"/>
      <c r="AR149" s="1"/>
      <c r="AS149" s="1"/>
      <c r="AT149" s="1"/>
      <c r="AU149" s="1"/>
      <c r="AV149" s="1"/>
      <c r="AW149" s="1"/>
      <c r="AX149" s="1"/>
      <c r="AY149" s="1"/>
    </row>
    <row r="150" spans="1:64" ht="19.95" customHeight="1">
      <c r="A150" s="199"/>
      <c r="B150" s="1277"/>
      <c r="C150" s="1277"/>
      <c r="D150" s="1277"/>
      <c r="E150" s="1277"/>
      <c r="F150" s="1277"/>
      <c r="G150" s="1277"/>
      <c r="H150" s="1277"/>
      <c r="I150" s="1277"/>
      <c r="J150" s="1277"/>
      <c r="K150" s="1277"/>
      <c r="L150" s="1277"/>
      <c r="M150" s="1277"/>
      <c r="N150" s="200"/>
      <c r="O150" s="199"/>
      <c r="P150" s="24"/>
      <c r="Q150" s="24"/>
      <c r="R150" s="24"/>
      <c r="S150" s="24"/>
      <c r="T150" s="24"/>
      <c r="U150" s="24"/>
      <c r="V150" s="24"/>
      <c r="W150" s="24"/>
      <c r="X150" s="24"/>
      <c r="Y150" s="24"/>
      <c r="Z150" s="24"/>
      <c r="AA150" s="24"/>
      <c r="AB150" s="200"/>
      <c r="AC150" s="1"/>
      <c r="AD150" s="1"/>
      <c r="AE150" s="1"/>
      <c r="AF150" s="1"/>
      <c r="AG150" s="1"/>
      <c r="AH150" s="1"/>
      <c r="AI150" s="1"/>
      <c r="AJ150" s="1"/>
      <c r="AK150" s="1"/>
      <c r="AL150" s="1"/>
      <c r="AM150" s="1"/>
      <c r="AN150" s="1"/>
      <c r="AO150" s="1"/>
      <c r="AP150" s="1"/>
      <c r="AQ150" s="1"/>
      <c r="AR150" s="1"/>
      <c r="AS150" s="1"/>
      <c r="AT150" s="1"/>
      <c r="AU150" s="1"/>
      <c r="AV150" s="1"/>
      <c r="AW150" s="1"/>
      <c r="AX150" s="1"/>
      <c r="AY150" s="1"/>
    </row>
    <row r="151" spans="1:64" ht="25.05" customHeight="1">
      <c r="A151" s="199"/>
      <c r="B151" s="1277"/>
      <c r="C151" s="1277"/>
      <c r="D151" s="1277"/>
      <c r="E151" s="1277"/>
      <c r="F151" s="1277"/>
      <c r="G151" s="1277"/>
      <c r="H151" s="1277"/>
      <c r="I151" s="1277"/>
      <c r="J151" s="1277"/>
      <c r="K151" s="1277"/>
      <c r="L151" s="1277"/>
      <c r="M151" s="1277"/>
      <c r="N151" s="200"/>
      <c r="O151" s="199"/>
      <c r="P151" s="24"/>
      <c r="Q151" s="24"/>
      <c r="R151" s="24"/>
      <c r="S151" s="24"/>
      <c r="T151" s="24"/>
      <c r="U151" s="24"/>
      <c r="V151" s="24"/>
      <c r="W151" s="24"/>
      <c r="X151" s="24"/>
      <c r="Y151" s="24"/>
      <c r="Z151" s="24"/>
      <c r="AA151" s="24"/>
      <c r="AB151" s="200"/>
      <c r="AC151" s="1"/>
      <c r="AD151" s="1"/>
      <c r="AE151" s="1"/>
      <c r="AF151" s="1"/>
      <c r="AG151" s="1"/>
      <c r="AH151" s="1"/>
      <c r="AI151" s="1"/>
      <c r="AJ151" s="1"/>
      <c r="AK151" s="1"/>
      <c r="AL151" s="1"/>
      <c r="AM151" s="1"/>
      <c r="AN151" s="1"/>
      <c r="AO151" s="1"/>
      <c r="AP151" s="1"/>
      <c r="AQ151" s="1"/>
      <c r="AR151" s="1"/>
      <c r="AS151" s="1"/>
      <c r="AT151" s="1"/>
      <c r="AU151" s="1"/>
      <c r="AV151" s="1"/>
      <c r="AW151" s="1"/>
      <c r="AX151" s="1"/>
      <c r="AY151" s="1"/>
    </row>
    <row r="152" spans="1:64" ht="4.95" customHeight="1">
      <c r="A152" s="199"/>
      <c r="B152" s="24"/>
      <c r="C152" s="24"/>
      <c r="D152" s="24"/>
      <c r="E152" s="24"/>
      <c r="F152" s="24"/>
      <c r="G152" s="24"/>
      <c r="H152" s="24"/>
      <c r="I152" s="24"/>
      <c r="J152" s="24"/>
      <c r="K152" s="24"/>
      <c r="L152" s="24"/>
      <c r="M152" s="24"/>
      <c r="N152" s="200"/>
      <c r="O152" s="199"/>
      <c r="P152" s="24"/>
      <c r="Q152" s="24"/>
      <c r="R152" s="24"/>
      <c r="S152" s="24"/>
      <c r="T152" s="24"/>
      <c r="U152" s="24"/>
      <c r="V152" s="24"/>
      <c r="W152" s="24"/>
      <c r="X152" s="24"/>
      <c r="Y152" s="24"/>
      <c r="Z152" s="24"/>
      <c r="AA152" s="24"/>
      <c r="AB152" s="200"/>
      <c r="AC152" s="1"/>
      <c r="AD152" s="1"/>
      <c r="AE152" s="1"/>
      <c r="AF152" s="1"/>
      <c r="AG152" s="1"/>
      <c r="AH152" s="1"/>
      <c r="AI152" s="1"/>
      <c r="AJ152" s="1"/>
      <c r="AK152" s="1"/>
      <c r="AL152" s="1"/>
      <c r="AM152" s="1"/>
      <c r="AN152" s="1"/>
      <c r="AO152" s="1"/>
      <c r="AP152" s="1"/>
      <c r="AQ152" s="1"/>
      <c r="AR152" s="1"/>
      <c r="AS152" s="1"/>
      <c r="AT152" s="1"/>
      <c r="AU152" s="1"/>
      <c r="AV152" s="1"/>
      <c r="AW152" s="1"/>
      <c r="AX152" s="1"/>
      <c r="AY152" s="1"/>
    </row>
    <row r="153" spans="1:64" ht="25.05" customHeight="1">
      <c r="A153" s="199"/>
      <c r="B153" s="1277" t="str">
        <f>BF153</f>
        <v>If clinging to the notion that politics is based on rational agreements, you may unconsciously expect your client to link their thinking with yours on immigration. If you seem to threaten their trusted political way to cope with their immigration-related needs, your client may suddenly cancel any further sessions.</v>
      </c>
      <c r="C153" s="1277"/>
      <c r="D153" s="1277"/>
      <c r="E153" s="1277"/>
      <c r="F153" s="1277"/>
      <c r="G153" s="1277"/>
      <c r="H153" s="1277"/>
      <c r="I153" s="1277"/>
      <c r="J153" s="1277"/>
      <c r="K153" s="1277"/>
      <c r="L153" s="1277"/>
      <c r="M153" s="1277"/>
      <c r="N153" s="200"/>
      <c r="O153" s="199"/>
      <c r="P153" s="24"/>
      <c r="Q153" s="24"/>
      <c r="R153" s="24"/>
      <c r="S153" s="24"/>
      <c r="T153" s="24"/>
      <c r="U153" s="24"/>
      <c r="V153" s="24"/>
      <c r="W153" s="24"/>
      <c r="X153" s="24"/>
      <c r="Y153" s="24"/>
      <c r="Z153" s="24"/>
      <c r="AA153" s="24"/>
      <c r="AB153" s="200"/>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BF153" s="37" t="str">
        <f>CONCATENATE(BH153,BI153,BJ153,BK153,BL153)</f>
        <v>If clinging to the notion that politics is based on rational agreements, you may unconsciously expect your client to link their thinking with yours on immigration. If you seem to threaten their trusted political way to cope with their immigration-related needs, your client may suddenly cancel any further sessions.</v>
      </c>
      <c r="BH153" s="465" t="s">
        <v>1375</v>
      </c>
      <c r="BI153" s="2" t="str">
        <f>IF(H101="","the raised political issue",D1124)</f>
        <v>immigration</v>
      </c>
      <c r="BJ153" s="465" t="s">
        <v>1374</v>
      </c>
      <c r="BK153" s="2" t="str">
        <f>IF(H101="","politically",D1124)</f>
        <v>immigration</v>
      </c>
      <c r="BL153" s="465" t="s">
        <v>1373</v>
      </c>
    </row>
    <row r="154" spans="1:64" ht="25.05" customHeight="1">
      <c r="A154" s="199"/>
      <c r="B154" s="1277"/>
      <c r="C154" s="1277"/>
      <c r="D154" s="1277"/>
      <c r="E154" s="1277"/>
      <c r="F154" s="1277"/>
      <c r="G154" s="1277"/>
      <c r="H154" s="1277"/>
      <c r="I154" s="1277"/>
      <c r="J154" s="1277"/>
      <c r="K154" s="1277"/>
      <c r="L154" s="1277"/>
      <c r="M154" s="1277"/>
      <c r="N154" s="200"/>
      <c r="O154" s="199"/>
      <c r="P154" s="24"/>
      <c r="Q154" s="24"/>
      <c r="R154" s="24"/>
      <c r="S154" s="24"/>
      <c r="T154" s="24"/>
      <c r="U154" s="24"/>
      <c r="V154" s="24"/>
      <c r="W154" s="24"/>
      <c r="X154" s="24"/>
      <c r="Y154" s="24"/>
      <c r="Z154" s="24"/>
      <c r="AA154" s="24"/>
      <c r="AB154" s="200"/>
      <c r="AC154" s="1"/>
      <c r="AD154" s="1"/>
      <c r="AE154" s="1"/>
      <c r="AF154" s="1"/>
      <c r="AG154" s="1"/>
      <c r="AH154" s="1"/>
      <c r="AI154" s="1"/>
      <c r="AJ154" s="1"/>
      <c r="AK154" s="1"/>
      <c r="AL154" s="1"/>
      <c r="AM154" s="1"/>
      <c r="AN154" s="1"/>
      <c r="AO154" s="1"/>
      <c r="AP154" s="1"/>
      <c r="AQ154" s="1"/>
      <c r="AR154" s="1"/>
      <c r="AS154" s="1"/>
      <c r="AT154" s="1"/>
      <c r="AU154" s="1"/>
      <c r="AV154" s="1"/>
      <c r="AW154" s="1"/>
      <c r="AX154" s="1"/>
      <c r="AY154" s="1"/>
    </row>
    <row r="155" spans="1:64" ht="25.05" customHeight="1">
      <c r="A155" s="199"/>
      <c r="B155" s="1277"/>
      <c r="C155" s="1277"/>
      <c r="D155" s="1277"/>
      <c r="E155" s="1277"/>
      <c r="F155" s="1277"/>
      <c r="G155" s="1277"/>
      <c r="H155" s="1277"/>
      <c r="I155" s="1277"/>
      <c r="J155" s="1277"/>
      <c r="K155" s="1277"/>
      <c r="L155" s="1277"/>
      <c r="M155" s="1277"/>
      <c r="N155" s="200"/>
      <c r="O155" s="199"/>
      <c r="P155" s="24"/>
      <c r="Q155" s="24"/>
      <c r="R155" s="24"/>
      <c r="S155" s="24"/>
      <c r="T155" s="24"/>
      <c r="U155" s="24"/>
      <c r="V155" s="24"/>
      <c r="W155" s="24"/>
      <c r="X155" s="24"/>
      <c r="Y155" s="24"/>
      <c r="Z155" s="24"/>
      <c r="AA155" s="24"/>
      <c r="AB155" s="200"/>
      <c r="AC155" s="1"/>
      <c r="AD155" s="1"/>
      <c r="AE155" s="1"/>
      <c r="AF155" s="1"/>
      <c r="AG155" s="1"/>
      <c r="AH155" s="1"/>
      <c r="AI155" s="1"/>
      <c r="AJ155" s="1"/>
      <c r="AK155" s="1"/>
      <c r="AL155" s="1"/>
      <c r="AM155" s="1"/>
      <c r="AN155" s="1"/>
      <c r="AO155" s="1"/>
      <c r="AP155" s="1"/>
      <c r="AQ155" s="1"/>
      <c r="AR155" s="1"/>
      <c r="AS155" s="1"/>
      <c r="AT155" s="1"/>
      <c r="AU155" s="1"/>
      <c r="AV155" s="1"/>
      <c r="AW155" s="1"/>
      <c r="AX155" s="1"/>
      <c r="AY155" s="1"/>
    </row>
    <row r="156" spans="1:64" ht="4.95" customHeight="1">
      <c r="A156" s="199"/>
      <c r="B156" s="390"/>
      <c r="C156" s="390"/>
      <c r="D156" s="390"/>
      <c r="E156" s="390"/>
      <c r="F156" s="390"/>
      <c r="G156" s="390"/>
      <c r="H156" s="390"/>
      <c r="I156" s="390"/>
      <c r="J156" s="390"/>
      <c r="K156" s="390"/>
      <c r="L156" s="390"/>
      <c r="M156" s="390"/>
      <c r="N156" s="200"/>
      <c r="O156" s="199"/>
      <c r="P156" s="24"/>
      <c r="Q156" s="24"/>
      <c r="R156" s="24"/>
      <c r="S156" s="24"/>
      <c r="T156" s="24"/>
      <c r="U156" s="24"/>
      <c r="V156" s="24"/>
      <c r="W156" s="24"/>
      <c r="X156" s="24"/>
      <c r="Y156" s="24"/>
      <c r="Z156" s="24"/>
      <c r="AA156" s="24"/>
      <c r="AB156" s="200"/>
      <c r="AC156" s="1"/>
      <c r="AD156" s="1"/>
      <c r="AE156" s="1"/>
      <c r="AF156" s="1"/>
      <c r="AG156" s="1"/>
      <c r="AH156" s="1"/>
      <c r="AI156" s="1"/>
      <c r="AJ156" s="1"/>
      <c r="AK156" s="1"/>
      <c r="AL156" s="1"/>
      <c r="AM156" s="1"/>
      <c r="AN156" s="1"/>
      <c r="AO156" s="1"/>
      <c r="AP156" s="1"/>
      <c r="AQ156" s="1"/>
      <c r="AR156" s="1"/>
      <c r="AS156" s="1"/>
      <c r="AT156" s="1"/>
      <c r="AU156" s="1"/>
      <c r="AV156" s="1"/>
      <c r="AW156" s="1"/>
      <c r="AX156" s="1"/>
      <c r="AY156" s="1"/>
    </row>
    <row r="157" spans="1:64" ht="30" customHeight="1">
      <c r="A157" s="513" t="s">
        <v>1784</v>
      </c>
      <c r="B157" s="1277" t="s">
        <v>2030</v>
      </c>
      <c r="C157" s="1277"/>
      <c r="D157" s="1277"/>
      <c r="E157" s="1277"/>
      <c r="F157" s="1277"/>
      <c r="G157" s="1277"/>
      <c r="H157" s="1277"/>
      <c r="I157" s="1277"/>
      <c r="J157" s="1277"/>
      <c r="K157" s="1277"/>
      <c r="L157" s="1277"/>
      <c r="M157" s="1277"/>
      <c r="N157" s="200"/>
      <c r="O157" s="199"/>
      <c r="P157" s="24"/>
      <c r="Q157" s="24"/>
      <c r="R157" s="24"/>
      <c r="S157" s="24"/>
      <c r="T157" s="24"/>
      <c r="U157" s="24"/>
      <c r="V157" s="24"/>
      <c r="W157" s="24"/>
      <c r="X157" s="24"/>
      <c r="Y157" s="24"/>
      <c r="Z157" s="24"/>
      <c r="AA157" s="24"/>
      <c r="AB157" s="200"/>
      <c r="AC157" s="1"/>
      <c r="AD157" s="1"/>
      <c r="AE157" s="1"/>
      <c r="AF157" s="1"/>
      <c r="AG157" s="1"/>
      <c r="AH157" s="1"/>
      <c r="AI157" s="1"/>
      <c r="AJ157" s="1"/>
      <c r="AK157" s="1"/>
      <c r="AL157" s="1"/>
      <c r="AM157" s="1"/>
      <c r="AN157" s="1"/>
      <c r="AO157" s="1"/>
      <c r="AP157" s="1"/>
      <c r="AQ157" s="1"/>
      <c r="AR157" s="1"/>
      <c r="AS157" s="1"/>
      <c r="AT157" s="1"/>
      <c r="AU157" s="1"/>
      <c r="AV157" s="1"/>
      <c r="AW157" s="1"/>
      <c r="AX157" s="1"/>
      <c r="AY157" s="1"/>
    </row>
    <row r="158" spans="1:64" ht="30" customHeight="1">
      <c r="A158" s="199"/>
      <c r="B158" s="1277"/>
      <c r="C158" s="1277"/>
      <c r="D158" s="1277"/>
      <c r="E158" s="1277"/>
      <c r="F158" s="1277"/>
      <c r="G158" s="1277"/>
      <c r="H158" s="1277"/>
      <c r="I158" s="1277"/>
      <c r="J158" s="1277"/>
      <c r="K158" s="1277"/>
      <c r="L158" s="1277"/>
      <c r="M158" s="1277"/>
      <c r="N158" s="200"/>
      <c r="O158" s="199"/>
      <c r="P158" s="24"/>
      <c r="Q158" s="24"/>
      <c r="R158" s="24"/>
      <c r="S158" s="24"/>
      <c r="T158" s="24"/>
      <c r="U158" s="24"/>
      <c r="V158" s="24"/>
      <c r="W158" s="24"/>
      <c r="X158" s="24"/>
      <c r="Y158" s="24"/>
      <c r="Z158" s="24"/>
      <c r="AA158" s="24"/>
      <c r="AB158" s="200"/>
      <c r="AC158" s="1"/>
      <c r="AD158" s="1"/>
      <c r="AE158" s="1"/>
      <c r="AF158" s="1"/>
      <c r="AG158" s="1"/>
      <c r="AH158" s="1"/>
      <c r="AI158" s="1"/>
      <c r="AJ158" s="1"/>
      <c r="AK158" s="1"/>
      <c r="AL158" s="1"/>
      <c r="AM158" s="1"/>
      <c r="AN158" s="1"/>
      <c r="AO158" s="1"/>
      <c r="AP158" s="1"/>
      <c r="AQ158" s="1"/>
      <c r="AR158" s="1"/>
      <c r="AS158" s="1"/>
      <c r="AT158" s="1"/>
      <c r="AU158" s="1"/>
      <c r="AV158" s="1"/>
      <c r="AW158" s="1"/>
      <c r="AX158" s="1"/>
      <c r="AY158" s="1"/>
    </row>
    <row r="159" spans="1:64" ht="4.95" customHeight="1">
      <c r="A159" s="199"/>
      <c r="B159" s="390"/>
      <c r="C159" s="390"/>
      <c r="D159" s="390"/>
      <c r="E159" s="390"/>
      <c r="F159" s="390"/>
      <c r="G159" s="390"/>
      <c r="H159" s="390"/>
      <c r="I159" s="390"/>
      <c r="J159" s="390"/>
      <c r="K159" s="390"/>
      <c r="L159" s="390"/>
      <c r="M159" s="390"/>
      <c r="N159" s="200"/>
      <c r="O159" s="199"/>
      <c r="P159" s="24"/>
      <c r="Q159" s="24"/>
      <c r="R159" s="24"/>
      <c r="S159" s="24"/>
      <c r="T159" s="24"/>
      <c r="U159" s="24"/>
      <c r="V159" s="24"/>
      <c r="W159" s="24"/>
      <c r="X159" s="24"/>
      <c r="Y159" s="24"/>
      <c r="Z159" s="24"/>
      <c r="AA159" s="24"/>
      <c r="AB159" s="200"/>
      <c r="AC159" s="1"/>
      <c r="AD159" s="1"/>
      <c r="AE159" s="1"/>
      <c r="AF159" s="1"/>
      <c r="AG159" s="1"/>
      <c r="AH159" s="1"/>
      <c r="AI159" s="1"/>
      <c r="AJ159" s="1"/>
      <c r="AK159" s="1"/>
      <c r="AL159" s="1"/>
      <c r="AM159" s="1"/>
      <c r="AN159" s="1"/>
      <c r="AO159" s="1"/>
      <c r="AP159" s="1"/>
      <c r="AQ159" s="1"/>
      <c r="AR159" s="1"/>
      <c r="AS159" s="1"/>
      <c r="AT159" s="1"/>
      <c r="AU159" s="1"/>
      <c r="AV159" s="1"/>
      <c r="AW159" s="1"/>
      <c r="AX159" s="1"/>
      <c r="AY159" s="1"/>
    </row>
    <row r="160" spans="1:64" ht="19.95" customHeight="1">
      <c r="A160" s="199"/>
      <c r="B160" s="1277" t="s">
        <v>1268</v>
      </c>
      <c r="C160" s="1277"/>
      <c r="D160" s="1277"/>
      <c r="E160" s="1277"/>
      <c r="F160" s="1277"/>
      <c r="G160" s="1277"/>
      <c r="H160" s="1277"/>
      <c r="I160" s="1277"/>
      <c r="J160" s="1277"/>
      <c r="K160" s="1277"/>
      <c r="L160" s="1277"/>
      <c r="M160" s="1277"/>
      <c r="N160" s="200"/>
      <c r="O160" s="199"/>
      <c r="P160" s="24"/>
      <c r="Q160" s="24"/>
      <c r="R160" s="24"/>
      <c r="S160" s="24"/>
      <c r="T160" s="24"/>
      <c r="U160" s="24"/>
      <c r="V160" s="24"/>
      <c r="W160" s="24"/>
      <c r="X160" s="24"/>
      <c r="Y160" s="24"/>
      <c r="Z160" s="24"/>
      <c r="AA160" s="24"/>
      <c r="AB160" s="200"/>
      <c r="AC160" s="1"/>
      <c r="AD160" s="1"/>
      <c r="AE160" s="1"/>
      <c r="AF160" s="1"/>
      <c r="AG160" s="1"/>
      <c r="AH160" s="1"/>
      <c r="AI160" s="1"/>
      <c r="AJ160" s="1"/>
      <c r="AK160" s="1"/>
      <c r="AL160" s="1"/>
      <c r="AM160" s="1"/>
      <c r="AN160" s="1"/>
      <c r="AO160" s="1"/>
      <c r="AP160" s="1"/>
      <c r="AQ160" s="1"/>
      <c r="AR160" s="1"/>
      <c r="AS160" s="1"/>
      <c r="AT160" s="1"/>
      <c r="AU160" s="1"/>
      <c r="AV160" s="1"/>
      <c r="AW160" s="1"/>
      <c r="AX160" s="1"/>
      <c r="AY160" s="1"/>
    </row>
    <row r="161" spans="1:67" ht="19.95" customHeight="1">
      <c r="A161" s="199"/>
      <c r="B161" s="1277"/>
      <c r="C161" s="1277"/>
      <c r="D161" s="1277"/>
      <c r="E161" s="1277"/>
      <c r="F161" s="1277"/>
      <c r="G161" s="1277"/>
      <c r="H161" s="1277"/>
      <c r="I161" s="1277"/>
      <c r="J161" s="1277"/>
      <c r="K161" s="1277"/>
      <c r="L161" s="1277"/>
      <c r="M161" s="1277"/>
      <c r="N161" s="200"/>
      <c r="O161" s="199"/>
      <c r="P161" s="24"/>
      <c r="Q161" s="24"/>
      <c r="R161" s="24"/>
      <c r="S161" s="24"/>
      <c r="T161" s="24"/>
      <c r="U161" s="24"/>
      <c r="V161" s="24"/>
      <c r="W161" s="24"/>
      <c r="X161" s="24"/>
      <c r="Y161" s="24"/>
      <c r="Z161" s="24"/>
      <c r="AA161" s="24"/>
      <c r="AB161" s="200"/>
      <c r="AC161" s="1"/>
      <c r="AD161" s="1"/>
      <c r="AE161" s="1"/>
      <c r="AF161" s="1"/>
      <c r="AG161" s="1"/>
      <c r="AH161" s="1"/>
      <c r="AI161" s="1"/>
      <c r="AJ161" s="1"/>
      <c r="AK161" s="1"/>
      <c r="AL161" s="1"/>
      <c r="AM161" s="1"/>
      <c r="AN161" s="1"/>
      <c r="AO161" s="1"/>
      <c r="AP161" s="1"/>
      <c r="AQ161" s="1"/>
      <c r="AR161" s="1"/>
      <c r="AS161" s="1"/>
      <c r="AT161" s="1"/>
      <c r="AU161" s="1"/>
      <c r="AV161" s="1"/>
      <c r="AW161" s="1"/>
      <c r="AX161" s="1"/>
      <c r="AY161" s="1"/>
    </row>
    <row r="162" spans="1:67" ht="10.050000000000001" customHeight="1">
      <c r="A162" s="201"/>
      <c r="B162" s="202"/>
      <c r="C162" s="202"/>
      <c r="D162" s="202"/>
      <c r="E162" s="202"/>
      <c r="F162" s="202"/>
      <c r="G162" s="202"/>
      <c r="H162" s="202"/>
      <c r="I162" s="202"/>
      <c r="J162" s="202"/>
      <c r="K162" s="202"/>
      <c r="L162" s="202"/>
      <c r="M162" s="202"/>
      <c r="N162" s="203"/>
      <c r="O162" s="201"/>
      <c r="P162" s="202"/>
      <c r="Q162" s="202"/>
      <c r="R162" s="202"/>
      <c r="S162" s="202"/>
      <c r="T162" s="202"/>
      <c r="U162" s="202"/>
      <c r="V162" s="202"/>
      <c r="W162" s="202"/>
      <c r="X162" s="202"/>
      <c r="Y162" s="202"/>
      <c r="Z162" s="202"/>
      <c r="AA162" s="202"/>
      <c r="AB162" s="203"/>
      <c r="AC162" s="1"/>
      <c r="AD162" s="1"/>
      <c r="AE162" s="1"/>
      <c r="AF162" s="1"/>
      <c r="AG162" s="1"/>
      <c r="AH162" s="1"/>
      <c r="AI162" s="1"/>
      <c r="AJ162" s="1"/>
      <c r="AK162" s="1"/>
      <c r="AL162" s="1"/>
      <c r="AM162" s="1"/>
      <c r="AN162" s="1"/>
      <c r="AO162" s="1"/>
      <c r="AP162" s="1"/>
      <c r="AQ162" s="1"/>
      <c r="AR162" s="1"/>
      <c r="AS162" s="1"/>
      <c r="AT162" s="1"/>
      <c r="AU162" s="1"/>
      <c r="AV162" s="1"/>
      <c r="AW162" s="1"/>
      <c r="AX162" s="1"/>
      <c r="AY162" s="1"/>
    </row>
    <row r="163" spans="1:67" ht="30" customHeight="1">
      <c r="A163" s="210" t="s">
        <v>1148</v>
      </c>
      <c r="B163" s="1307" t="s">
        <v>1269</v>
      </c>
      <c r="C163" s="1307"/>
      <c r="D163" s="1307"/>
      <c r="E163" s="1307"/>
      <c r="F163" s="1307"/>
      <c r="G163" s="1307"/>
      <c r="H163" s="1307"/>
      <c r="I163" s="1307"/>
      <c r="J163" s="1307"/>
      <c r="K163" s="1307"/>
      <c r="L163" s="1307"/>
      <c r="M163" s="1307"/>
      <c r="N163" s="211" t="s">
        <v>1149</v>
      </c>
      <c r="O163" s="210"/>
      <c r="P163" s="198"/>
      <c r="Q163" s="198"/>
      <c r="R163" s="198"/>
      <c r="S163" s="198"/>
      <c r="T163" s="198"/>
      <c r="U163" s="198"/>
      <c r="V163" s="198"/>
      <c r="W163" s="198"/>
      <c r="X163" s="198"/>
      <c r="Y163" s="198"/>
      <c r="Z163" s="198"/>
      <c r="AA163" s="198"/>
      <c r="AB163" s="211" t="s">
        <v>1149</v>
      </c>
      <c r="AC163" s="577"/>
      <c r="AD163" s="1"/>
      <c r="AE163" s="1"/>
      <c r="AF163" s="1"/>
      <c r="AG163" s="1"/>
      <c r="AH163" s="1"/>
      <c r="AI163" s="1"/>
      <c r="AJ163" s="1"/>
      <c r="AK163" s="1"/>
      <c r="AL163" s="1"/>
      <c r="AM163" s="1"/>
      <c r="AN163" s="1"/>
      <c r="AO163" s="1"/>
      <c r="AP163" s="577"/>
      <c r="AQ163" s="577"/>
      <c r="AR163" s="577"/>
      <c r="AS163" s="577"/>
      <c r="AT163" s="577"/>
      <c r="AU163" s="577"/>
      <c r="AV163" s="577"/>
      <c r="AW163" s="577"/>
      <c r="AX163" s="577"/>
      <c r="AY163" s="577"/>
    </row>
    <row r="164" spans="1:67" ht="10.050000000000001" customHeight="1">
      <c r="A164" s="199"/>
      <c r="B164" s="24"/>
      <c r="C164" s="24"/>
      <c r="D164" s="24"/>
      <c r="E164" s="24"/>
      <c r="F164" s="24"/>
      <c r="G164" s="24"/>
      <c r="H164" s="24"/>
      <c r="I164" s="24"/>
      <c r="J164" s="24"/>
      <c r="K164" s="24"/>
      <c r="L164" s="24"/>
      <c r="M164" s="24"/>
      <c r="N164" s="200"/>
      <c r="O164" s="199"/>
      <c r="P164" s="24"/>
      <c r="Q164" s="24"/>
      <c r="R164" s="24"/>
      <c r="S164" s="24"/>
      <c r="T164" s="24"/>
      <c r="U164" s="24"/>
      <c r="V164" s="24"/>
      <c r="W164" s="24"/>
      <c r="X164" s="24"/>
      <c r="Y164" s="24"/>
      <c r="Z164" s="24"/>
      <c r="AA164" s="24"/>
      <c r="AB164" s="200"/>
      <c r="AC164" s="1"/>
      <c r="AD164" s="1"/>
      <c r="AE164" s="1"/>
      <c r="AF164" s="1"/>
      <c r="AG164" s="1"/>
      <c r="AH164" s="1"/>
      <c r="AI164" s="1"/>
      <c r="AJ164" s="1"/>
      <c r="AK164" s="1"/>
      <c r="AL164" s="1"/>
      <c r="AM164" s="1"/>
      <c r="AN164" s="1"/>
      <c r="AO164" s="1"/>
      <c r="AP164" s="1"/>
      <c r="AQ164" s="1"/>
      <c r="AR164" s="1"/>
      <c r="AS164" s="1"/>
      <c r="AT164" s="1"/>
      <c r="AU164" s="1"/>
      <c r="AV164" s="1"/>
      <c r="AW164" s="1"/>
      <c r="AX164" s="1"/>
      <c r="AY164" s="1"/>
    </row>
    <row r="165" spans="1:67" ht="19.95" customHeight="1">
      <c r="A165" s="199"/>
      <c r="B165" s="588" t="s">
        <v>2022</v>
      </c>
      <c r="C165" s="397"/>
      <c r="D165" s="397"/>
      <c r="E165" s="397"/>
      <c r="F165" s="397"/>
      <c r="G165" s="397"/>
      <c r="H165" s="397"/>
      <c r="I165" s="397"/>
      <c r="J165" s="397"/>
      <c r="K165" s="397"/>
      <c r="L165" s="397"/>
      <c r="M165" s="397"/>
      <c r="N165" s="200"/>
      <c r="O165" s="199"/>
      <c r="P165" s="24"/>
      <c r="Q165" s="24"/>
      <c r="R165" s="24"/>
      <c r="S165" s="24"/>
      <c r="T165" s="24"/>
      <c r="U165" s="24"/>
      <c r="V165" s="24"/>
      <c r="W165" s="24"/>
      <c r="X165" s="24"/>
      <c r="Y165" s="24"/>
      <c r="Z165" s="24"/>
      <c r="AA165" s="24"/>
      <c r="AB165" s="200"/>
      <c r="AC165" s="1"/>
      <c r="AD165" s="1"/>
      <c r="AE165" s="1"/>
      <c r="AF165" s="1"/>
      <c r="AG165" s="1"/>
      <c r="AH165" s="1"/>
      <c r="AI165" s="1"/>
      <c r="AJ165" s="1"/>
      <c r="AK165" s="1"/>
      <c r="AL165" s="1"/>
      <c r="AM165" s="1"/>
      <c r="AN165" s="1"/>
      <c r="AO165" s="1"/>
      <c r="AP165" s="1"/>
      <c r="AQ165" s="1"/>
      <c r="AR165" s="1"/>
      <c r="AS165" s="1"/>
      <c r="AT165" s="1"/>
      <c r="AU165" s="1"/>
      <c r="AV165" s="1"/>
      <c r="AW165" s="1"/>
      <c r="AX165" s="1"/>
      <c r="AY165" s="1"/>
    </row>
    <row r="166" spans="1:67" ht="4.95" customHeight="1">
      <c r="A166" s="199"/>
      <c r="B166" s="397"/>
      <c r="C166" s="397"/>
      <c r="D166" s="397"/>
      <c r="E166" s="397"/>
      <c r="F166" s="397"/>
      <c r="G166" s="397"/>
      <c r="H166" s="397"/>
      <c r="I166" s="397"/>
      <c r="J166" s="397"/>
      <c r="K166" s="397"/>
      <c r="L166" s="397"/>
      <c r="M166" s="397"/>
      <c r="N166" s="200"/>
      <c r="O166" s="199"/>
      <c r="P166" s="24"/>
      <c r="Q166" s="24"/>
      <c r="R166" s="24"/>
      <c r="S166" s="24"/>
      <c r="T166" s="24"/>
      <c r="U166" s="24"/>
      <c r="V166" s="24"/>
      <c r="W166" s="24"/>
      <c r="X166" s="24"/>
      <c r="Y166" s="24"/>
      <c r="Z166" s="24"/>
      <c r="AA166" s="24"/>
      <c r="AB166" s="200"/>
      <c r="AC166" s="1"/>
      <c r="AD166" s="1"/>
      <c r="AE166" s="1"/>
      <c r="AF166" s="1"/>
      <c r="AG166" s="1"/>
      <c r="AH166" s="1"/>
      <c r="AI166" s="1"/>
      <c r="AJ166" s="1"/>
      <c r="AK166" s="1"/>
      <c r="AL166" s="1"/>
      <c r="AM166" s="1"/>
      <c r="AN166" s="1"/>
      <c r="AO166" s="1"/>
      <c r="AP166" s="1"/>
      <c r="AQ166" s="1"/>
      <c r="AR166" s="1"/>
      <c r="AS166" s="1"/>
      <c r="AT166" s="1"/>
      <c r="AU166" s="1"/>
      <c r="AV166" s="1"/>
      <c r="AW166" s="1"/>
      <c r="AX166" s="1"/>
      <c r="AY166" s="1"/>
    </row>
    <row r="167" spans="1:67" ht="21" customHeight="1">
      <c r="A167" s="199"/>
      <c r="B167" s="1277" t="str">
        <f>BF167</f>
        <v>As a counselor, you can now understand how your client experiences immigration-related challenges like alienation and insecurity through the lens of their prioritized needs. Think of their political views as a helpful window into their priority of needs.</v>
      </c>
      <c r="C167" s="1277"/>
      <c r="D167" s="1277"/>
      <c r="E167" s="1277"/>
      <c r="F167" s="1277"/>
      <c r="G167" s="1277"/>
      <c r="H167" s="1277"/>
      <c r="I167" s="1277"/>
      <c r="J167" s="1277"/>
      <c r="K167" s="1277"/>
      <c r="L167" s="1277"/>
      <c r="M167" s="1277"/>
      <c r="N167" s="200"/>
      <c r="O167" s="199"/>
      <c r="P167" s="24"/>
      <c r="Q167" s="24"/>
      <c r="R167" s="24"/>
      <c r="S167" s="24"/>
      <c r="T167" s="24"/>
      <c r="U167" s="24"/>
      <c r="V167" s="24"/>
      <c r="W167" s="24"/>
      <c r="X167" s="24"/>
      <c r="Y167" s="24"/>
      <c r="Z167" s="24"/>
      <c r="AA167" s="24"/>
      <c r="AB167" s="200"/>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BF167" s="459" t="str">
        <f>CONCATENATE(BH167,BI167,BJ167,BK167,BL167,BM167,BN167)</f>
        <v>As a counselor, you can now understand how your client experiences immigration-related challenges like alienation and insecurity through the lens of their prioritized needs. Think of their political views as a helpful window into their priority of needs.</v>
      </c>
      <c r="BH167" s="465" t="s">
        <v>1376</v>
      </c>
      <c r="BI167" s="2" t="str">
        <f>IF($D$1124="","politically",$D$1124)</f>
        <v>immigration</v>
      </c>
      <c r="BJ167" s="466" t="s">
        <v>1377</v>
      </c>
      <c r="BK167" s="2" t="str">
        <f>IF(OR($H$101="",X1124=0),"stress",X1124)</f>
        <v>alienation</v>
      </c>
      <c r="BL167" s="465" t="s">
        <v>1378</v>
      </c>
      <c r="BM167" s="2" t="str">
        <f>IF(OR($H$101="",Z1124=0),"anxiety",Y1124)</f>
        <v>insecurity</v>
      </c>
      <c r="BN167" s="465" t="s">
        <v>1379</v>
      </c>
    </row>
    <row r="168" spans="1:67" ht="21" customHeight="1">
      <c r="A168" s="199"/>
      <c r="B168" s="1277"/>
      <c r="C168" s="1277"/>
      <c r="D168" s="1277"/>
      <c r="E168" s="1277"/>
      <c r="F168" s="1277"/>
      <c r="G168" s="1277"/>
      <c r="H168" s="1277"/>
      <c r="I168" s="1277"/>
      <c r="J168" s="1277"/>
      <c r="K168" s="1277"/>
      <c r="L168" s="1277"/>
      <c r="M168" s="1277"/>
      <c r="N168" s="200"/>
      <c r="O168" s="199"/>
      <c r="P168" s="24"/>
      <c r="Q168" s="24"/>
      <c r="R168" s="24"/>
      <c r="S168" s="24"/>
      <c r="T168" s="24"/>
      <c r="U168" s="24"/>
      <c r="V168" s="24"/>
      <c r="W168" s="24"/>
      <c r="X168" s="24"/>
      <c r="Y168" s="24"/>
      <c r="Z168" s="24"/>
      <c r="AA168" s="24"/>
      <c r="AB168" s="200"/>
      <c r="AC168" s="1"/>
      <c r="AD168" s="1"/>
      <c r="AE168" s="1"/>
      <c r="AF168" s="1"/>
      <c r="AG168" s="1"/>
      <c r="AH168" s="1"/>
      <c r="AI168" s="1"/>
      <c r="AJ168" s="1"/>
      <c r="AK168" s="1"/>
      <c r="AL168" s="1"/>
      <c r="AM168" s="1"/>
      <c r="AN168" s="1"/>
      <c r="AO168" s="1"/>
      <c r="AP168" s="1"/>
      <c r="AQ168" s="1"/>
      <c r="AR168" s="1"/>
      <c r="AS168" s="1"/>
      <c r="AT168" s="1"/>
      <c r="AU168" s="1"/>
      <c r="AV168" s="1"/>
      <c r="AW168" s="1"/>
      <c r="AX168" s="1"/>
      <c r="AY168" s="1"/>
    </row>
    <row r="169" spans="1:67" ht="21" customHeight="1">
      <c r="A169" s="199"/>
      <c r="B169" s="1277"/>
      <c r="C169" s="1277"/>
      <c r="D169" s="1277"/>
      <c r="E169" s="1277"/>
      <c r="F169" s="1277"/>
      <c r="G169" s="1277"/>
      <c r="H169" s="1277"/>
      <c r="I169" s="1277"/>
      <c r="J169" s="1277"/>
      <c r="K169" s="1277"/>
      <c r="L169" s="1277"/>
      <c r="M169" s="1277"/>
      <c r="N169" s="200"/>
      <c r="O169" s="199"/>
      <c r="P169" s="24"/>
      <c r="Q169" s="24"/>
      <c r="R169" s="24"/>
      <c r="S169" s="24"/>
      <c r="T169" s="24"/>
      <c r="U169" s="24"/>
      <c r="V169" s="24"/>
      <c r="W169" s="24"/>
      <c r="X169" s="24"/>
      <c r="Y169" s="24"/>
      <c r="Z169" s="24"/>
      <c r="AA169" s="24"/>
      <c r="AB169" s="200"/>
      <c r="AC169" s="1"/>
      <c r="AD169" s="1"/>
      <c r="AE169" s="1"/>
      <c r="AF169" s="1"/>
      <c r="AG169" s="1"/>
      <c r="AH169" s="1"/>
      <c r="AI169" s="1"/>
      <c r="AJ169" s="1"/>
      <c r="AK169" s="1"/>
      <c r="AL169" s="1"/>
      <c r="AM169" s="1"/>
      <c r="AN169" s="1"/>
      <c r="AO169" s="1"/>
      <c r="AP169" s="1"/>
      <c r="AQ169" s="1"/>
      <c r="AR169" s="1"/>
      <c r="AS169" s="1"/>
      <c r="AT169" s="1"/>
      <c r="AU169" s="1"/>
      <c r="AV169" s="1"/>
      <c r="AW169" s="1"/>
      <c r="AX169" s="1"/>
      <c r="AY169" s="1"/>
    </row>
    <row r="170" spans="1:67" ht="4.95" customHeight="1">
      <c r="A170" s="199"/>
      <c r="B170" s="24"/>
      <c r="C170" s="24"/>
      <c r="D170" s="24"/>
      <c r="E170" s="24"/>
      <c r="F170" s="24"/>
      <c r="G170" s="24"/>
      <c r="H170" s="24"/>
      <c r="I170" s="24"/>
      <c r="J170" s="24"/>
      <c r="K170" s="24"/>
      <c r="L170" s="24"/>
      <c r="M170" s="24"/>
      <c r="N170" s="200"/>
      <c r="O170" s="199"/>
      <c r="P170" s="24"/>
      <c r="Q170" s="24"/>
      <c r="R170" s="24"/>
      <c r="S170" s="24"/>
      <c r="T170" s="24"/>
      <c r="U170" s="24"/>
      <c r="V170" s="24"/>
      <c r="W170" s="24"/>
      <c r="X170" s="24"/>
      <c r="Y170" s="24"/>
      <c r="Z170" s="24"/>
      <c r="AA170" s="24"/>
      <c r="AB170" s="200"/>
      <c r="AC170" s="1"/>
      <c r="AD170" s="1"/>
      <c r="AE170" s="1"/>
      <c r="AF170" s="1"/>
      <c r="AG170" s="1"/>
      <c r="AH170" s="1"/>
      <c r="AI170" s="1"/>
      <c r="AJ170" s="1"/>
      <c r="AK170" s="1"/>
      <c r="AL170" s="1"/>
      <c r="AM170" s="1"/>
      <c r="AN170" s="1"/>
      <c r="AO170" s="1"/>
      <c r="AP170" s="1"/>
      <c r="AQ170" s="1"/>
      <c r="AR170" s="1"/>
      <c r="AS170" s="1"/>
      <c r="AT170" s="1"/>
      <c r="AU170" s="1"/>
      <c r="AV170" s="1"/>
      <c r="AW170" s="1"/>
      <c r="AX170" s="1"/>
      <c r="AY170" s="1"/>
    </row>
    <row r="171" spans="1:67" ht="19.95" customHeight="1">
      <c r="A171" s="199"/>
      <c r="B171" s="1277" t="s">
        <v>2007</v>
      </c>
      <c r="C171" s="1277"/>
      <c r="D171" s="1277"/>
      <c r="E171" s="1277"/>
      <c r="F171" s="1277"/>
      <c r="G171" s="1277"/>
      <c r="H171" s="1277"/>
      <c r="I171" s="1277"/>
      <c r="J171" s="1277"/>
      <c r="K171" s="1277"/>
      <c r="L171" s="1277"/>
      <c r="M171" s="1277"/>
      <c r="N171" s="200"/>
      <c r="O171" s="199"/>
      <c r="P171" s="24"/>
      <c r="Q171" s="24"/>
      <c r="R171" s="24"/>
      <c r="S171" s="24"/>
      <c r="T171" s="24"/>
      <c r="U171" s="24"/>
      <c r="V171" s="24"/>
      <c r="W171" s="24"/>
      <c r="X171" s="24"/>
      <c r="Y171" s="24"/>
      <c r="Z171" s="24"/>
      <c r="AA171" s="24"/>
      <c r="AB171" s="200"/>
      <c r="AC171" s="1"/>
      <c r="AD171" s="1"/>
      <c r="AE171" s="1"/>
      <c r="AF171" s="1"/>
      <c r="AG171" s="1"/>
      <c r="AH171" s="1"/>
      <c r="AI171" s="1"/>
      <c r="AJ171" s="1"/>
      <c r="AK171" s="1"/>
      <c r="AL171" s="1"/>
      <c r="AM171" s="1"/>
      <c r="AN171" s="1"/>
      <c r="AO171" s="1"/>
      <c r="AP171" s="1"/>
      <c r="AQ171" s="1"/>
      <c r="AR171" s="1"/>
      <c r="AS171" s="1"/>
      <c r="AT171" s="1"/>
      <c r="AU171" s="1"/>
      <c r="AV171" s="1"/>
      <c r="AW171" s="1"/>
      <c r="AX171" s="1"/>
      <c r="AY171" s="1"/>
    </row>
    <row r="172" spans="1:67" ht="19.95" customHeight="1">
      <c r="A172" s="199"/>
      <c r="B172" s="1277"/>
      <c r="C172" s="1277"/>
      <c r="D172" s="1277"/>
      <c r="E172" s="1277"/>
      <c r="F172" s="1277"/>
      <c r="G172" s="1277"/>
      <c r="H172" s="1277"/>
      <c r="I172" s="1277"/>
      <c r="J172" s="1277"/>
      <c r="K172" s="1277"/>
      <c r="L172" s="1277"/>
      <c r="M172" s="1277"/>
      <c r="N172" s="200"/>
      <c r="O172" s="199"/>
      <c r="P172" s="24"/>
      <c r="Q172" s="24"/>
      <c r="R172" s="24"/>
      <c r="S172" s="24"/>
      <c r="T172" s="24"/>
      <c r="U172" s="24"/>
      <c r="V172" s="24"/>
      <c r="W172" s="24"/>
      <c r="X172" s="24"/>
      <c r="Y172" s="24"/>
      <c r="Z172" s="24"/>
      <c r="AA172" s="24"/>
      <c r="AB172" s="200"/>
      <c r="AC172" s="1"/>
      <c r="AD172" s="1"/>
      <c r="AE172" s="1"/>
      <c r="AF172" s="1"/>
      <c r="AG172" s="1"/>
      <c r="AH172" s="1"/>
      <c r="AI172" s="1"/>
      <c r="AJ172" s="1"/>
      <c r="AK172" s="1"/>
      <c r="AL172" s="1"/>
      <c r="AM172" s="1"/>
      <c r="AN172" s="1"/>
      <c r="AO172" s="1"/>
      <c r="AP172" s="1"/>
      <c r="AQ172" s="1"/>
      <c r="AR172" s="1"/>
      <c r="AS172" s="1"/>
      <c r="AT172" s="1"/>
      <c r="AU172" s="1"/>
      <c r="AV172" s="1"/>
      <c r="AW172" s="1"/>
      <c r="AX172" s="1"/>
      <c r="AY172" s="1"/>
    </row>
    <row r="173" spans="1:67" ht="19.95" customHeight="1">
      <c r="A173" s="199"/>
      <c r="B173" s="1277"/>
      <c r="C173" s="1277"/>
      <c r="D173" s="1277"/>
      <c r="E173" s="1277"/>
      <c r="F173" s="1277"/>
      <c r="G173" s="1277"/>
      <c r="H173" s="1277"/>
      <c r="I173" s="1277"/>
      <c r="J173" s="1277"/>
      <c r="K173" s="1277"/>
      <c r="L173" s="1277"/>
      <c r="M173" s="1277"/>
      <c r="N173" s="200"/>
      <c r="O173" s="199"/>
      <c r="P173" s="24"/>
      <c r="Q173" s="24"/>
      <c r="R173" s="24"/>
      <c r="S173" s="24"/>
      <c r="T173" s="24"/>
      <c r="U173" s="24"/>
      <c r="V173" s="24"/>
      <c r="W173" s="24"/>
      <c r="X173" s="24"/>
      <c r="Y173" s="24"/>
      <c r="Z173" s="24"/>
      <c r="AA173" s="24"/>
      <c r="AB173" s="200"/>
      <c r="AC173" s="1"/>
      <c r="AD173" s="1"/>
      <c r="AE173" s="1"/>
      <c r="AF173" s="1"/>
      <c r="AG173" s="1"/>
      <c r="AH173" s="1"/>
      <c r="AI173" s="1"/>
      <c r="AJ173" s="1"/>
      <c r="AK173" s="1"/>
      <c r="AL173" s="1"/>
      <c r="AM173" s="1"/>
      <c r="AN173" s="1"/>
      <c r="AO173" s="1"/>
      <c r="AP173" s="1"/>
      <c r="AQ173" s="1"/>
      <c r="AR173" s="1"/>
      <c r="AS173" s="1"/>
      <c r="AT173" s="1"/>
      <c r="AU173" s="1"/>
      <c r="AV173" s="1"/>
      <c r="AW173" s="1"/>
      <c r="AX173" s="1"/>
      <c r="AY173" s="1"/>
    </row>
    <row r="174" spans="1:67" ht="4.95" customHeight="1">
      <c r="A174" s="199"/>
      <c r="B174" s="24"/>
      <c r="C174" s="24"/>
      <c r="D174" s="24"/>
      <c r="E174" s="24"/>
      <c r="F174" s="24"/>
      <c r="G174" s="24"/>
      <c r="H174" s="24"/>
      <c r="I174" s="24"/>
      <c r="J174" s="24"/>
      <c r="K174" s="24"/>
      <c r="L174" s="24"/>
      <c r="M174" s="24"/>
      <c r="N174" s="200"/>
      <c r="O174" s="199"/>
      <c r="P174" s="24"/>
      <c r="Q174" s="24"/>
      <c r="R174" s="24"/>
      <c r="S174" s="24"/>
      <c r="T174" s="24"/>
      <c r="U174" s="24"/>
      <c r="V174" s="24"/>
      <c r="W174" s="24"/>
      <c r="X174" s="24"/>
      <c r="Y174" s="24"/>
      <c r="Z174" s="24"/>
      <c r="AA174" s="24"/>
      <c r="AB174" s="200"/>
      <c r="AC174" s="1"/>
      <c r="AD174" s="1"/>
      <c r="AE174" s="1"/>
      <c r="AF174" s="1"/>
      <c r="AG174" s="1"/>
      <c r="AH174" s="1"/>
      <c r="AI174" s="1"/>
      <c r="AJ174" s="1"/>
      <c r="AK174" s="1"/>
      <c r="AL174" s="1"/>
      <c r="AM174" s="1"/>
      <c r="AN174" s="1"/>
      <c r="AO174" s="1"/>
      <c r="AP174" s="1"/>
      <c r="AQ174" s="1"/>
      <c r="AR174" s="1"/>
      <c r="AS174" s="1"/>
      <c r="AT174" s="1"/>
      <c r="AU174" s="1"/>
      <c r="AV174" s="1"/>
      <c r="AW174" s="1"/>
      <c r="AX174" s="1"/>
      <c r="AY174" s="1"/>
    </row>
    <row r="175" spans="1:67" ht="21" customHeight="1">
      <c r="A175" s="199"/>
      <c r="B175" s="1277" t="str">
        <f>BF175</f>
        <v xml:space="preserve">You gravitate to certain political beliefs because they serve your particular set of needs. Now you can relate to the particular set of needs of others expressed by beliefs different from your own, including your clients. Your political beliefs about immigration serve your specific needs. Your client likey has a different experience of needs around immigration. You understand their experience of immigration-related needs through their political views. You leave notions of rational choice at the door. </v>
      </c>
      <c r="C175" s="1277"/>
      <c r="D175" s="1277"/>
      <c r="E175" s="1277"/>
      <c r="F175" s="1277"/>
      <c r="G175" s="1277"/>
      <c r="H175" s="1277"/>
      <c r="I175" s="1277"/>
      <c r="J175" s="1277"/>
      <c r="K175" s="1277"/>
      <c r="L175" s="1277"/>
      <c r="M175" s="1277"/>
      <c r="N175" s="200"/>
      <c r="O175" s="199"/>
      <c r="P175" s="24"/>
      <c r="Q175" s="24"/>
      <c r="R175" s="24"/>
      <c r="S175" s="24"/>
      <c r="T175" s="24"/>
      <c r="U175" s="24"/>
      <c r="V175" s="24"/>
      <c r="W175" s="24"/>
      <c r="X175" s="24"/>
      <c r="Y175" s="24"/>
      <c r="Z175" s="24"/>
      <c r="AA175" s="24"/>
      <c r="AB175" s="200"/>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BF175" s="459" t="str">
        <f>CONCATENATE(BH175,BI175,BJ175,BK175,BL175,BM175,BN175,BO175)</f>
        <v xml:space="preserve">You gravitate to certain political beliefs because they serve your particular set of needs. Now you can relate to the particular set of needs of others expressed by beliefs different from your own, including your clients. Your political beliefs about immigration serve your specific needs. Your client likey has a different experience of needs around immigration. You understand their experience of immigration-related needs through their political views. You leave notions of rational choice at the door. </v>
      </c>
      <c r="BH175" s="465" t="s">
        <v>1380</v>
      </c>
      <c r="BI175" s="2" t="str">
        <f>IF($D$1124="","hot button issues",$D$1124)</f>
        <v>immigration</v>
      </c>
      <c r="BJ175" s="465" t="s">
        <v>1381</v>
      </c>
      <c r="BK175" s="2" t="str">
        <f>IF($D$1124="","such issues",$D$1124)</f>
        <v>immigration</v>
      </c>
      <c r="BL175" s="465" t="s">
        <v>1382</v>
      </c>
      <c r="BM175" s="2" t="str">
        <f>IF($D$1124="","each issue",$D$1124)</f>
        <v>immigration</v>
      </c>
      <c r="BN175" s="2" t="str">
        <f>IF(H101="","-related need","-related needs")</f>
        <v>-related needs</v>
      </c>
      <c r="BO175" s="466" t="s">
        <v>1383</v>
      </c>
    </row>
    <row r="176" spans="1:67" ht="21" customHeight="1">
      <c r="A176" s="199"/>
      <c r="B176" s="1277"/>
      <c r="C176" s="1277"/>
      <c r="D176" s="1277"/>
      <c r="E176" s="1277"/>
      <c r="F176" s="1277"/>
      <c r="G176" s="1277"/>
      <c r="H176" s="1277"/>
      <c r="I176" s="1277"/>
      <c r="J176" s="1277"/>
      <c r="K176" s="1277"/>
      <c r="L176" s="1277"/>
      <c r="M176" s="1277"/>
      <c r="N176" s="200"/>
      <c r="O176" s="199"/>
      <c r="P176" s="24"/>
      <c r="Q176" s="24"/>
      <c r="R176" s="24"/>
      <c r="S176" s="24"/>
      <c r="T176" s="24"/>
      <c r="U176" s="24"/>
      <c r="V176" s="24"/>
      <c r="W176" s="24"/>
      <c r="X176" s="24"/>
      <c r="Y176" s="24"/>
      <c r="Z176" s="24"/>
      <c r="AA176" s="24"/>
      <c r="AB176" s="200"/>
      <c r="AC176" s="1"/>
      <c r="AD176" s="1"/>
      <c r="AE176" s="1"/>
      <c r="AF176" s="1"/>
      <c r="AG176" s="1"/>
      <c r="AH176" s="1"/>
      <c r="AI176" s="1"/>
      <c r="AJ176" s="1"/>
      <c r="AK176" s="1"/>
      <c r="AL176" s="1"/>
      <c r="AM176" s="1"/>
      <c r="AN176" s="1"/>
      <c r="AO176" s="1"/>
      <c r="AP176" s="1"/>
      <c r="AQ176" s="1"/>
      <c r="AR176" s="1"/>
      <c r="AS176" s="1"/>
      <c r="AT176" s="1"/>
      <c r="AU176" s="1"/>
      <c r="AV176" s="1"/>
      <c r="AW176" s="1"/>
      <c r="AX176" s="1"/>
      <c r="AY176" s="1"/>
    </row>
    <row r="177" spans="1:105" ht="21" customHeight="1">
      <c r="A177" s="199"/>
      <c r="B177" s="1277"/>
      <c r="C177" s="1277"/>
      <c r="D177" s="1277"/>
      <c r="E177" s="1277"/>
      <c r="F177" s="1277"/>
      <c r="G177" s="1277"/>
      <c r="H177" s="1277"/>
      <c r="I177" s="1277"/>
      <c r="J177" s="1277"/>
      <c r="K177" s="1277"/>
      <c r="L177" s="1277"/>
      <c r="M177" s="1277"/>
      <c r="N177" s="200"/>
      <c r="O177" s="199"/>
      <c r="P177" s="24"/>
      <c r="Q177" s="24"/>
      <c r="R177" s="24"/>
      <c r="S177" s="24"/>
      <c r="T177" s="24"/>
      <c r="U177" s="24"/>
      <c r="V177" s="24"/>
      <c r="W177" s="24"/>
      <c r="X177" s="24"/>
      <c r="Y177" s="24"/>
      <c r="Z177" s="24"/>
      <c r="AA177" s="24"/>
      <c r="AB177" s="200"/>
      <c r="AC177" s="1"/>
      <c r="AD177" s="1"/>
      <c r="AE177" s="1"/>
      <c r="AF177" s="1"/>
      <c r="AG177" s="1"/>
      <c r="AH177" s="1"/>
      <c r="AI177" s="1"/>
      <c r="AJ177" s="1"/>
      <c r="AK177" s="1"/>
      <c r="AL177" s="1"/>
      <c r="AM177" s="1"/>
      <c r="AN177" s="1"/>
      <c r="AO177" s="1"/>
      <c r="AP177" s="1"/>
      <c r="AQ177" s="1"/>
      <c r="AR177" s="1"/>
      <c r="AS177" s="1"/>
      <c r="AT177" s="1"/>
      <c r="AU177" s="1"/>
      <c r="AV177" s="1"/>
      <c r="AW177" s="1"/>
      <c r="AX177" s="1"/>
      <c r="AY177" s="1"/>
    </row>
    <row r="178" spans="1:105" ht="21" customHeight="1">
      <c r="A178" s="199"/>
      <c r="B178" s="1277"/>
      <c r="C178" s="1277"/>
      <c r="D178" s="1277"/>
      <c r="E178" s="1277"/>
      <c r="F178" s="1277"/>
      <c r="G178" s="1277"/>
      <c r="H178" s="1277"/>
      <c r="I178" s="1277"/>
      <c r="J178" s="1277"/>
      <c r="K178" s="1277"/>
      <c r="L178" s="1277"/>
      <c r="M178" s="1277"/>
      <c r="N178" s="200"/>
      <c r="O178" s="199"/>
      <c r="P178" s="24"/>
      <c r="Q178" s="24"/>
      <c r="R178" s="24"/>
      <c r="S178" s="24"/>
      <c r="T178" s="24"/>
      <c r="U178" s="24"/>
      <c r="V178" s="24"/>
      <c r="W178" s="24"/>
      <c r="X178" s="24"/>
      <c r="Y178" s="24"/>
      <c r="Z178" s="24"/>
      <c r="AA178" s="24"/>
      <c r="AB178" s="200"/>
      <c r="AC178" s="1"/>
      <c r="AD178" s="1"/>
      <c r="AE178" s="1"/>
      <c r="AF178" s="1"/>
      <c r="AG178" s="1"/>
      <c r="AH178" s="1"/>
      <c r="AI178" s="1"/>
      <c r="AJ178" s="1"/>
      <c r="AK178" s="1"/>
      <c r="AL178" s="1"/>
      <c r="AM178" s="1"/>
      <c r="AN178" s="1"/>
      <c r="AO178" s="1"/>
      <c r="AP178" s="1"/>
      <c r="AQ178" s="1"/>
      <c r="AR178" s="1"/>
      <c r="AS178" s="1"/>
      <c r="AT178" s="1"/>
      <c r="AU178" s="1"/>
      <c r="AV178" s="1"/>
      <c r="AW178" s="1"/>
      <c r="AX178" s="1"/>
      <c r="AY178" s="1"/>
    </row>
    <row r="179" spans="1:105" ht="21" customHeight="1">
      <c r="A179" s="199"/>
      <c r="B179" s="1277"/>
      <c r="C179" s="1277"/>
      <c r="D179" s="1277"/>
      <c r="E179" s="1277"/>
      <c r="F179" s="1277"/>
      <c r="G179" s="1277"/>
      <c r="H179" s="1277"/>
      <c r="I179" s="1277"/>
      <c r="J179" s="1277"/>
      <c r="K179" s="1277"/>
      <c r="L179" s="1277"/>
      <c r="M179" s="1277"/>
      <c r="N179" s="200"/>
      <c r="O179" s="199"/>
      <c r="P179" s="24"/>
      <c r="Q179" s="24"/>
      <c r="R179" s="24"/>
      <c r="S179" s="24"/>
      <c r="T179" s="24"/>
      <c r="U179" s="24"/>
      <c r="V179" s="24"/>
      <c r="W179" s="24"/>
      <c r="X179" s="24"/>
      <c r="Y179" s="24"/>
      <c r="Z179" s="24"/>
      <c r="AA179" s="24"/>
      <c r="AB179" s="200"/>
      <c r="AC179" s="1"/>
      <c r="AD179" s="1"/>
      <c r="AE179" s="1"/>
      <c r="AF179" s="1"/>
      <c r="AG179" s="1"/>
      <c r="AH179" s="1"/>
      <c r="AI179" s="1"/>
      <c r="AJ179" s="1"/>
      <c r="AK179" s="1"/>
      <c r="AL179" s="1"/>
      <c r="AM179" s="1"/>
      <c r="AN179" s="1"/>
      <c r="AO179" s="1"/>
      <c r="AP179" s="1"/>
      <c r="AQ179" s="1"/>
      <c r="AR179" s="1"/>
      <c r="AS179" s="1"/>
      <c r="AT179" s="1"/>
      <c r="AU179" s="1"/>
      <c r="AV179" s="1"/>
      <c r="AW179" s="1"/>
      <c r="AX179" s="1"/>
      <c r="AY179" s="1"/>
    </row>
    <row r="180" spans="1:105" ht="4.95" customHeight="1">
      <c r="A180" s="199"/>
      <c r="B180" s="24"/>
      <c r="C180" s="24"/>
      <c r="D180" s="24"/>
      <c r="E180" s="24"/>
      <c r="F180" s="24"/>
      <c r="G180" s="24"/>
      <c r="H180" s="24"/>
      <c r="I180" s="24"/>
      <c r="J180" s="24"/>
      <c r="K180" s="24"/>
      <c r="L180" s="24"/>
      <c r="M180" s="24"/>
      <c r="N180" s="200"/>
      <c r="O180" s="199"/>
      <c r="P180" s="24"/>
      <c r="Q180" s="24"/>
      <c r="R180" s="24"/>
      <c r="S180" s="24"/>
      <c r="T180" s="24"/>
      <c r="U180" s="24"/>
      <c r="V180" s="24"/>
      <c r="W180" s="24"/>
      <c r="X180" s="24"/>
      <c r="Y180" s="24"/>
      <c r="Z180" s="24"/>
      <c r="AA180" s="24"/>
      <c r="AB180" s="200"/>
      <c r="AC180" s="1"/>
      <c r="AD180" s="1"/>
      <c r="AE180" s="1"/>
      <c r="AF180" s="1"/>
      <c r="AG180" s="1"/>
      <c r="AH180" s="1"/>
      <c r="AI180" s="1"/>
      <c r="AJ180" s="1"/>
      <c r="AK180" s="1"/>
      <c r="AL180" s="1"/>
      <c r="AM180" s="1"/>
      <c r="AN180" s="1"/>
      <c r="AO180" s="1"/>
      <c r="AP180" s="1"/>
      <c r="AQ180" s="1"/>
      <c r="AR180" s="1"/>
      <c r="AS180" s="1"/>
      <c r="AT180" s="1"/>
      <c r="AU180" s="1"/>
      <c r="AV180" s="1"/>
      <c r="AW180" s="1"/>
      <c r="AX180" s="1"/>
      <c r="AY180" s="1"/>
    </row>
    <row r="181" spans="1:105" ht="19.05" customHeight="1">
      <c r="A181" s="199"/>
      <c r="B181" s="1308" t="s">
        <v>1593</v>
      </c>
      <c r="C181" s="1308"/>
      <c r="D181" s="1308"/>
      <c r="E181" s="1308"/>
      <c r="F181" s="1308"/>
      <c r="G181" s="1308"/>
      <c r="H181" s="1308"/>
      <c r="I181" s="1308"/>
      <c r="J181" s="1308"/>
      <c r="K181" s="1308"/>
      <c r="L181" s="1308"/>
      <c r="M181" s="1308"/>
      <c r="N181" s="200"/>
      <c r="O181" s="199"/>
      <c r="P181" s="24"/>
      <c r="Q181" s="24"/>
      <c r="R181" s="24"/>
      <c r="S181" s="24"/>
      <c r="T181" s="24"/>
      <c r="U181" s="24"/>
      <c r="V181" s="24"/>
      <c r="W181" s="24"/>
      <c r="X181" s="24"/>
      <c r="Y181" s="24"/>
      <c r="Z181" s="24"/>
      <c r="AA181" s="24"/>
      <c r="AB181" s="200"/>
      <c r="AC181" s="1"/>
      <c r="AD181" s="1"/>
      <c r="AE181" s="1"/>
      <c r="AF181" s="1"/>
      <c r="AG181" s="1"/>
      <c r="AH181" s="1"/>
      <c r="AI181" s="1"/>
      <c r="AJ181" s="1"/>
      <c r="AK181" s="1"/>
      <c r="AL181" s="1"/>
      <c r="AM181" s="1"/>
      <c r="AN181" s="1"/>
      <c r="AO181" s="1"/>
      <c r="AP181" s="1"/>
      <c r="AQ181" s="1"/>
      <c r="AR181" s="1"/>
      <c r="AS181" s="1"/>
      <c r="AT181" s="1"/>
      <c r="AU181" s="1"/>
      <c r="AV181" s="1"/>
      <c r="AW181" s="1"/>
      <c r="AX181" s="1"/>
      <c r="AY181" s="1"/>
    </row>
    <row r="182" spans="1:105" ht="19.05" customHeight="1">
      <c r="A182" s="199"/>
      <c r="B182" s="1308"/>
      <c r="C182" s="1308"/>
      <c r="D182" s="1308"/>
      <c r="E182" s="1308"/>
      <c r="F182" s="1308"/>
      <c r="G182" s="1308"/>
      <c r="H182" s="1308"/>
      <c r="I182" s="1308"/>
      <c r="J182" s="1308"/>
      <c r="K182" s="1308"/>
      <c r="L182" s="1308"/>
      <c r="M182" s="1308"/>
      <c r="N182" s="200"/>
      <c r="O182" s="199"/>
      <c r="P182" s="24"/>
      <c r="Q182" s="24"/>
      <c r="R182" s="24"/>
      <c r="S182" s="24"/>
      <c r="T182" s="24"/>
      <c r="U182" s="24"/>
      <c r="V182" s="24"/>
      <c r="W182" s="24"/>
      <c r="X182" s="24"/>
      <c r="Y182" s="24"/>
      <c r="Z182" s="24"/>
      <c r="AA182" s="24"/>
      <c r="AB182" s="200"/>
      <c r="AC182" s="1"/>
      <c r="AD182" s="1"/>
      <c r="AE182" s="1"/>
      <c r="AF182" s="1"/>
      <c r="AG182" s="1"/>
      <c r="AH182" s="1"/>
      <c r="AI182" s="1"/>
      <c r="AJ182" s="1"/>
      <c r="AK182" s="1"/>
      <c r="AL182" s="1"/>
      <c r="AM182" s="1"/>
      <c r="AN182" s="1"/>
      <c r="AO182" s="1"/>
      <c r="AP182" s="1"/>
      <c r="AQ182" s="1"/>
      <c r="AR182" s="1"/>
      <c r="AS182" s="1"/>
      <c r="AT182" s="1"/>
      <c r="AU182" s="1"/>
      <c r="AV182" s="1"/>
      <c r="AW182" s="1"/>
      <c r="AX182" s="1"/>
      <c r="AY182" s="1"/>
    </row>
    <row r="183" spans="1:105" ht="19.05" customHeight="1">
      <c r="A183" s="199"/>
      <c r="B183" s="1308"/>
      <c r="C183" s="1308"/>
      <c r="D183" s="1308"/>
      <c r="E183" s="1308"/>
      <c r="F183" s="1308"/>
      <c r="G183" s="1308"/>
      <c r="H183" s="1308"/>
      <c r="I183" s="1308"/>
      <c r="J183" s="1308"/>
      <c r="K183" s="1308"/>
      <c r="L183" s="1308"/>
      <c r="M183" s="1308"/>
      <c r="N183" s="200"/>
      <c r="O183" s="199"/>
      <c r="P183" s="24"/>
      <c r="Q183" s="24"/>
      <c r="R183" s="24"/>
      <c r="S183" s="24"/>
      <c r="T183" s="24"/>
      <c r="U183" s="24"/>
      <c r="V183" s="24"/>
      <c r="W183" s="24"/>
      <c r="X183" s="24"/>
      <c r="Y183" s="24"/>
      <c r="Z183" s="24"/>
      <c r="AA183" s="24"/>
      <c r="AB183" s="200"/>
      <c r="AC183" s="1"/>
      <c r="AD183" s="1"/>
      <c r="AE183" s="1"/>
      <c r="AF183" s="1"/>
      <c r="AG183" s="1"/>
      <c r="AH183" s="1"/>
      <c r="AI183" s="1"/>
      <c r="AJ183" s="1"/>
      <c r="AK183" s="1"/>
      <c r="AL183" s="1"/>
      <c r="AM183" s="1"/>
      <c r="AN183" s="1"/>
      <c r="AO183" s="1"/>
      <c r="AP183" s="1"/>
      <c r="AQ183" s="1"/>
      <c r="AR183" s="1"/>
      <c r="AS183" s="1"/>
      <c r="AT183" s="1"/>
      <c r="AU183" s="1"/>
      <c r="AV183" s="1"/>
      <c r="AW183" s="1"/>
      <c r="AX183" s="1"/>
      <c r="AY183" s="1"/>
    </row>
    <row r="184" spans="1:105" ht="19.05" customHeight="1">
      <c r="A184" s="199"/>
      <c r="B184" s="1308"/>
      <c r="C184" s="1308"/>
      <c r="D184" s="1308"/>
      <c r="E184" s="1308"/>
      <c r="F184" s="1308"/>
      <c r="G184" s="1308"/>
      <c r="H184" s="1308"/>
      <c r="I184" s="1308"/>
      <c r="J184" s="1308"/>
      <c r="K184" s="1308"/>
      <c r="L184" s="1308"/>
      <c r="M184" s="1308"/>
      <c r="N184" s="200"/>
      <c r="O184" s="199"/>
      <c r="P184" s="24"/>
      <c r="Q184" s="24"/>
      <c r="R184" s="24"/>
      <c r="S184" s="24"/>
      <c r="T184" s="24"/>
      <c r="U184" s="24"/>
      <c r="V184" s="24"/>
      <c r="W184" s="24"/>
      <c r="X184" s="24"/>
      <c r="Y184" s="24"/>
      <c r="Z184" s="24"/>
      <c r="AA184" s="24"/>
      <c r="AB184" s="200"/>
      <c r="AC184" s="1"/>
      <c r="AD184" s="1"/>
      <c r="AE184" s="1"/>
      <c r="AF184" s="1"/>
      <c r="AG184" s="1"/>
      <c r="AH184" s="1"/>
      <c r="AI184" s="1"/>
      <c r="AJ184" s="1"/>
      <c r="AK184" s="1"/>
      <c r="AL184" s="1"/>
      <c r="AM184" s="1"/>
      <c r="AN184" s="1"/>
      <c r="AO184" s="1"/>
      <c r="AP184" s="1"/>
      <c r="AQ184" s="1"/>
      <c r="AR184" s="1"/>
      <c r="AS184" s="1"/>
      <c r="AT184" s="1"/>
      <c r="AU184" s="1"/>
      <c r="AV184" s="1"/>
      <c r="AW184" s="1"/>
      <c r="AX184" s="1"/>
      <c r="AY184" s="1"/>
    </row>
    <row r="185" spans="1:105" ht="19.05" customHeight="1">
      <c r="A185" s="199"/>
      <c r="B185" s="1308"/>
      <c r="C185" s="1308"/>
      <c r="D185" s="1308"/>
      <c r="E185" s="1308"/>
      <c r="F185" s="1308"/>
      <c r="G185" s="1308"/>
      <c r="H185" s="1308"/>
      <c r="I185" s="1308"/>
      <c r="J185" s="1308"/>
      <c r="K185" s="1308"/>
      <c r="L185" s="1308"/>
      <c r="M185" s="1308"/>
      <c r="N185" s="200"/>
      <c r="O185" s="199"/>
      <c r="P185" s="24"/>
      <c r="Q185" s="24"/>
      <c r="R185" s="24"/>
      <c r="S185" s="24"/>
      <c r="T185" s="24"/>
      <c r="U185" s="24"/>
      <c r="V185" s="24"/>
      <c r="W185" s="24"/>
      <c r="X185" s="24"/>
      <c r="Y185" s="24"/>
      <c r="Z185" s="24"/>
      <c r="AA185" s="24"/>
      <c r="AB185" s="200"/>
      <c r="AC185" s="1"/>
      <c r="AD185" s="1"/>
      <c r="AE185" s="1"/>
      <c r="AF185" s="1"/>
      <c r="AG185" s="1"/>
      <c r="AH185" s="1"/>
      <c r="AI185" s="1"/>
      <c r="AJ185" s="1"/>
      <c r="AK185" s="1"/>
      <c r="AL185" s="1"/>
      <c r="AM185" s="1"/>
      <c r="AN185" s="1"/>
      <c r="AO185" s="1"/>
      <c r="AP185" s="1"/>
      <c r="AQ185" s="1"/>
      <c r="AR185" s="1"/>
      <c r="AS185" s="1"/>
      <c r="AT185" s="1"/>
      <c r="AU185" s="1"/>
      <c r="AV185" s="1"/>
      <c r="AW185" s="1"/>
      <c r="AX185" s="1"/>
      <c r="AY185" s="1"/>
    </row>
    <row r="186" spans="1:105" ht="4.95" customHeight="1">
      <c r="A186" s="199"/>
      <c r="B186" s="24"/>
      <c r="C186" s="24"/>
      <c r="D186" s="24"/>
      <c r="E186" s="24"/>
      <c r="F186" s="24"/>
      <c r="G186" s="24"/>
      <c r="H186" s="24"/>
      <c r="I186" s="24"/>
      <c r="J186" s="24"/>
      <c r="K186" s="24"/>
      <c r="L186" s="24"/>
      <c r="M186" s="24"/>
      <c r="N186" s="200"/>
      <c r="O186" s="199"/>
      <c r="P186" s="24"/>
      <c r="Q186" s="24"/>
      <c r="R186" s="24"/>
      <c r="S186" s="24"/>
      <c r="T186" s="24"/>
      <c r="U186" s="24"/>
      <c r="V186" s="24"/>
      <c r="W186" s="24"/>
      <c r="X186" s="24"/>
      <c r="Y186" s="24"/>
      <c r="Z186" s="24"/>
      <c r="AA186" s="24"/>
      <c r="AB186" s="200"/>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DA186" s="37"/>
    </row>
    <row r="187" spans="1:105" ht="19.95" customHeight="1">
      <c r="A187" s="199"/>
      <c r="B187" s="1277" t="s">
        <v>1591</v>
      </c>
      <c r="C187" s="1277"/>
      <c r="D187" s="1277"/>
      <c r="E187" s="1277"/>
      <c r="F187" s="1277"/>
      <c r="G187" s="1277"/>
      <c r="H187" s="1277"/>
      <c r="I187" s="1277"/>
      <c r="J187" s="1277"/>
      <c r="K187" s="1277"/>
      <c r="L187" s="1277"/>
      <c r="M187" s="1277"/>
      <c r="N187" s="200"/>
      <c r="O187" s="199"/>
      <c r="P187" s="24"/>
      <c r="Q187" s="24"/>
      <c r="R187" s="24"/>
      <c r="S187" s="24"/>
      <c r="T187" s="24"/>
      <c r="U187" s="24"/>
      <c r="V187" s="24"/>
      <c r="W187" s="24"/>
      <c r="X187" s="24"/>
      <c r="Y187" s="24"/>
      <c r="Z187" s="24"/>
      <c r="AA187" s="24"/>
      <c r="AB187" s="200"/>
      <c r="AC187" s="1"/>
      <c r="AD187" s="1"/>
      <c r="AE187" s="1"/>
      <c r="AF187" s="1"/>
      <c r="AG187" s="1"/>
      <c r="AH187" s="1"/>
      <c r="AI187" s="1"/>
      <c r="AJ187" s="1"/>
      <c r="AK187" s="1"/>
      <c r="AL187" s="1"/>
      <c r="AM187" s="1"/>
      <c r="AN187" s="1"/>
      <c r="AO187" s="1"/>
      <c r="AP187" s="1"/>
      <c r="AQ187" s="1"/>
      <c r="AR187" s="1"/>
      <c r="AS187" s="1"/>
      <c r="AT187" s="1"/>
      <c r="AU187" s="1"/>
      <c r="AV187" s="1"/>
      <c r="AW187" s="1"/>
      <c r="AX187" s="1"/>
      <c r="AY187" s="1"/>
    </row>
    <row r="188" spans="1:105" ht="19.95" customHeight="1">
      <c r="A188" s="199"/>
      <c r="B188" s="1277"/>
      <c r="C188" s="1277"/>
      <c r="D188" s="1277"/>
      <c r="E188" s="1277"/>
      <c r="F188" s="1277"/>
      <c r="G188" s="1277"/>
      <c r="H188" s="1277"/>
      <c r="I188" s="1277"/>
      <c r="J188" s="1277"/>
      <c r="K188" s="1277"/>
      <c r="L188" s="1277"/>
      <c r="M188" s="1277"/>
      <c r="N188" s="200"/>
      <c r="O188" s="199"/>
      <c r="P188" s="24"/>
      <c r="Q188" s="24"/>
      <c r="R188" s="24"/>
      <c r="S188" s="24"/>
      <c r="T188" s="24"/>
      <c r="U188" s="24"/>
      <c r="V188" s="24"/>
      <c r="W188" s="24"/>
      <c r="X188" s="24"/>
      <c r="Y188" s="24"/>
      <c r="Z188" s="24"/>
      <c r="AA188" s="24"/>
      <c r="AB188" s="200"/>
      <c r="AC188" s="1"/>
      <c r="AD188" s="1"/>
      <c r="AE188" s="1"/>
      <c r="AF188" s="1"/>
      <c r="AG188" s="1"/>
      <c r="AH188" s="1"/>
      <c r="AI188" s="1"/>
      <c r="AJ188" s="1"/>
      <c r="AK188" s="1"/>
      <c r="AL188" s="1"/>
      <c r="AM188" s="1"/>
      <c r="AN188" s="1"/>
      <c r="AO188" s="1"/>
      <c r="AP188" s="1"/>
      <c r="AQ188" s="1"/>
      <c r="AR188" s="1"/>
      <c r="AS188" s="1"/>
      <c r="AT188" s="1"/>
      <c r="AU188" s="1"/>
      <c r="AV188" s="1"/>
      <c r="AW188" s="1"/>
      <c r="AX188" s="1"/>
      <c r="AY188" s="1"/>
    </row>
    <row r="189" spans="1:105" ht="19.95" customHeight="1">
      <c r="A189" s="199"/>
      <c r="B189" s="1277"/>
      <c r="C189" s="1277"/>
      <c r="D189" s="1277"/>
      <c r="E189" s="1277"/>
      <c r="F189" s="1277"/>
      <c r="G189" s="1277"/>
      <c r="H189" s="1277"/>
      <c r="I189" s="1277"/>
      <c r="J189" s="1277"/>
      <c r="K189" s="1277"/>
      <c r="L189" s="1277"/>
      <c r="M189" s="1277"/>
      <c r="N189" s="200"/>
      <c r="O189" s="199"/>
      <c r="P189" s="24"/>
      <c r="Q189" s="24"/>
      <c r="R189" s="24"/>
      <c r="S189" s="24"/>
      <c r="T189" s="24"/>
      <c r="U189" s="24"/>
      <c r="V189" s="24"/>
      <c r="W189" s="24"/>
      <c r="X189" s="24"/>
      <c r="Y189" s="24"/>
      <c r="Z189" s="24"/>
      <c r="AA189" s="24"/>
      <c r="AB189" s="200"/>
      <c r="AC189" s="1"/>
      <c r="AD189" s="1"/>
      <c r="AE189" s="1"/>
      <c r="AF189" s="1"/>
      <c r="AG189" s="1"/>
      <c r="AH189" s="1"/>
      <c r="AI189" s="1"/>
      <c r="AJ189" s="1"/>
      <c r="AK189" s="1"/>
      <c r="AL189" s="1"/>
      <c r="AM189" s="1"/>
      <c r="AN189" s="1"/>
      <c r="AO189" s="1"/>
      <c r="AP189" s="1"/>
      <c r="AQ189" s="1"/>
      <c r="AR189" s="1"/>
      <c r="AS189" s="1"/>
      <c r="AT189" s="1"/>
      <c r="AU189" s="1"/>
      <c r="AV189" s="1"/>
      <c r="AW189" s="1"/>
      <c r="AX189" s="1"/>
      <c r="AY189" s="1"/>
    </row>
    <row r="190" spans="1:105" ht="19.95" customHeight="1">
      <c r="A190" s="199"/>
      <c r="B190" s="1277"/>
      <c r="C190" s="1277"/>
      <c r="D190" s="1277"/>
      <c r="E190" s="1277"/>
      <c r="F190" s="1277"/>
      <c r="G190" s="1277"/>
      <c r="H190" s="1277"/>
      <c r="I190" s="1277"/>
      <c r="J190" s="1277"/>
      <c r="K190" s="1277"/>
      <c r="L190" s="1277"/>
      <c r="M190" s="1277"/>
      <c r="N190" s="200"/>
      <c r="O190" s="199"/>
      <c r="P190" s="24"/>
      <c r="Q190" s="24"/>
      <c r="R190" s="24"/>
      <c r="S190" s="24"/>
      <c r="T190" s="24"/>
      <c r="U190" s="24"/>
      <c r="V190" s="24"/>
      <c r="W190" s="24"/>
      <c r="X190" s="24"/>
      <c r="Y190" s="24"/>
      <c r="Z190" s="24"/>
      <c r="AA190" s="24"/>
      <c r="AB190" s="200"/>
      <c r="AC190" s="1"/>
      <c r="AD190" s="1"/>
      <c r="AE190" s="1"/>
      <c r="AF190" s="1"/>
      <c r="AG190" s="1"/>
      <c r="AH190" s="1"/>
      <c r="AI190" s="1"/>
      <c r="AJ190" s="1"/>
      <c r="AK190" s="1"/>
      <c r="AL190" s="1"/>
      <c r="AM190" s="1"/>
      <c r="AN190" s="1"/>
      <c r="AO190" s="1"/>
      <c r="AP190" s="1"/>
      <c r="AQ190" s="1"/>
      <c r="AR190" s="1"/>
      <c r="AS190" s="1"/>
      <c r="AT190" s="1"/>
      <c r="AU190" s="1"/>
      <c r="AV190" s="1"/>
      <c r="AW190" s="1"/>
      <c r="AX190" s="1"/>
      <c r="AY190" s="1"/>
    </row>
    <row r="191" spans="1:105" ht="19.95" customHeight="1">
      <c r="A191" s="199"/>
      <c r="B191" s="1277"/>
      <c r="C191" s="1277"/>
      <c r="D191" s="1277"/>
      <c r="E191" s="1277"/>
      <c r="F191" s="1277"/>
      <c r="G191" s="1277"/>
      <c r="H191" s="1277"/>
      <c r="I191" s="1277"/>
      <c r="J191" s="1277"/>
      <c r="K191" s="1277"/>
      <c r="L191" s="1277"/>
      <c r="M191" s="1277"/>
      <c r="N191" s="200"/>
      <c r="O191" s="199"/>
      <c r="P191" s="24"/>
      <c r="Q191" s="24"/>
      <c r="R191" s="24"/>
      <c r="S191" s="24"/>
      <c r="T191" s="24"/>
      <c r="U191" s="24"/>
      <c r="V191" s="24"/>
      <c r="W191" s="24"/>
      <c r="X191" s="24"/>
      <c r="Y191" s="24"/>
      <c r="Z191" s="24"/>
      <c r="AA191" s="24"/>
      <c r="AB191" s="200"/>
      <c r="AC191" s="1"/>
      <c r="AD191" s="1"/>
      <c r="AE191" s="1"/>
      <c r="AF191" s="1"/>
      <c r="AG191" s="1"/>
      <c r="AH191" s="1"/>
      <c r="AI191" s="1"/>
      <c r="AJ191" s="1"/>
      <c r="AK191" s="1"/>
      <c r="AL191" s="1"/>
      <c r="AM191" s="1"/>
      <c r="AN191" s="1"/>
      <c r="AO191" s="1"/>
      <c r="AP191" s="1"/>
      <c r="AQ191" s="1"/>
      <c r="AR191" s="1"/>
      <c r="AS191" s="1"/>
      <c r="AT191" s="1"/>
      <c r="AU191" s="1"/>
      <c r="AV191" s="1"/>
      <c r="AW191" s="1"/>
      <c r="AX191" s="1"/>
      <c r="AY191" s="1"/>
    </row>
    <row r="192" spans="1:105" ht="4.95" customHeight="1">
      <c r="A192" s="199"/>
      <c r="B192" s="390"/>
      <c r="C192" s="390"/>
      <c r="D192" s="390"/>
      <c r="E192" s="390"/>
      <c r="F192" s="390"/>
      <c r="G192" s="390"/>
      <c r="H192" s="390"/>
      <c r="I192" s="390"/>
      <c r="J192" s="390"/>
      <c r="K192" s="390"/>
      <c r="L192" s="390"/>
      <c r="M192" s="390"/>
      <c r="N192" s="200"/>
      <c r="O192" s="199"/>
      <c r="P192" s="24"/>
      <c r="Q192" s="24"/>
      <c r="R192" s="24"/>
      <c r="S192" s="24"/>
      <c r="T192" s="24"/>
      <c r="U192" s="24"/>
      <c r="V192" s="24"/>
      <c r="W192" s="24"/>
      <c r="X192" s="24"/>
      <c r="Y192" s="24"/>
      <c r="Z192" s="24"/>
      <c r="AA192" s="24"/>
      <c r="AB192" s="200"/>
      <c r="AC192" s="1"/>
      <c r="AD192" s="1"/>
      <c r="AE192" s="1"/>
      <c r="AF192" s="1"/>
      <c r="AG192" s="1"/>
      <c r="AH192" s="1"/>
      <c r="AI192" s="1"/>
      <c r="AJ192" s="1"/>
      <c r="AK192" s="1"/>
      <c r="AL192" s="1"/>
      <c r="AM192" s="1"/>
      <c r="AN192" s="1"/>
      <c r="AO192" s="1"/>
      <c r="AP192" s="1"/>
      <c r="AQ192" s="1"/>
      <c r="AR192" s="1"/>
      <c r="AS192" s="1"/>
      <c r="AT192" s="1"/>
      <c r="AU192" s="1"/>
      <c r="AV192" s="1"/>
      <c r="AW192" s="1"/>
      <c r="AX192" s="1"/>
      <c r="AY192" s="1"/>
    </row>
    <row r="193" spans="1:68" ht="19.95" customHeight="1">
      <c r="A193" s="199"/>
      <c r="B193" s="591"/>
      <c r="C193" s="391"/>
      <c r="D193" s="1327" t="s">
        <v>1789</v>
      </c>
      <c r="E193" s="1328"/>
      <c r="F193" s="1328"/>
      <c r="G193" s="1328"/>
      <c r="H193" s="1302" t="s">
        <v>1788</v>
      </c>
      <c r="I193" s="1302"/>
      <c r="J193" s="1302"/>
      <c r="K193" s="1303"/>
      <c r="L193" s="391"/>
      <c r="M193" s="593"/>
      <c r="N193" s="200"/>
      <c r="O193" s="199"/>
      <c r="P193" s="24"/>
      <c r="Q193" s="24"/>
      <c r="R193" s="24"/>
      <c r="S193" s="24"/>
      <c r="T193" s="24"/>
      <c r="U193" s="24"/>
      <c r="V193" s="24"/>
      <c r="W193" s="24"/>
      <c r="X193" s="24"/>
      <c r="Y193" s="24"/>
      <c r="Z193" s="24"/>
      <c r="AA193" s="24"/>
      <c r="AB193" s="200"/>
      <c r="AC193" s="1"/>
      <c r="AD193" s="1"/>
      <c r="AE193" s="1"/>
      <c r="AF193" s="1"/>
      <c r="AG193" s="1"/>
      <c r="AH193" s="1"/>
      <c r="AI193" s="1"/>
      <c r="AJ193" s="1"/>
      <c r="AK193" s="1"/>
      <c r="AL193" s="1"/>
      <c r="AM193" s="1"/>
      <c r="AN193" s="1"/>
      <c r="AO193" s="1"/>
      <c r="AP193" s="1"/>
      <c r="AQ193" s="1"/>
      <c r="AR193" s="1"/>
      <c r="AS193" s="1"/>
      <c r="AT193" s="1"/>
      <c r="AU193" s="1"/>
      <c r="AV193" s="1"/>
      <c r="AW193" s="1"/>
      <c r="AX193" s="1"/>
      <c r="AY193" s="1"/>
    </row>
    <row r="194" spans="1:68" ht="19.95" customHeight="1">
      <c r="A194" s="199"/>
      <c r="B194" s="591"/>
      <c r="C194" s="391"/>
      <c r="D194" s="1327"/>
      <c r="E194" s="1328"/>
      <c r="F194" s="1328"/>
      <c r="G194" s="1328"/>
      <c r="H194" s="1302"/>
      <c r="I194" s="1302"/>
      <c r="J194" s="1302"/>
      <c r="K194" s="1303"/>
      <c r="L194" s="391"/>
      <c r="M194" s="593"/>
      <c r="N194" s="200"/>
      <c r="O194" s="199"/>
      <c r="P194" s="24"/>
      <c r="Q194" s="24"/>
      <c r="R194" s="24"/>
      <c r="S194" s="24"/>
      <c r="T194" s="24"/>
      <c r="U194" s="24"/>
      <c r="V194" s="24"/>
      <c r="W194" s="24"/>
      <c r="X194" s="24"/>
      <c r="Y194" s="24"/>
      <c r="Z194" s="24"/>
      <c r="AA194" s="24"/>
      <c r="AB194" s="200"/>
      <c r="AC194" s="1"/>
      <c r="AD194" s="1"/>
      <c r="AE194" s="1"/>
      <c r="AF194" s="1"/>
      <c r="AG194" s="1"/>
      <c r="AH194" s="1"/>
      <c r="AI194" s="1"/>
      <c r="AJ194" s="1"/>
      <c r="AK194" s="1"/>
      <c r="AL194" s="1"/>
      <c r="AM194" s="1"/>
      <c r="AN194" s="1"/>
      <c r="AO194" s="1"/>
      <c r="AP194" s="1"/>
      <c r="AQ194" s="1"/>
      <c r="AR194" s="1"/>
      <c r="AS194" s="1"/>
      <c r="AT194" s="1"/>
      <c r="AU194" s="1"/>
      <c r="AV194" s="1"/>
      <c r="AW194" s="1"/>
      <c r="AX194" s="1"/>
      <c r="AY194" s="1"/>
    </row>
    <row r="195" spans="1:68" ht="19.95" customHeight="1">
      <c r="A195" s="199"/>
      <c r="B195" s="591"/>
      <c r="C195" s="391"/>
      <c r="D195" s="1327"/>
      <c r="E195" s="1328"/>
      <c r="F195" s="1328"/>
      <c r="G195" s="1328"/>
      <c r="H195" s="1302"/>
      <c r="I195" s="1302"/>
      <c r="J195" s="1302"/>
      <c r="K195" s="1303"/>
      <c r="L195" s="391"/>
      <c r="M195" s="593"/>
      <c r="N195" s="200"/>
      <c r="O195" s="199"/>
      <c r="P195" s="24"/>
      <c r="Q195" s="24"/>
      <c r="R195" s="24"/>
      <c r="S195" s="24"/>
      <c r="T195" s="24"/>
      <c r="U195" s="24"/>
      <c r="V195" s="24"/>
      <c r="W195" s="24"/>
      <c r="X195" s="24"/>
      <c r="Y195" s="24"/>
      <c r="Z195" s="24"/>
      <c r="AA195" s="24"/>
      <c r="AB195" s="200"/>
      <c r="AC195" s="1"/>
      <c r="AD195" s="1"/>
      <c r="AE195" s="1"/>
      <c r="AF195" s="1"/>
      <c r="AG195" s="1"/>
      <c r="AH195" s="1"/>
      <c r="AI195" s="1"/>
      <c r="AJ195" s="1"/>
      <c r="AK195" s="1"/>
      <c r="AL195" s="1"/>
      <c r="AM195" s="1"/>
      <c r="AN195" s="1"/>
      <c r="AO195" s="1"/>
      <c r="AP195" s="1"/>
      <c r="AQ195" s="1"/>
      <c r="AR195" s="1"/>
      <c r="AS195" s="1"/>
      <c r="AT195" s="1"/>
      <c r="AU195" s="1"/>
      <c r="AV195" s="1"/>
      <c r="AW195" s="1"/>
      <c r="AX195" s="1"/>
      <c r="AY195" s="1"/>
    </row>
    <row r="196" spans="1:68" ht="19.95" customHeight="1">
      <c r="A196" s="199"/>
      <c r="B196" s="591"/>
      <c r="C196" s="391"/>
      <c r="D196" s="1327"/>
      <c r="E196" s="1328"/>
      <c r="F196" s="1328"/>
      <c r="G196" s="1328"/>
      <c r="H196" s="1302"/>
      <c r="I196" s="1302"/>
      <c r="J196" s="1302"/>
      <c r="K196" s="1303"/>
      <c r="L196" s="391"/>
      <c r="M196" s="593"/>
      <c r="N196" s="200"/>
      <c r="O196" s="199"/>
      <c r="P196" s="24"/>
      <c r="Q196" s="24"/>
      <c r="R196" s="24"/>
      <c r="S196" s="24"/>
      <c r="T196" s="24"/>
      <c r="U196" s="24"/>
      <c r="V196" s="24"/>
      <c r="W196" s="24"/>
      <c r="X196" s="24"/>
      <c r="Y196" s="24"/>
      <c r="Z196" s="24"/>
      <c r="AA196" s="24"/>
      <c r="AB196" s="200"/>
      <c r="AC196" s="1"/>
      <c r="AD196" s="1"/>
      <c r="AE196" s="1"/>
      <c r="AF196" s="1"/>
      <c r="AG196" s="1"/>
      <c r="AH196" s="1"/>
      <c r="AI196" s="1"/>
      <c r="AJ196" s="1"/>
      <c r="AK196" s="1"/>
      <c r="AL196" s="1"/>
      <c r="AM196" s="1"/>
      <c r="AN196" s="1"/>
      <c r="AO196" s="1"/>
      <c r="AP196" s="1"/>
      <c r="AQ196" s="1"/>
      <c r="AR196" s="1"/>
      <c r="AS196" s="1"/>
      <c r="AT196" s="1"/>
      <c r="AU196" s="1"/>
      <c r="AV196" s="1"/>
      <c r="AW196" s="1"/>
      <c r="AX196" s="1"/>
      <c r="AY196" s="1"/>
    </row>
    <row r="197" spans="1:68" ht="19.95" customHeight="1" thickBot="1">
      <c r="A197" s="199"/>
      <c r="B197" s="592"/>
      <c r="C197" s="589"/>
      <c r="D197" s="1329"/>
      <c r="E197" s="1330"/>
      <c r="F197" s="1330"/>
      <c r="G197" s="1330"/>
      <c r="H197" s="1304"/>
      <c r="I197" s="1304"/>
      <c r="J197" s="1304"/>
      <c r="K197" s="1305"/>
      <c r="L197" s="590"/>
      <c r="M197" s="594"/>
      <c r="N197" s="200"/>
      <c r="O197" s="199"/>
      <c r="P197" s="24"/>
      <c r="Q197" s="24"/>
      <c r="R197" s="24"/>
      <c r="S197" s="24"/>
      <c r="T197" s="24"/>
      <c r="U197" s="24"/>
      <c r="V197" s="24"/>
      <c r="W197" s="24"/>
      <c r="X197" s="24"/>
      <c r="Y197" s="24"/>
      <c r="Z197" s="24"/>
      <c r="AA197" s="24"/>
      <c r="AB197" s="200"/>
      <c r="AC197" s="1"/>
      <c r="AD197" s="1"/>
      <c r="AE197" s="1"/>
      <c r="AF197" s="1"/>
      <c r="AG197" s="1"/>
      <c r="AH197" s="1"/>
      <c r="AI197" s="1"/>
      <c r="AJ197" s="1"/>
      <c r="AK197" s="1"/>
      <c r="AL197" s="1"/>
      <c r="AM197" s="1"/>
      <c r="AN197" s="1"/>
      <c r="AO197" s="1"/>
      <c r="AP197" s="1"/>
      <c r="AQ197" s="1"/>
      <c r="AR197" s="1"/>
      <c r="AS197" s="1"/>
      <c r="AT197" s="1"/>
      <c r="AU197" s="1"/>
      <c r="AV197" s="1"/>
      <c r="AW197" s="1"/>
      <c r="AX197" s="1"/>
      <c r="AY197" s="1"/>
    </row>
    <row r="198" spans="1:68" ht="4.8" customHeight="1">
      <c r="A198" s="199"/>
      <c r="B198" s="391"/>
      <c r="C198" s="391"/>
      <c r="D198" s="395"/>
      <c r="E198" s="395"/>
      <c r="F198" s="395"/>
      <c r="G198" s="395"/>
      <c r="H198" s="458"/>
      <c r="I198" s="458"/>
      <c r="J198" s="458"/>
      <c r="K198" s="458"/>
      <c r="L198" s="391"/>
      <c r="M198" s="391"/>
      <c r="N198" s="200"/>
      <c r="O198" s="199"/>
      <c r="P198" s="24"/>
      <c r="Q198" s="24"/>
      <c r="R198" s="24"/>
      <c r="S198" s="24"/>
      <c r="T198" s="24"/>
      <c r="U198" s="24"/>
      <c r="V198" s="24"/>
      <c r="W198" s="24"/>
      <c r="X198" s="24"/>
      <c r="Y198" s="24"/>
      <c r="Z198" s="24"/>
      <c r="AA198" s="24"/>
      <c r="AB198" s="200"/>
      <c r="AC198" s="1"/>
      <c r="AD198" s="1"/>
      <c r="AE198" s="1"/>
      <c r="AF198" s="1"/>
      <c r="AG198" s="1"/>
      <c r="AH198" s="1"/>
      <c r="AI198" s="1"/>
      <c r="AJ198" s="1"/>
      <c r="AK198" s="1"/>
      <c r="AL198" s="1"/>
      <c r="AM198" s="1"/>
      <c r="AN198" s="1"/>
      <c r="AO198" s="1"/>
      <c r="AP198" s="1"/>
      <c r="AQ198" s="1"/>
      <c r="AR198" s="1"/>
      <c r="AS198" s="1"/>
      <c r="AT198" s="1"/>
      <c r="AU198" s="1"/>
      <c r="AV198" s="1"/>
      <c r="AW198" s="1"/>
      <c r="AX198" s="1"/>
      <c r="AY198" s="1"/>
    </row>
    <row r="199" spans="1:68" ht="19.05" customHeight="1">
      <c r="A199" s="199"/>
      <c r="B199" s="1277" t="s">
        <v>1592</v>
      </c>
      <c r="C199" s="1277"/>
      <c r="D199" s="1277"/>
      <c r="E199" s="1277"/>
      <c r="F199" s="1277"/>
      <c r="G199" s="1277"/>
      <c r="H199" s="1277"/>
      <c r="I199" s="1277"/>
      <c r="J199" s="1277"/>
      <c r="K199" s="1277"/>
      <c r="L199" s="1277"/>
      <c r="M199" s="1277"/>
      <c r="N199" s="200"/>
      <c r="O199" s="199"/>
      <c r="P199" s="24"/>
      <c r="Q199" s="24"/>
      <c r="R199" s="24"/>
      <c r="S199" s="24"/>
      <c r="T199" s="24"/>
      <c r="U199" s="24"/>
      <c r="V199" s="24"/>
      <c r="W199" s="24"/>
      <c r="X199" s="24"/>
      <c r="Y199" s="24"/>
      <c r="Z199" s="24"/>
      <c r="AA199" s="24"/>
      <c r="AB199" s="200"/>
      <c r="AC199" s="1"/>
      <c r="AD199" s="1"/>
      <c r="AE199" s="1"/>
      <c r="AF199" s="1"/>
      <c r="AG199" s="1"/>
      <c r="AH199" s="1"/>
      <c r="AI199" s="1"/>
      <c r="AJ199" s="1"/>
      <c r="AK199" s="1"/>
      <c r="AL199" s="1"/>
      <c r="AM199" s="1"/>
      <c r="AN199" s="1"/>
      <c r="AO199" s="1"/>
      <c r="AP199" s="1"/>
      <c r="AQ199" s="1"/>
      <c r="AR199" s="1"/>
      <c r="AS199" s="1"/>
      <c r="AT199" s="1"/>
      <c r="AU199" s="1"/>
      <c r="AV199" s="1"/>
      <c r="AW199" s="1"/>
      <c r="AX199" s="1"/>
      <c r="AY199" s="1"/>
    </row>
    <row r="200" spans="1:68" ht="19.05" customHeight="1">
      <c r="A200" s="199"/>
      <c r="B200" s="1277"/>
      <c r="C200" s="1277"/>
      <c r="D200" s="1277"/>
      <c r="E200" s="1277"/>
      <c r="F200" s="1277"/>
      <c r="G200" s="1277"/>
      <c r="H200" s="1277"/>
      <c r="I200" s="1277"/>
      <c r="J200" s="1277"/>
      <c r="K200" s="1277"/>
      <c r="L200" s="1277"/>
      <c r="M200" s="1277"/>
      <c r="N200" s="200"/>
      <c r="O200" s="199"/>
      <c r="P200" s="24"/>
      <c r="Q200" s="24"/>
      <c r="R200" s="24"/>
      <c r="S200" s="24"/>
      <c r="T200" s="24"/>
      <c r="U200" s="24"/>
      <c r="V200" s="24"/>
      <c r="W200" s="24"/>
      <c r="X200" s="24"/>
      <c r="Y200" s="24"/>
      <c r="Z200" s="24"/>
      <c r="AA200" s="24"/>
      <c r="AB200" s="200"/>
      <c r="AC200" s="1"/>
      <c r="AD200" s="1"/>
      <c r="AE200" s="1"/>
      <c r="AF200" s="1"/>
      <c r="AG200" s="1"/>
      <c r="AH200" s="1"/>
      <c r="AI200" s="1"/>
      <c r="AJ200" s="1"/>
      <c r="AK200" s="1"/>
      <c r="AL200" s="1"/>
      <c r="AM200" s="1"/>
      <c r="AN200" s="1"/>
      <c r="AO200" s="1"/>
      <c r="AP200" s="1"/>
      <c r="AQ200" s="1"/>
      <c r="AR200" s="1"/>
      <c r="AS200" s="1"/>
      <c r="AT200" s="1"/>
      <c r="AU200" s="1"/>
      <c r="AV200" s="1"/>
      <c r="AW200" s="1"/>
      <c r="AX200" s="1"/>
      <c r="AY200" s="1"/>
    </row>
    <row r="201" spans="1:68" ht="19.05" customHeight="1">
      <c r="A201" s="199"/>
      <c r="B201" s="1277"/>
      <c r="C201" s="1277"/>
      <c r="D201" s="1277"/>
      <c r="E201" s="1277"/>
      <c r="F201" s="1277"/>
      <c r="G201" s="1277"/>
      <c r="H201" s="1277"/>
      <c r="I201" s="1277"/>
      <c r="J201" s="1277"/>
      <c r="K201" s="1277"/>
      <c r="L201" s="1277"/>
      <c r="M201" s="1277"/>
      <c r="N201" s="200"/>
      <c r="O201" s="199"/>
      <c r="P201" s="24"/>
      <c r="Q201" s="24"/>
      <c r="R201" s="24"/>
      <c r="S201" s="24"/>
      <c r="T201" s="24"/>
      <c r="U201" s="24"/>
      <c r="V201" s="24"/>
      <c r="W201" s="24"/>
      <c r="X201" s="24"/>
      <c r="Y201" s="24"/>
      <c r="Z201" s="24"/>
      <c r="AA201" s="24"/>
      <c r="AB201" s="200"/>
      <c r="AC201" s="1"/>
      <c r="AD201" s="1"/>
      <c r="AE201" s="1"/>
      <c r="AF201" s="1"/>
      <c r="AG201" s="1"/>
      <c r="AH201" s="1"/>
      <c r="AI201" s="1"/>
      <c r="AJ201" s="1"/>
      <c r="AK201" s="1"/>
      <c r="AL201" s="1"/>
      <c r="AM201" s="1"/>
      <c r="AN201" s="1"/>
      <c r="AO201" s="1"/>
      <c r="AP201" s="1"/>
      <c r="AQ201" s="1"/>
      <c r="AR201" s="1"/>
      <c r="AS201" s="1"/>
      <c r="AT201" s="1"/>
      <c r="AU201" s="1"/>
      <c r="AV201" s="1"/>
      <c r="AW201" s="1"/>
      <c r="AX201" s="1"/>
      <c r="AY201" s="1"/>
    </row>
    <row r="202" spans="1:68" ht="4.95" customHeight="1">
      <c r="A202" s="201"/>
      <c r="B202" s="202"/>
      <c r="C202" s="202"/>
      <c r="D202" s="202"/>
      <c r="E202" s="202"/>
      <c r="F202" s="202"/>
      <c r="G202" s="202"/>
      <c r="H202" s="202"/>
      <c r="I202" s="202"/>
      <c r="J202" s="202"/>
      <c r="K202" s="202"/>
      <c r="L202" s="202"/>
      <c r="M202" s="202"/>
      <c r="N202" s="200"/>
      <c r="O202" s="199"/>
      <c r="P202" s="202"/>
      <c r="Q202" s="202"/>
      <c r="R202" s="202"/>
      <c r="S202" s="202"/>
      <c r="T202" s="202"/>
      <c r="U202" s="202"/>
      <c r="V202" s="202"/>
      <c r="W202" s="202"/>
      <c r="X202" s="202"/>
      <c r="Y202" s="202"/>
      <c r="Z202" s="202"/>
      <c r="AA202" s="202"/>
      <c r="AB202" s="203"/>
      <c r="AC202" s="1"/>
      <c r="AD202" s="1"/>
      <c r="AE202" s="1"/>
      <c r="AF202" s="1"/>
      <c r="AG202" s="1"/>
      <c r="AH202" s="1"/>
      <c r="AI202" s="1"/>
      <c r="AJ202" s="1"/>
      <c r="AK202" s="1"/>
      <c r="AL202" s="1"/>
      <c r="AM202" s="1"/>
      <c r="AN202" s="1"/>
      <c r="AO202" s="1"/>
      <c r="AP202" s="1"/>
      <c r="AQ202" s="1"/>
      <c r="AR202" s="1"/>
      <c r="AS202" s="1"/>
      <c r="AT202" s="1"/>
      <c r="AU202" s="1"/>
      <c r="AV202" s="1"/>
      <c r="AW202" s="1"/>
      <c r="AX202" s="1"/>
      <c r="AY202" s="1"/>
    </row>
    <row r="203" spans="1:68" ht="30" customHeight="1">
      <c r="A203" s="210" t="s">
        <v>1148</v>
      </c>
      <c r="B203" s="1307" t="s">
        <v>1270</v>
      </c>
      <c r="C203" s="1307"/>
      <c r="D203" s="1307"/>
      <c r="E203" s="1307"/>
      <c r="F203" s="1307"/>
      <c r="G203" s="1307"/>
      <c r="H203" s="1307"/>
      <c r="I203" s="1307"/>
      <c r="J203" s="1307"/>
      <c r="K203" s="1307"/>
      <c r="L203" s="1307"/>
      <c r="M203" s="1307"/>
      <c r="N203" s="211" t="s">
        <v>1149</v>
      </c>
      <c r="O203" s="210"/>
      <c r="P203" s="198"/>
      <c r="Q203" s="198"/>
      <c r="R203" s="198"/>
      <c r="S203" s="198"/>
      <c r="T203" s="198"/>
      <c r="U203" s="198"/>
      <c r="V203" s="198"/>
      <c r="W203" s="198"/>
      <c r="X203" s="198"/>
      <c r="Y203" s="198"/>
      <c r="Z203" s="198"/>
      <c r="AA203" s="198"/>
      <c r="AB203" s="211" t="s">
        <v>1149</v>
      </c>
      <c r="AC203" s="577"/>
      <c r="AD203" s="577"/>
      <c r="AE203" s="577"/>
      <c r="AF203" s="577"/>
      <c r="AG203" s="577"/>
      <c r="AH203" s="577"/>
      <c r="AI203" s="577"/>
      <c r="AJ203" s="577"/>
      <c r="AK203" s="577"/>
      <c r="AL203" s="577"/>
      <c r="AM203" s="577"/>
      <c r="AN203" s="577"/>
      <c r="AO203" s="577"/>
      <c r="AP203" s="577"/>
      <c r="AQ203" s="577"/>
      <c r="AR203" s="577"/>
      <c r="AS203" s="577"/>
      <c r="AT203" s="577"/>
      <c r="AU203" s="577"/>
      <c r="AV203" s="577"/>
      <c r="AW203" s="577"/>
      <c r="AX203" s="577"/>
      <c r="AY203" s="577"/>
      <c r="BM203" s="2" t="str">
        <f>IF($H$1122="",CONCATENATE("a ",I1094," stance"),$H$1122)</f>
        <v>soft borders</v>
      </c>
      <c r="BN203" s="409" t="str">
        <f>IF(I1094=0,""," on the issue ")</f>
        <v xml:space="preserve"> on the issue </v>
      </c>
      <c r="BO203" s="2" t="str">
        <f>IF(D1124="","raised",CONCATENATE("of ",$D$1124))</f>
        <v>of immigration</v>
      </c>
      <c r="BP203" s="409" t="str">
        <f>IF(I1094=0,"",", you can suspect their ")</f>
        <v xml:space="preserve">, you can suspect their </v>
      </c>
    </row>
    <row r="204" spans="1:68" ht="10.050000000000001" customHeight="1">
      <c r="A204" s="199"/>
      <c r="B204" s="24"/>
      <c r="C204" s="24"/>
      <c r="D204" s="24"/>
      <c r="E204" s="24"/>
      <c r="F204" s="24"/>
      <c r="G204" s="24"/>
      <c r="H204" s="24"/>
      <c r="I204" s="24"/>
      <c r="J204" s="24"/>
      <c r="K204" s="24"/>
      <c r="L204" s="24"/>
      <c r="M204" s="24"/>
      <c r="N204" s="200"/>
      <c r="O204" s="199"/>
      <c r="P204" s="24"/>
      <c r="Q204" s="24"/>
      <c r="R204" s="24"/>
      <c r="S204" s="24"/>
      <c r="T204" s="24"/>
      <c r="U204" s="24"/>
      <c r="V204" s="24"/>
      <c r="W204" s="24"/>
      <c r="X204" s="24"/>
      <c r="Y204" s="24"/>
      <c r="Z204" s="24"/>
      <c r="AA204" s="24"/>
      <c r="AB204" s="200"/>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BM204" s="2" t="str">
        <f>B1105</f>
        <v>LIBERAL</v>
      </c>
      <c r="BO204" s="46" t="s">
        <v>1602</v>
      </c>
    </row>
    <row r="205" spans="1:68" ht="19.95" customHeight="1">
      <c r="A205" s="199"/>
      <c r="B205" s="588" t="s">
        <v>1796</v>
      </c>
      <c r="C205" s="397"/>
      <c r="D205" s="397"/>
      <c r="E205" s="397"/>
      <c r="F205" s="397"/>
      <c r="G205" s="397"/>
      <c r="H205" s="397"/>
      <c r="I205" s="397"/>
      <c r="J205" s="397"/>
      <c r="K205" s="397"/>
      <c r="L205" s="397"/>
      <c r="M205" s="397"/>
      <c r="N205" s="200"/>
      <c r="O205" s="199"/>
      <c r="P205" s="24"/>
      <c r="Q205" s="24"/>
      <c r="R205" s="24"/>
      <c r="S205" s="24"/>
      <c r="T205" s="24"/>
      <c r="U205" s="24"/>
      <c r="V205" s="24"/>
      <c r="W205" s="24"/>
      <c r="X205" s="24"/>
      <c r="Y205" s="24"/>
      <c r="Z205" s="24"/>
      <c r="AA205" s="24"/>
      <c r="AB205" s="200"/>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BM205" s="2" t="str">
        <f>B1112</f>
        <v>CONSERVATIVE</v>
      </c>
      <c r="BO205" s="46" t="s">
        <v>1603</v>
      </c>
    </row>
    <row r="206" spans="1:68" ht="10.050000000000001" customHeight="1">
      <c r="A206" s="199"/>
      <c r="B206" s="397"/>
      <c r="C206" s="397"/>
      <c r="D206" s="397"/>
      <c r="E206" s="397"/>
      <c r="F206" s="397"/>
      <c r="G206" s="397"/>
      <c r="H206" s="397"/>
      <c r="I206" s="397"/>
      <c r="J206" s="397"/>
      <c r="K206" s="397"/>
      <c r="L206" s="397"/>
      <c r="M206" s="397"/>
      <c r="N206" s="200"/>
      <c r="O206" s="199"/>
      <c r="P206" s="24"/>
      <c r="Q206" s="24"/>
      <c r="R206" s="24"/>
      <c r="S206" s="24"/>
      <c r="T206" s="24"/>
      <c r="U206" s="24"/>
      <c r="V206" s="24"/>
      <c r="W206" s="24"/>
      <c r="X206" s="24"/>
      <c r="Y206" s="24"/>
      <c r="Z206" s="24"/>
      <c r="AA206" s="24"/>
      <c r="AB206" s="200"/>
      <c r="AC206" s="1"/>
      <c r="AD206" s="1"/>
      <c r="AE206" s="1"/>
      <c r="AF206" s="1"/>
      <c r="AG206" s="1"/>
      <c r="AH206" s="1"/>
      <c r="AI206" s="1"/>
      <c r="AJ206" s="1"/>
      <c r="AK206" s="1"/>
      <c r="AL206" s="1"/>
      <c r="AM206" s="1"/>
      <c r="AN206" s="1"/>
      <c r="AO206" s="1"/>
      <c r="AP206" s="1"/>
      <c r="AQ206" s="1"/>
      <c r="AR206" s="1"/>
      <c r="AS206" s="1"/>
      <c r="AT206" s="1"/>
      <c r="AU206" s="1"/>
      <c r="AV206" s="1"/>
      <c r="AW206" s="1"/>
      <c r="AX206" s="1"/>
      <c r="AY206" s="1"/>
    </row>
    <row r="207" spans="1:68" ht="19.95" customHeight="1">
      <c r="A207" s="199"/>
      <c r="B207" s="1277" t="str">
        <f>BF207</f>
        <v>This HP tool helps you translate your client's political rhetoric into their current priority of needs. First, at the level of access to public resources to address their immigration-related needs. Second, at the deeper level of their impacted psychosocial needs. 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C207" s="1277"/>
      <c r="D207" s="1277"/>
      <c r="E207" s="1277"/>
      <c r="F207" s="1277"/>
      <c r="G207" s="1277"/>
      <c r="H207" s="1277"/>
      <c r="I207" s="1277"/>
      <c r="J207" s="1277"/>
      <c r="K207" s="1277"/>
      <c r="L207" s="1277"/>
      <c r="M207" s="1277"/>
      <c r="N207" s="200"/>
      <c r="O207" s="199"/>
      <c r="P207" s="24"/>
      <c r="Q207" s="24"/>
      <c r="R207" s="24"/>
      <c r="S207" s="24"/>
      <c r="T207" s="24"/>
      <c r="U207" s="24"/>
      <c r="V207" s="24"/>
      <c r="W207" s="24"/>
      <c r="X207" s="24"/>
      <c r="Y207" s="24"/>
      <c r="Z207" s="24"/>
      <c r="AA207" s="24"/>
      <c r="AB207" s="200"/>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BF207" s="459" t="str">
        <f>CONCATENATE(BH207,BI207,BJ207,BK207)</f>
        <v>This HP tool helps you translate your client's political rhetoric into their current priority of needs. First, at the level of access to public resources to address their immigration-related needs. Second, at the deeper level of their impacted psychosocial needs. 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BH207" s="409" t="s">
        <v>1606</v>
      </c>
      <c r="BI207" s="2" t="str">
        <f>IF($D$1124="","issue",$D$1124)</f>
        <v>immigration</v>
      </c>
      <c r="BJ207" s="410" t="s">
        <v>1795</v>
      </c>
      <c r="BK207" s="46" t="str">
        <f>IF(I1094=0,BK209,BK208)</f>
        <v>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BM207" s="2" t="str">
        <f>IF($BO$211=$BM$204,BO204,IF($BO$211=$BM$205,BO205,""))</f>
        <v>self-needs, like authenticity and privacy</v>
      </c>
      <c r="BN207" s="409" t="str">
        <f>IF(I1094=0,"",", are more resolved than their ")</f>
        <v xml:space="preserve">, are more resolved than their </v>
      </c>
      <c r="BO207" s="2" t="str">
        <f>IF($BO$211=$BM$204,BM208,IF($BO$211=$BM$205,BM209,""))</f>
        <v>social-needs, like inclusion and fairness</v>
      </c>
      <c r="BP207" s="409" t="str">
        <f>IF(I1094=0,"",". You can affirm the needs themselves, without premature agreement or disagreement for what to do about them.")</f>
        <v>. You can affirm the needs themselves, without premature agreement or disagreement for what to do about them.</v>
      </c>
    </row>
    <row r="208" spans="1:68" ht="19.95" customHeight="1">
      <c r="A208" s="199"/>
      <c r="B208" s="1277"/>
      <c r="C208" s="1277"/>
      <c r="D208" s="1277"/>
      <c r="E208" s="1277"/>
      <c r="F208" s="1277"/>
      <c r="G208" s="1277"/>
      <c r="H208" s="1277"/>
      <c r="I208" s="1277"/>
      <c r="J208" s="1277"/>
      <c r="K208" s="1277"/>
      <c r="L208" s="1277"/>
      <c r="M208" s="1277"/>
      <c r="N208" s="200"/>
      <c r="O208" s="199"/>
      <c r="P208" s="24"/>
      <c r="Q208" s="24"/>
      <c r="R208" s="24"/>
      <c r="S208" s="24"/>
      <c r="T208" s="24"/>
      <c r="U208" s="24"/>
      <c r="V208" s="24"/>
      <c r="W208" s="24"/>
      <c r="X208" s="24"/>
      <c r="Y208" s="24"/>
      <c r="Z208" s="24"/>
      <c r="AA208" s="24"/>
      <c r="AB208" s="200"/>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BK208" s="565" t="str">
        <f>CONCATENATE(BL208,BM203,BN203,BO203,BP203,BM207,BN207,BO207,BP207,BU208,BV208)</f>
        <v>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BL208" s="465" t="str">
        <f>IF($I$1094=0,BK209,"If your client favors ")</f>
        <v xml:space="preserve">If your client favors </v>
      </c>
      <c r="BM208" s="46" t="s">
        <v>1604</v>
      </c>
    </row>
    <row r="209" spans="1:67" ht="19.95" customHeight="1">
      <c r="A209" s="199"/>
      <c r="B209" s="1277"/>
      <c r="C209" s="1277"/>
      <c r="D209" s="1277"/>
      <c r="E209" s="1277"/>
      <c r="F209" s="1277"/>
      <c r="G209" s="1277"/>
      <c r="H209" s="1277"/>
      <c r="I209" s="1277"/>
      <c r="J209" s="1277"/>
      <c r="K209" s="1277"/>
      <c r="L209" s="1277"/>
      <c r="M209" s="1277"/>
      <c r="N209" s="200"/>
      <c r="O209" s="199"/>
      <c r="P209" s="24"/>
      <c r="Q209" s="24"/>
      <c r="R209" s="24"/>
      <c r="S209" s="24"/>
      <c r="T209" s="24"/>
      <c r="U209" s="24"/>
      <c r="V209" s="24"/>
      <c r="W209" s="24"/>
      <c r="X209" s="24"/>
      <c r="Y209" s="24"/>
      <c r="Z209" s="24"/>
      <c r="AA209" s="24"/>
      <c r="AB209" s="200"/>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BK209" s="564" t="s">
        <v>1797</v>
      </c>
      <c r="BM209" s="46" t="s">
        <v>1605</v>
      </c>
    </row>
    <row r="210" spans="1:67" ht="19.95" customHeight="1">
      <c r="A210" s="199"/>
      <c r="B210" s="1277"/>
      <c r="C210" s="1277"/>
      <c r="D210" s="1277"/>
      <c r="E210" s="1277"/>
      <c r="F210" s="1277"/>
      <c r="G210" s="1277"/>
      <c r="H210" s="1277"/>
      <c r="I210" s="1277"/>
      <c r="J210" s="1277"/>
      <c r="K210" s="1277"/>
      <c r="L210" s="1277"/>
      <c r="M210" s="1277"/>
      <c r="N210" s="200"/>
      <c r="O210" s="199"/>
      <c r="P210" s="24"/>
      <c r="Q210" s="24"/>
      <c r="R210" s="24"/>
      <c r="S210" s="24"/>
      <c r="T210" s="24"/>
      <c r="U210" s="24"/>
      <c r="V210" s="24"/>
      <c r="W210" s="24"/>
      <c r="X210" s="24"/>
      <c r="Y210" s="24"/>
      <c r="Z210" s="24"/>
      <c r="AA210" s="24"/>
      <c r="AB210" s="200"/>
      <c r="AC210" s="1"/>
      <c r="AD210" s="1"/>
      <c r="AE210" s="1"/>
      <c r="AF210" s="1"/>
      <c r="AG210" s="1"/>
      <c r="AH210" s="1"/>
      <c r="AI210" s="1"/>
      <c r="AJ210" s="1"/>
      <c r="AK210" s="1"/>
      <c r="AL210" s="1"/>
      <c r="AM210" s="1"/>
      <c r="AN210" s="1"/>
      <c r="AO210" s="1"/>
      <c r="AP210" s="1"/>
      <c r="AQ210" s="1"/>
      <c r="AR210" s="1"/>
      <c r="AS210" s="1"/>
      <c r="AT210" s="1"/>
      <c r="AU210" s="1"/>
      <c r="AV210" s="1"/>
      <c r="AW210" s="1"/>
      <c r="AX210" s="1"/>
      <c r="AY210" s="1"/>
    </row>
    <row r="211" spans="1:67" ht="19.95" customHeight="1">
      <c r="A211" s="199"/>
      <c r="B211" s="1277"/>
      <c r="C211" s="1277"/>
      <c r="D211" s="1277"/>
      <c r="E211" s="1277"/>
      <c r="F211" s="1277"/>
      <c r="G211" s="1277"/>
      <c r="H211" s="1277"/>
      <c r="I211" s="1277"/>
      <c r="J211" s="1277"/>
      <c r="K211" s="1277"/>
      <c r="L211" s="1277"/>
      <c r="M211" s="1277"/>
      <c r="N211" s="200"/>
      <c r="O211" s="199"/>
      <c r="P211" s="24"/>
      <c r="Q211" s="24"/>
      <c r="R211" s="24"/>
      <c r="S211" s="24"/>
      <c r="T211" s="24"/>
      <c r="U211" s="24"/>
      <c r="V211" s="24"/>
      <c r="W211" s="24"/>
      <c r="X211" s="24"/>
      <c r="Y211" s="24"/>
      <c r="Z211" s="24"/>
      <c r="AA211" s="24"/>
      <c r="AB211" s="200"/>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BO211" s="2" t="str">
        <f>E1094</f>
        <v>LIBERAL</v>
      </c>
    </row>
    <row r="212" spans="1:67" ht="19.95" customHeight="1">
      <c r="A212" s="199"/>
      <c r="B212" s="1277"/>
      <c r="C212" s="1277"/>
      <c r="D212" s="1277"/>
      <c r="E212" s="1277"/>
      <c r="F212" s="1277"/>
      <c r="G212" s="1277"/>
      <c r="H212" s="1277"/>
      <c r="I212" s="1277"/>
      <c r="J212" s="1277"/>
      <c r="K212" s="1277"/>
      <c r="L212" s="1277"/>
      <c r="M212" s="1277"/>
      <c r="N212" s="200"/>
      <c r="O212" s="199"/>
      <c r="P212" s="24"/>
      <c r="Q212" s="24"/>
      <c r="R212" s="24"/>
      <c r="S212" s="24"/>
      <c r="T212" s="24"/>
      <c r="U212" s="24"/>
      <c r="V212" s="24"/>
      <c r="W212" s="24"/>
      <c r="X212" s="24"/>
      <c r="Y212" s="24"/>
      <c r="Z212" s="24"/>
      <c r="AA212" s="24"/>
      <c r="AB212" s="200"/>
      <c r="AC212" s="1"/>
      <c r="AD212" s="1"/>
      <c r="AE212" s="1"/>
      <c r="AF212" s="1"/>
      <c r="AG212" s="1"/>
      <c r="AH212" s="1"/>
      <c r="AI212" s="1"/>
      <c r="AJ212" s="1"/>
      <c r="AK212" s="1"/>
      <c r="AL212" s="1"/>
      <c r="AM212" s="1"/>
      <c r="AN212" s="1"/>
      <c r="AO212" s="1"/>
      <c r="AP212" s="1"/>
      <c r="AQ212" s="1"/>
      <c r="AR212" s="1"/>
      <c r="AS212" s="1"/>
      <c r="AT212" s="1"/>
      <c r="AU212" s="1"/>
      <c r="AV212" s="1"/>
      <c r="AW212" s="1"/>
      <c r="AX212" s="1"/>
      <c r="AY212" s="1"/>
    </row>
    <row r="213" spans="1:67" ht="4.95" customHeight="1">
      <c r="A213" s="199"/>
      <c r="B213" s="24"/>
      <c r="C213" s="24"/>
      <c r="D213" s="24"/>
      <c r="E213" s="24"/>
      <c r="F213" s="24"/>
      <c r="G213" s="24"/>
      <c r="H213" s="24"/>
      <c r="I213" s="24"/>
      <c r="J213" s="24"/>
      <c r="K213" s="24"/>
      <c r="L213" s="24"/>
      <c r="M213" s="24"/>
      <c r="N213" s="200"/>
      <c r="O213" s="199"/>
      <c r="P213" s="24"/>
      <c r="Q213" s="24"/>
      <c r="R213" s="24"/>
      <c r="S213" s="24"/>
      <c r="T213" s="24"/>
      <c r="U213" s="24"/>
      <c r="V213" s="24"/>
      <c r="W213" s="24"/>
      <c r="X213" s="24"/>
      <c r="Y213" s="24"/>
      <c r="Z213" s="24"/>
      <c r="AA213" s="24"/>
      <c r="AB213" s="200"/>
      <c r="AC213" s="1"/>
      <c r="AD213" s="1"/>
      <c r="AE213" s="1"/>
      <c r="AF213" s="1"/>
      <c r="AG213" s="1"/>
      <c r="AH213" s="1"/>
      <c r="AI213" s="1"/>
      <c r="AJ213" s="1"/>
      <c r="AK213" s="1"/>
      <c r="AL213" s="1"/>
      <c r="AM213" s="1"/>
      <c r="AN213" s="1"/>
      <c r="AO213" s="1"/>
      <c r="AP213" s="1"/>
      <c r="AQ213" s="1"/>
      <c r="AR213" s="1"/>
      <c r="AS213" s="1"/>
      <c r="AT213" s="1"/>
      <c r="AU213" s="1"/>
      <c r="AV213" s="1"/>
      <c r="AW213" s="1"/>
      <c r="AX213" s="1"/>
      <c r="AY213" s="1"/>
    </row>
    <row r="214" spans="1:67" ht="19.95" customHeight="1">
      <c r="A214" s="199"/>
      <c r="B214" s="1277" t="str">
        <f>BF214</f>
        <v>Politics lets your client guard their vulnerable needs beneath a cloak of publically supported beliefs. They count on that support to insist what others must do, to respect their immigration-affected needs. They get to check how much you respect their immigration-affected needs. You can show the deepest respect by affirming their underlying needs, without premature agreement or disagreement for what to do about such needs. You acknowledge how important it must be for them to help all immigrants. You offer no judgment how that can serve or hinder their needs.</v>
      </c>
      <c r="C214" s="1277"/>
      <c r="D214" s="1277"/>
      <c r="E214" s="1277"/>
      <c r="F214" s="1277"/>
      <c r="G214" s="1277"/>
      <c r="H214" s="1277"/>
      <c r="I214" s="1277"/>
      <c r="J214" s="1277"/>
      <c r="K214" s="1277"/>
      <c r="L214" s="1277"/>
      <c r="M214" s="1277"/>
      <c r="N214" s="200"/>
      <c r="O214" s="199"/>
      <c r="P214" s="24"/>
      <c r="Q214" s="24"/>
      <c r="R214" s="24"/>
      <c r="S214" s="24"/>
      <c r="T214" s="24"/>
      <c r="U214" s="24"/>
      <c r="V214" s="24"/>
      <c r="W214" s="24"/>
      <c r="X214" s="24"/>
      <c r="Y214" s="24"/>
      <c r="Z214" s="24"/>
      <c r="AA214" s="24"/>
      <c r="AB214" s="200"/>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BF214" s="459" t="str">
        <f>CONCATENATE(BH214,BI214,BJ214,BK214,BL214,BM214,BN214,BO214)</f>
        <v>Politics lets your client guard their vulnerable needs beneath a cloak of publically supported beliefs. They count on that support to insist what others must do, to respect their immigration-affected needs. They get to check how much you respect their immigration-affected needs. You can show the deepest respect by affirming their underlying needs, without premature agreement or disagreement for what to do about such needs. You acknowledge how important it must be for them to help all immigrants. You offer no judgment how that can serve or hinder their needs.</v>
      </c>
      <c r="BH214" s="409" t="s">
        <v>1607</v>
      </c>
      <c r="BI214" s="2" t="str">
        <f>BI207</f>
        <v>immigration</v>
      </c>
      <c r="BJ214" s="410" t="s">
        <v>1608</v>
      </c>
      <c r="BK214" s="2" t="str">
        <f>BI214</f>
        <v>immigration</v>
      </c>
      <c r="BL214" s="410" t="s">
        <v>1609</v>
      </c>
      <c r="BM214" s="2" t="str">
        <f>IF(R1122="","ease their pain",R1122)</f>
        <v>help all immigrants</v>
      </c>
      <c r="BN214" s="465" t="s">
        <v>1805</v>
      </c>
    </row>
    <row r="215" spans="1:67" ht="19.95" customHeight="1">
      <c r="A215" s="199"/>
      <c r="B215" s="1277"/>
      <c r="C215" s="1277"/>
      <c r="D215" s="1277"/>
      <c r="E215" s="1277"/>
      <c r="F215" s="1277"/>
      <c r="G215" s="1277"/>
      <c r="H215" s="1277"/>
      <c r="I215" s="1277"/>
      <c r="J215" s="1277"/>
      <c r="K215" s="1277"/>
      <c r="L215" s="1277"/>
      <c r="M215" s="1277"/>
      <c r="N215" s="200"/>
      <c r="O215" s="199"/>
      <c r="P215" s="24"/>
      <c r="Q215" s="24"/>
      <c r="R215" s="24"/>
      <c r="S215" s="24"/>
      <c r="T215" s="24"/>
      <c r="U215" s="24"/>
      <c r="V215" s="24"/>
      <c r="W215" s="24"/>
      <c r="X215" s="24"/>
      <c r="Y215" s="24"/>
      <c r="Z215" s="24"/>
      <c r="AA215" s="24"/>
      <c r="AB215" s="200"/>
      <c r="AC215" s="1"/>
      <c r="AD215" s="1"/>
      <c r="AE215" s="1"/>
      <c r="AF215" s="1"/>
      <c r="AG215" s="1"/>
      <c r="AH215" s="1"/>
      <c r="AI215" s="1"/>
      <c r="AJ215" s="1"/>
      <c r="AK215" s="1"/>
      <c r="AL215" s="1"/>
      <c r="AM215" s="1"/>
      <c r="AN215" s="1"/>
      <c r="AO215" s="1"/>
      <c r="AP215" s="1"/>
      <c r="AQ215" s="1"/>
      <c r="AR215" s="1"/>
      <c r="AS215" s="1"/>
      <c r="AT215" s="1"/>
      <c r="AU215" s="1"/>
      <c r="AV215" s="1"/>
      <c r="AW215" s="1"/>
      <c r="AX215" s="1"/>
      <c r="AY215" s="1"/>
    </row>
    <row r="216" spans="1:67" ht="19.95" customHeight="1">
      <c r="A216" s="199"/>
      <c r="B216" s="1277"/>
      <c r="C216" s="1277"/>
      <c r="D216" s="1277"/>
      <c r="E216" s="1277"/>
      <c r="F216" s="1277"/>
      <c r="G216" s="1277"/>
      <c r="H216" s="1277"/>
      <c r="I216" s="1277"/>
      <c r="J216" s="1277"/>
      <c r="K216" s="1277"/>
      <c r="L216" s="1277"/>
      <c r="M216" s="1277"/>
      <c r="N216" s="200"/>
      <c r="O216" s="199"/>
      <c r="P216" s="24"/>
      <c r="Q216" s="24"/>
      <c r="R216" s="24"/>
      <c r="S216" s="24"/>
      <c r="T216" s="24"/>
      <c r="U216" s="24"/>
      <c r="V216" s="24"/>
      <c r="W216" s="24"/>
      <c r="X216" s="24"/>
      <c r="Y216" s="24"/>
      <c r="Z216" s="24"/>
      <c r="AA216" s="24"/>
      <c r="AB216" s="200"/>
      <c r="AC216" s="1"/>
      <c r="AD216" s="1"/>
      <c r="AE216" s="1"/>
      <c r="AF216" s="1"/>
      <c r="AG216" s="1"/>
      <c r="AH216" s="1"/>
      <c r="AI216" s="1"/>
      <c r="AJ216" s="1"/>
      <c r="AK216" s="1"/>
      <c r="AL216" s="1"/>
      <c r="AM216" s="1"/>
      <c r="AN216" s="1"/>
      <c r="AO216" s="1"/>
      <c r="AP216" s="1"/>
      <c r="AQ216" s="1"/>
      <c r="AR216" s="1"/>
      <c r="AS216" s="1"/>
      <c r="AT216" s="1"/>
      <c r="AU216" s="1"/>
      <c r="AV216" s="1"/>
      <c r="AW216" s="1"/>
      <c r="AX216" s="1"/>
      <c r="AY216" s="1"/>
    </row>
    <row r="217" spans="1:67" ht="19.95" customHeight="1">
      <c r="A217" s="199"/>
      <c r="B217" s="1277"/>
      <c r="C217" s="1277"/>
      <c r="D217" s="1277"/>
      <c r="E217" s="1277"/>
      <c r="F217" s="1277"/>
      <c r="G217" s="1277"/>
      <c r="H217" s="1277"/>
      <c r="I217" s="1277"/>
      <c r="J217" s="1277"/>
      <c r="K217" s="1277"/>
      <c r="L217" s="1277"/>
      <c r="M217" s="1277"/>
      <c r="N217" s="200"/>
      <c r="O217" s="199"/>
      <c r="P217" s="24"/>
      <c r="Q217" s="24"/>
      <c r="R217" s="24"/>
      <c r="S217" s="24"/>
      <c r="T217" s="24"/>
      <c r="U217" s="24"/>
      <c r="V217" s="24"/>
      <c r="W217" s="24"/>
      <c r="X217" s="24"/>
      <c r="Y217" s="24"/>
      <c r="Z217" s="24"/>
      <c r="AA217" s="24"/>
      <c r="AB217" s="200"/>
      <c r="AC217" s="1"/>
      <c r="AD217" s="1"/>
      <c r="AE217" s="1"/>
      <c r="AF217" s="1"/>
      <c r="AG217" s="1"/>
      <c r="AH217" s="1"/>
      <c r="AI217" s="1"/>
      <c r="AJ217" s="1"/>
      <c r="AK217" s="1"/>
      <c r="AL217" s="1"/>
      <c r="AM217" s="1"/>
      <c r="AN217" s="1"/>
      <c r="AO217" s="1"/>
      <c r="AP217" s="1"/>
      <c r="AQ217" s="1"/>
      <c r="AR217" s="1"/>
      <c r="AS217" s="1"/>
      <c r="AT217" s="1"/>
      <c r="AU217" s="1"/>
      <c r="AV217" s="1"/>
      <c r="AW217" s="1"/>
      <c r="AX217" s="1"/>
      <c r="AY217" s="1"/>
    </row>
    <row r="218" spans="1:67" ht="19.95" customHeight="1">
      <c r="A218" s="199"/>
      <c r="B218" s="1277"/>
      <c r="C218" s="1277"/>
      <c r="D218" s="1277"/>
      <c r="E218" s="1277"/>
      <c r="F218" s="1277"/>
      <c r="G218" s="1277"/>
      <c r="H218" s="1277"/>
      <c r="I218" s="1277"/>
      <c r="J218" s="1277"/>
      <c r="K218" s="1277"/>
      <c r="L218" s="1277"/>
      <c r="M218" s="1277"/>
      <c r="N218" s="200"/>
      <c r="O218" s="199"/>
      <c r="P218" s="24"/>
      <c r="Q218" s="24"/>
      <c r="R218" s="24"/>
      <c r="S218" s="24"/>
      <c r="T218" s="24"/>
      <c r="U218" s="24"/>
      <c r="V218" s="24"/>
      <c r="W218" s="24"/>
      <c r="X218" s="24"/>
      <c r="Y218" s="24"/>
      <c r="Z218" s="24"/>
      <c r="AA218" s="24"/>
      <c r="AB218" s="200"/>
      <c r="AC218" s="1"/>
      <c r="AD218" s="1"/>
      <c r="AE218" s="1"/>
      <c r="AF218" s="1"/>
      <c r="AG218" s="1"/>
      <c r="AH218" s="1"/>
      <c r="AI218" s="1"/>
      <c r="AJ218" s="1"/>
      <c r="AK218" s="1"/>
      <c r="AL218" s="1"/>
      <c r="AM218" s="1"/>
      <c r="AN218" s="1"/>
      <c r="AO218" s="1"/>
      <c r="AP218" s="1"/>
      <c r="AQ218" s="1"/>
      <c r="AR218" s="1"/>
      <c r="AS218" s="1"/>
      <c r="AT218" s="1"/>
      <c r="AU218" s="1"/>
      <c r="AV218" s="1"/>
      <c r="AW218" s="1"/>
      <c r="AX218" s="1"/>
      <c r="AY218" s="1"/>
    </row>
    <row r="219" spans="1:67" ht="19.95" customHeight="1">
      <c r="A219" s="199"/>
      <c r="B219" s="1277"/>
      <c r="C219" s="1277"/>
      <c r="D219" s="1277"/>
      <c r="E219" s="1277"/>
      <c r="F219" s="1277"/>
      <c r="G219" s="1277"/>
      <c r="H219" s="1277"/>
      <c r="I219" s="1277"/>
      <c r="J219" s="1277"/>
      <c r="K219" s="1277"/>
      <c r="L219" s="1277"/>
      <c r="M219" s="1277"/>
      <c r="N219" s="200"/>
      <c r="O219" s="199"/>
      <c r="P219" s="24"/>
      <c r="Q219" s="24"/>
      <c r="R219" s="24"/>
      <c r="S219" s="24"/>
      <c r="T219" s="24"/>
      <c r="U219" s="24"/>
      <c r="V219" s="24"/>
      <c r="W219" s="24"/>
      <c r="X219" s="24"/>
      <c r="Y219" s="24"/>
      <c r="Z219" s="24"/>
      <c r="AA219" s="24"/>
      <c r="AB219" s="200"/>
      <c r="AC219" s="1"/>
      <c r="AD219" s="1"/>
      <c r="AE219" s="1"/>
      <c r="AF219" s="1"/>
      <c r="AG219" s="1"/>
      <c r="AH219" s="1"/>
      <c r="AI219" s="1"/>
      <c r="AJ219" s="1"/>
      <c r="AK219" s="1"/>
      <c r="AL219" s="1"/>
      <c r="AM219" s="1"/>
      <c r="AN219" s="1"/>
      <c r="AO219" s="1"/>
      <c r="AP219" s="1"/>
      <c r="AQ219" s="1"/>
      <c r="AR219" s="1"/>
      <c r="AS219" s="1"/>
      <c r="AT219" s="1"/>
      <c r="AU219" s="1"/>
      <c r="AV219" s="1"/>
      <c r="AW219" s="1"/>
      <c r="AX219" s="1"/>
      <c r="AY219" s="1"/>
    </row>
    <row r="220" spans="1:67" ht="4.95" customHeight="1">
      <c r="A220" s="199"/>
      <c r="B220" s="24"/>
      <c r="C220" s="24"/>
      <c r="D220" s="24"/>
      <c r="E220" s="24"/>
      <c r="F220" s="24"/>
      <c r="G220" s="24"/>
      <c r="H220" s="24"/>
      <c r="I220" s="24"/>
      <c r="J220" s="24"/>
      <c r="K220" s="24"/>
      <c r="L220" s="24"/>
      <c r="M220" s="24"/>
      <c r="N220" s="200"/>
      <c r="O220" s="199"/>
      <c r="P220" s="24"/>
      <c r="Q220" s="24"/>
      <c r="R220" s="24"/>
      <c r="S220" s="24"/>
      <c r="T220" s="24"/>
      <c r="U220" s="24"/>
      <c r="V220" s="24"/>
      <c r="W220" s="24"/>
      <c r="X220" s="24"/>
      <c r="Y220" s="24"/>
      <c r="Z220" s="24"/>
      <c r="AA220" s="24"/>
      <c r="AB220" s="200"/>
      <c r="AC220" s="1"/>
      <c r="AD220" s="1"/>
      <c r="AE220" s="1"/>
      <c r="AF220" s="1"/>
      <c r="AG220" s="1"/>
      <c r="AH220" s="1"/>
      <c r="AI220" s="1"/>
      <c r="AJ220" s="1"/>
      <c r="AK220" s="1"/>
      <c r="AL220" s="1"/>
      <c r="AM220" s="1"/>
      <c r="AN220" s="1"/>
      <c r="AO220" s="1"/>
      <c r="AP220" s="1"/>
      <c r="AQ220" s="1"/>
      <c r="AR220" s="1"/>
      <c r="AS220" s="1"/>
      <c r="AT220" s="1"/>
      <c r="AU220" s="1"/>
      <c r="AV220" s="1"/>
      <c r="AW220" s="1"/>
      <c r="AX220" s="1"/>
      <c r="AY220" s="1"/>
    </row>
    <row r="221" spans="1:67" ht="19.95" customHeight="1">
      <c r="A221" s="199"/>
      <c r="B221" s="1277" t="str">
        <f>BF221</f>
        <v>As an honored role in this helping profession, you are more helpful when guiding your client beyond the fragile certainty of immigration politics. You can offer much more value by helpling them link their experience of needs behind their guarded views. "Before we get to that," you can tell your client seeking your agreement, "Let's get right to the point. Let's address your needs behind those views." You work with your client to cultivate the honesty necesary to process their vulnerably affected needs.</v>
      </c>
      <c r="C221" s="1277"/>
      <c r="D221" s="1277"/>
      <c r="E221" s="1277"/>
      <c r="F221" s="1277"/>
      <c r="G221" s="1277"/>
      <c r="H221" s="1277"/>
      <c r="I221" s="1277"/>
      <c r="J221" s="1277"/>
      <c r="K221" s="1277"/>
      <c r="L221" s="1277"/>
      <c r="M221" s="1277"/>
      <c r="N221" s="200"/>
      <c r="O221" s="199"/>
      <c r="P221" s="24"/>
      <c r="Q221" s="24"/>
      <c r="R221" s="24"/>
      <c r="S221" s="24"/>
      <c r="T221" s="24"/>
      <c r="U221" s="24"/>
      <c r="V221" s="24"/>
      <c r="W221" s="24"/>
      <c r="X221" s="24"/>
      <c r="Y221" s="24"/>
      <c r="Z221" s="24"/>
      <c r="AA221" s="24"/>
      <c r="AB221" s="200"/>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BF221" s="459" t="str">
        <f>CONCATENATE(BH221,BI221,BJ221,BK221,BL221,BM221,BN221,BO221)</f>
        <v>As an honored role in this helping profession, you are more helpful when guiding your client beyond the fragile certainty of immigration politics. You can offer much more value by helpling them link their experience of needs behind their guarded views. "Before we get to that," you can tell your client seeking your agreement, "Let's get right to the point. Let's address your needs behind those views." You work with your client to cultivate the honesty necesary to process their vulnerably affected needs.</v>
      </c>
      <c r="BH221" s="409" t="s">
        <v>1807</v>
      </c>
      <c r="BI221" s="2" t="str">
        <f>IF($H$101="","expressed",$BI$214)</f>
        <v>immigration</v>
      </c>
      <c r="BJ221" s="465" t="s">
        <v>1808</v>
      </c>
    </row>
    <row r="222" spans="1:67" ht="19.95" customHeight="1">
      <c r="A222" s="199"/>
      <c r="B222" s="1277"/>
      <c r="C222" s="1277"/>
      <c r="D222" s="1277"/>
      <c r="E222" s="1277"/>
      <c r="F222" s="1277"/>
      <c r="G222" s="1277"/>
      <c r="H222" s="1277"/>
      <c r="I222" s="1277"/>
      <c r="J222" s="1277"/>
      <c r="K222" s="1277"/>
      <c r="L222" s="1277"/>
      <c r="M222" s="1277"/>
      <c r="N222" s="200"/>
      <c r="O222" s="199"/>
      <c r="P222" s="24"/>
      <c r="Q222" s="24"/>
      <c r="R222" s="24"/>
      <c r="S222" s="24"/>
      <c r="T222" s="24"/>
      <c r="U222" s="24"/>
      <c r="V222" s="24"/>
      <c r="W222" s="24"/>
      <c r="X222" s="24"/>
      <c r="Y222" s="24"/>
      <c r="Z222" s="24"/>
      <c r="AA222" s="24"/>
      <c r="AB222" s="200"/>
      <c r="AC222" s="1"/>
      <c r="AD222" s="1"/>
      <c r="AE222" s="1"/>
      <c r="AF222" s="1"/>
      <c r="AG222" s="1"/>
      <c r="AH222" s="1"/>
      <c r="AI222" s="1"/>
      <c r="AJ222" s="1"/>
      <c r="AK222" s="1"/>
      <c r="AL222" s="1"/>
      <c r="AM222" s="1"/>
      <c r="AN222" s="1"/>
      <c r="AO222" s="1"/>
      <c r="AP222" s="1"/>
      <c r="AQ222" s="1"/>
      <c r="AR222" s="1"/>
      <c r="AS222" s="1"/>
      <c r="AT222" s="1"/>
      <c r="AU222" s="1"/>
      <c r="AV222" s="1"/>
      <c r="AW222" s="1"/>
      <c r="AX222" s="1"/>
      <c r="AY222" s="1"/>
    </row>
    <row r="223" spans="1:67" ht="19.95" customHeight="1">
      <c r="A223" s="199"/>
      <c r="B223" s="1277"/>
      <c r="C223" s="1277"/>
      <c r="D223" s="1277"/>
      <c r="E223" s="1277"/>
      <c r="F223" s="1277"/>
      <c r="G223" s="1277"/>
      <c r="H223" s="1277"/>
      <c r="I223" s="1277"/>
      <c r="J223" s="1277"/>
      <c r="K223" s="1277"/>
      <c r="L223" s="1277"/>
      <c r="M223" s="1277"/>
      <c r="N223" s="200"/>
      <c r="O223" s="199"/>
      <c r="P223" s="24"/>
      <c r="Q223" s="24"/>
      <c r="R223" s="24"/>
      <c r="S223" s="24"/>
      <c r="T223" s="24"/>
      <c r="U223" s="24"/>
      <c r="V223" s="24"/>
      <c r="W223" s="24"/>
      <c r="X223" s="24"/>
      <c r="Y223" s="24"/>
      <c r="Z223" s="24"/>
      <c r="AA223" s="24"/>
      <c r="AB223" s="200"/>
      <c r="AC223" s="1"/>
      <c r="AD223" s="1"/>
      <c r="AE223" s="1"/>
      <c r="AF223" s="1"/>
      <c r="AG223" s="1"/>
      <c r="AH223" s="1"/>
      <c r="AI223" s="1"/>
      <c r="AJ223" s="1"/>
      <c r="AK223" s="1"/>
      <c r="AL223" s="1"/>
      <c r="AM223" s="1"/>
      <c r="AN223" s="1"/>
      <c r="AO223" s="1"/>
      <c r="AP223" s="1"/>
      <c r="AQ223" s="1"/>
      <c r="AR223" s="1"/>
      <c r="AS223" s="1"/>
      <c r="AT223" s="1"/>
      <c r="AU223" s="1"/>
      <c r="AV223" s="1"/>
      <c r="AW223" s="1"/>
      <c r="AX223" s="1"/>
      <c r="AY223" s="1"/>
    </row>
    <row r="224" spans="1:67" ht="19.95" customHeight="1">
      <c r="A224" s="199"/>
      <c r="B224" s="1277"/>
      <c r="C224" s="1277"/>
      <c r="D224" s="1277"/>
      <c r="E224" s="1277"/>
      <c r="F224" s="1277"/>
      <c r="G224" s="1277"/>
      <c r="H224" s="1277"/>
      <c r="I224" s="1277"/>
      <c r="J224" s="1277"/>
      <c r="K224" s="1277"/>
      <c r="L224" s="1277"/>
      <c r="M224" s="1277"/>
      <c r="N224" s="200"/>
      <c r="O224" s="199"/>
      <c r="P224" s="24"/>
      <c r="Q224" s="24"/>
      <c r="R224" s="24"/>
      <c r="S224" s="24"/>
      <c r="T224" s="24"/>
      <c r="U224" s="24"/>
      <c r="V224" s="24"/>
      <c r="W224" s="24"/>
      <c r="X224" s="24"/>
      <c r="Y224" s="24"/>
      <c r="Z224" s="24"/>
      <c r="AA224" s="24"/>
      <c r="AB224" s="200"/>
      <c r="AC224" s="1"/>
      <c r="AD224" s="1"/>
      <c r="AE224" s="1"/>
      <c r="AF224" s="1"/>
      <c r="AG224" s="1"/>
      <c r="AH224" s="1"/>
      <c r="AI224" s="1"/>
      <c r="AJ224" s="1"/>
      <c r="AK224" s="1"/>
      <c r="AL224" s="1"/>
      <c r="AM224" s="1"/>
      <c r="AN224" s="1"/>
      <c r="AO224" s="1"/>
      <c r="AP224" s="1"/>
      <c r="AQ224" s="1"/>
      <c r="AR224" s="1"/>
      <c r="AS224" s="1"/>
      <c r="AT224" s="1"/>
      <c r="AU224" s="1"/>
      <c r="AV224" s="1"/>
      <c r="AW224" s="1"/>
      <c r="AX224" s="1"/>
      <c r="AY224" s="1"/>
    </row>
    <row r="225" spans="1:113" ht="19.95" customHeight="1">
      <c r="A225" s="199"/>
      <c r="B225" s="1277"/>
      <c r="C225" s="1277"/>
      <c r="D225" s="1277"/>
      <c r="E225" s="1277"/>
      <c r="F225" s="1277"/>
      <c r="G225" s="1277"/>
      <c r="H225" s="1277"/>
      <c r="I225" s="1277"/>
      <c r="J225" s="1277"/>
      <c r="K225" s="1277"/>
      <c r="L225" s="1277"/>
      <c r="M225" s="1277"/>
      <c r="N225" s="200"/>
      <c r="O225" s="199"/>
      <c r="P225" s="24"/>
      <c r="Q225" s="24"/>
      <c r="R225" s="24"/>
      <c r="S225" s="24"/>
      <c r="T225" s="24"/>
      <c r="U225" s="24"/>
      <c r="V225" s="24"/>
      <c r="W225" s="24"/>
      <c r="X225" s="24"/>
      <c r="Y225" s="24"/>
      <c r="Z225" s="24"/>
      <c r="AA225" s="24"/>
      <c r="AB225" s="200"/>
      <c r="AC225" s="1"/>
      <c r="AD225" s="1"/>
      <c r="AE225" s="1"/>
      <c r="AF225" s="1"/>
      <c r="AG225" s="1"/>
      <c r="AH225" s="1"/>
      <c r="AI225" s="1"/>
      <c r="AJ225" s="1"/>
      <c r="AK225" s="1"/>
      <c r="AL225" s="1"/>
      <c r="AM225" s="1"/>
      <c r="AN225" s="1"/>
      <c r="AO225" s="1"/>
      <c r="AP225" s="1"/>
      <c r="AQ225" s="1"/>
      <c r="AR225" s="1"/>
      <c r="AS225" s="1"/>
      <c r="AT225" s="1"/>
      <c r="AU225" s="1"/>
      <c r="AV225" s="1"/>
      <c r="AW225" s="1"/>
      <c r="AX225" s="1"/>
      <c r="AY225" s="1"/>
    </row>
    <row r="226" spans="1:113" ht="19.95" customHeight="1">
      <c r="A226" s="199"/>
      <c r="B226" s="1277"/>
      <c r="C226" s="1277"/>
      <c r="D226" s="1277"/>
      <c r="E226" s="1277"/>
      <c r="F226" s="1277"/>
      <c r="G226" s="1277"/>
      <c r="H226" s="1277"/>
      <c r="I226" s="1277"/>
      <c r="J226" s="1277"/>
      <c r="K226" s="1277"/>
      <c r="L226" s="1277"/>
      <c r="M226" s="1277"/>
      <c r="N226" s="200"/>
      <c r="O226" s="199"/>
      <c r="P226" s="24"/>
      <c r="Q226" s="24"/>
      <c r="R226" s="24"/>
      <c r="S226" s="24"/>
      <c r="T226" s="24"/>
      <c r="U226" s="24"/>
      <c r="V226" s="24"/>
      <c r="W226" s="24"/>
      <c r="X226" s="24"/>
      <c r="Y226" s="24"/>
      <c r="Z226" s="24"/>
      <c r="AA226" s="24"/>
      <c r="AB226" s="200"/>
      <c r="AC226" s="1"/>
      <c r="AD226" s="1"/>
      <c r="AE226" s="1"/>
      <c r="AF226" s="1"/>
      <c r="AG226" s="1"/>
      <c r="AH226" s="1"/>
      <c r="AI226" s="1"/>
      <c r="AJ226" s="1"/>
      <c r="AK226" s="1"/>
      <c r="AL226" s="1"/>
      <c r="AM226" s="1"/>
      <c r="AN226" s="1"/>
      <c r="AO226" s="1"/>
      <c r="AP226" s="1"/>
      <c r="AQ226" s="1"/>
      <c r="AR226" s="1"/>
      <c r="AS226" s="1"/>
      <c r="AT226" s="1"/>
      <c r="AU226" s="1"/>
      <c r="AV226" s="1"/>
      <c r="AW226" s="1"/>
      <c r="AX226" s="1"/>
      <c r="AY226" s="1"/>
    </row>
    <row r="227" spans="1:113" ht="25.05" customHeight="1">
      <c r="A227" s="199"/>
      <c r="B227" s="391"/>
      <c r="C227" s="391"/>
      <c r="D227" s="391"/>
      <c r="E227" s="391"/>
      <c r="F227" s="391"/>
      <c r="G227" s="391"/>
      <c r="H227" s="391"/>
      <c r="I227" s="391"/>
      <c r="J227" s="391"/>
      <c r="K227" s="391"/>
      <c r="L227" s="391"/>
      <c r="M227" s="391"/>
      <c r="N227" s="200"/>
      <c r="O227" s="199"/>
      <c r="P227" s="24"/>
      <c r="Q227" s="24"/>
      <c r="R227" s="24"/>
      <c r="S227" s="24"/>
      <c r="T227" s="24"/>
      <c r="U227" s="24"/>
      <c r="V227" s="24"/>
      <c r="W227" s="24"/>
      <c r="X227" s="24"/>
      <c r="Y227" s="24"/>
      <c r="Z227" s="24"/>
      <c r="AA227" s="24"/>
      <c r="AB227" s="200"/>
      <c r="AC227" s="1"/>
      <c r="AD227" s="1"/>
      <c r="AE227" s="1"/>
      <c r="AF227" s="1"/>
      <c r="AG227" s="1"/>
      <c r="AH227" s="1"/>
      <c r="AI227" s="1"/>
      <c r="AJ227" s="1"/>
      <c r="AK227" s="1"/>
      <c r="AL227" s="1"/>
      <c r="AM227" s="1"/>
      <c r="AN227" s="1"/>
      <c r="AO227" s="1"/>
      <c r="AP227" s="1"/>
      <c r="AQ227" s="1"/>
      <c r="AR227" s="1"/>
      <c r="AS227" s="1"/>
      <c r="AT227" s="1"/>
      <c r="AU227" s="1"/>
      <c r="AV227" s="1"/>
      <c r="AW227" s="1"/>
      <c r="AX227" s="1"/>
      <c r="AY227" s="1"/>
    </row>
    <row r="228" spans="1:113" ht="25.05" customHeight="1">
      <c r="A228" s="199"/>
      <c r="B228" s="391"/>
      <c r="C228" s="391"/>
      <c r="D228" s="391"/>
      <c r="E228" s="391"/>
      <c r="F228" s="391"/>
      <c r="G228" s="391"/>
      <c r="H228" s="391"/>
      <c r="I228" s="391"/>
      <c r="J228" s="391"/>
      <c r="K228" s="391"/>
      <c r="L228" s="391"/>
      <c r="M228" s="391"/>
      <c r="N228" s="200"/>
      <c r="O228" s="199"/>
      <c r="P228" s="24"/>
      <c r="Q228" s="24"/>
      <c r="R228" s="24"/>
      <c r="S228" s="24"/>
      <c r="T228" s="24"/>
      <c r="U228" s="24"/>
      <c r="V228" s="24"/>
      <c r="W228" s="24"/>
      <c r="X228" s="24"/>
      <c r="Y228" s="24"/>
      <c r="Z228" s="24"/>
      <c r="AA228" s="24"/>
      <c r="AB228" s="200"/>
      <c r="AC228" s="1"/>
      <c r="AD228" s="1"/>
      <c r="AE228" s="1"/>
      <c r="AF228" s="1"/>
      <c r="AG228" s="1"/>
      <c r="AH228" s="1"/>
      <c r="AI228" s="1"/>
      <c r="AJ228" s="1"/>
      <c r="AK228" s="1"/>
      <c r="AL228" s="1"/>
      <c r="AM228" s="1"/>
      <c r="AN228" s="1"/>
      <c r="AO228" s="1"/>
      <c r="AP228" s="1"/>
      <c r="AQ228" s="1"/>
      <c r="AR228" s="1"/>
      <c r="AS228" s="1"/>
      <c r="AT228" s="1"/>
      <c r="AU228" s="1"/>
      <c r="AV228" s="1"/>
      <c r="AW228" s="1"/>
      <c r="AX228" s="1"/>
      <c r="AY228" s="1"/>
    </row>
    <row r="229" spans="1:113" ht="19.95" customHeight="1">
      <c r="A229" s="199"/>
      <c r="B229" s="391"/>
      <c r="C229" s="391"/>
      <c r="D229" s="391"/>
      <c r="E229" s="391"/>
      <c r="F229" s="391"/>
      <c r="G229" s="391"/>
      <c r="H229" s="391"/>
      <c r="I229" s="391"/>
      <c r="J229" s="391"/>
      <c r="K229" s="391"/>
      <c r="L229" s="391"/>
      <c r="M229" s="391"/>
      <c r="N229" s="200"/>
      <c r="O229" s="199"/>
      <c r="P229" s="24"/>
      <c r="Q229" s="24"/>
      <c r="R229" s="24"/>
      <c r="S229" s="24"/>
      <c r="T229" s="24"/>
      <c r="U229" s="24"/>
      <c r="V229" s="24"/>
      <c r="W229" s="24"/>
      <c r="X229" s="24"/>
      <c r="Y229" s="24"/>
      <c r="Z229" s="24"/>
      <c r="AA229" s="24"/>
      <c r="AB229" s="200"/>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DA229" s="37"/>
    </row>
    <row r="230" spans="1:113" ht="4.95" customHeight="1">
      <c r="A230" s="199"/>
      <c r="B230" s="391"/>
      <c r="C230" s="391"/>
      <c r="D230" s="391"/>
      <c r="E230" s="391"/>
      <c r="F230" s="391"/>
      <c r="G230" s="391"/>
      <c r="H230" s="391"/>
      <c r="I230" s="391"/>
      <c r="J230" s="391"/>
      <c r="K230" s="391"/>
      <c r="L230" s="391"/>
      <c r="M230" s="391"/>
      <c r="N230" s="200"/>
      <c r="O230" s="199"/>
      <c r="P230" s="24"/>
      <c r="Q230" s="24"/>
      <c r="R230" s="24"/>
      <c r="S230" s="24"/>
      <c r="T230" s="24"/>
      <c r="U230" s="24"/>
      <c r="V230" s="24"/>
      <c r="W230" s="24"/>
      <c r="X230" s="24"/>
      <c r="Y230" s="24"/>
      <c r="Z230" s="24"/>
      <c r="AA230" s="24"/>
      <c r="AB230" s="200"/>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DI230" s="313"/>
    </row>
    <row r="231" spans="1:113" ht="24" customHeight="1">
      <c r="A231" s="199"/>
      <c r="B231" s="1277" t="str">
        <f>BF231</f>
        <v>Politics expresses agreement about ideas, about immigration. You resist that pull, to go straight to the needs affected by immigration. You affirm those needs without jumping ahead to what is to be done about those vulnerable needs affected by immigration. You understand but curb their generalized reactions.</v>
      </c>
      <c r="C231" s="1277"/>
      <c r="D231" s="1277"/>
      <c r="E231" s="1277"/>
      <c r="F231" s="1277"/>
      <c r="G231" s="1277"/>
      <c r="H231" s="1277"/>
      <c r="I231" s="1277"/>
      <c r="J231" s="1277"/>
      <c r="K231" s="1277"/>
      <c r="L231" s="1277"/>
      <c r="M231" s="1277"/>
      <c r="N231" s="200"/>
      <c r="O231" s="199"/>
      <c r="P231" s="24"/>
      <c r="Q231" s="24"/>
      <c r="R231" s="24"/>
      <c r="S231" s="24"/>
      <c r="T231" s="24"/>
      <c r="U231" s="24"/>
      <c r="V231" s="24"/>
      <c r="W231" s="24"/>
      <c r="X231" s="24"/>
      <c r="Y231" s="24"/>
      <c r="Z231" s="24"/>
      <c r="AA231" s="24"/>
      <c r="AB231" s="200"/>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BF231" s="459" t="str">
        <f>CONCATENATE(BH231,BI231,BJ231,BK231,BL231,BM231,BN231,BO231)</f>
        <v>Politics expresses agreement about ideas, about immigration. You resist that pull, to go straight to the needs affected by immigration. You affirm those needs without jumping ahead to what is to be done about those vulnerable needs affected by immigration. You understand but curb their generalized reactions.</v>
      </c>
      <c r="BH231" s="409" t="s">
        <v>1611</v>
      </c>
      <c r="BI231" s="2" t="str">
        <f>IF($D$1124="","what to do about shared problems",$D$1124)</f>
        <v>immigration</v>
      </c>
      <c r="BJ231" s="409" t="s">
        <v>1612</v>
      </c>
      <c r="BK231" s="2" t="str">
        <f>IF($D$1124="","such problems",$D$1124)</f>
        <v>immigration</v>
      </c>
      <c r="BL231" s="409" t="s">
        <v>1613</v>
      </c>
      <c r="BM231" s="2" t="str">
        <f>IF($D$1124="","the politicized issue",$D$1124)</f>
        <v>immigration</v>
      </c>
      <c r="BN231" s="465" t="s">
        <v>1951</v>
      </c>
    </row>
    <row r="232" spans="1:113" ht="24" customHeight="1">
      <c r="A232" s="199"/>
      <c r="B232" s="1277"/>
      <c r="C232" s="1277"/>
      <c r="D232" s="1277"/>
      <c r="E232" s="1277"/>
      <c r="F232" s="1277"/>
      <c r="G232" s="1277"/>
      <c r="H232" s="1277"/>
      <c r="I232" s="1277"/>
      <c r="J232" s="1277"/>
      <c r="K232" s="1277"/>
      <c r="L232" s="1277"/>
      <c r="M232" s="1277"/>
      <c r="N232" s="200"/>
      <c r="O232" s="199"/>
      <c r="P232" s="24"/>
      <c r="Q232" s="24"/>
      <c r="R232" s="24"/>
      <c r="S232" s="24"/>
      <c r="T232" s="24"/>
      <c r="U232" s="24"/>
      <c r="V232" s="24"/>
      <c r="W232" s="24"/>
      <c r="X232" s="24"/>
      <c r="Y232" s="24"/>
      <c r="Z232" s="24"/>
      <c r="AA232" s="24"/>
      <c r="AB232" s="200"/>
      <c r="AC232" s="1"/>
      <c r="AD232" s="1"/>
      <c r="AE232" s="1"/>
      <c r="AF232" s="1"/>
      <c r="AG232" s="1"/>
      <c r="AH232" s="1"/>
      <c r="AI232" s="1"/>
      <c r="AJ232" s="1"/>
      <c r="AK232" s="1"/>
      <c r="AL232" s="1"/>
      <c r="AM232" s="1"/>
      <c r="AN232" s="1"/>
      <c r="AO232" s="1"/>
      <c r="AP232" s="1"/>
      <c r="AQ232" s="1"/>
      <c r="AR232" s="1"/>
      <c r="AS232" s="1"/>
      <c r="AT232" s="1"/>
      <c r="AU232" s="1"/>
      <c r="AV232" s="1"/>
      <c r="AW232" s="1"/>
      <c r="AX232" s="1"/>
      <c r="AY232" s="1"/>
    </row>
    <row r="233" spans="1:113" ht="24" customHeight="1">
      <c r="A233" s="199"/>
      <c r="B233" s="1277"/>
      <c r="C233" s="1277"/>
      <c r="D233" s="1277"/>
      <c r="E233" s="1277"/>
      <c r="F233" s="1277"/>
      <c r="G233" s="1277"/>
      <c r="H233" s="1277"/>
      <c r="I233" s="1277"/>
      <c r="J233" s="1277"/>
      <c r="K233" s="1277"/>
      <c r="L233" s="1277"/>
      <c r="M233" s="1277"/>
      <c r="N233" s="200"/>
      <c r="O233" s="199"/>
      <c r="P233" s="24"/>
      <c r="Q233" s="24"/>
      <c r="R233" s="24"/>
      <c r="S233" s="24"/>
      <c r="T233" s="24"/>
      <c r="U233" s="24"/>
      <c r="V233" s="24"/>
      <c r="W233" s="24"/>
      <c r="X233" s="24"/>
      <c r="Y233" s="24"/>
      <c r="Z233" s="24"/>
      <c r="AA233" s="24"/>
      <c r="AB233" s="200"/>
      <c r="AC233" s="1"/>
      <c r="AD233" s="1"/>
      <c r="AE233" s="1"/>
      <c r="AF233" s="1"/>
      <c r="AG233" s="1"/>
      <c r="AH233" s="1"/>
      <c r="AI233" s="1"/>
      <c r="AJ233" s="1"/>
      <c r="AK233" s="1"/>
      <c r="AL233" s="1"/>
      <c r="AM233" s="1"/>
      <c r="AN233" s="1"/>
      <c r="AO233" s="1"/>
      <c r="AP233" s="1"/>
      <c r="AQ233" s="1"/>
      <c r="AR233" s="1"/>
      <c r="AS233" s="1"/>
      <c r="AT233" s="1"/>
      <c r="AU233" s="1"/>
      <c r="AV233" s="1"/>
      <c r="AW233" s="1"/>
      <c r="AX233" s="1"/>
      <c r="AY233" s="1"/>
    </row>
    <row r="234" spans="1:113" ht="4.95" customHeight="1">
      <c r="A234" s="199"/>
      <c r="B234" s="390"/>
      <c r="C234" s="390"/>
      <c r="D234" s="390"/>
      <c r="E234" s="390"/>
      <c r="F234" s="390"/>
      <c r="G234" s="390"/>
      <c r="H234" s="390"/>
      <c r="I234" s="390"/>
      <c r="J234" s="390"/>
      <c r="K234" s="390"/>
      <c r="L234" s="390"/>
      <c r="M234" s="390"/>
      <c r="N234" s="200"/>
      <c r="O234" s="199"/>
      <c r="P234" s="24"/>
      <c r="Q234" s="24"/>
      <c r="R234" s="24"/>
      <c r="S234" s="24"/>
      <c r="T234" s="24"/>
      <c r="U234" s="24"/>
      <c r="V234" s="24"/>
      <c r="W234" s="24"/>
      <c r="X234" s="24"/>
      <c r="Y234" s="24"/>
      <c r="Z234" s="24"/>
      <c r="AA234" s="24"/>
      <c r="AB234" s="200"/>
      <c r="AC234" s="1"/>
      <c r="AD234" s="1"/>
      <c r="AE234" s="1"/>
      <c r="AF234" s="1"/>
      <c r="AG234" s="1"/>
      <c r="AH234" s="1"/>
      <c r="AI234" s="1"/>
      <c r="AJ234" s="1"/>
      <c r="AK234" s="1"/>
      <c r="AL234" s="1"/>
      <c r="AM234" s="1"/>
      <c r="AN234" s="1"/>
      <c r="AO234" s="1"/>
      <c r="AP234" s="1"/>
      <c r="AQ234" s="1"/>
      <c r="AR234" s="1"/>
      <c r="AS234" s="1"/>
      <c r="AT234" s="1"/>
      <c r="AU234" s="1"/>
      <c r="AV234" s="1"/>
      <c r="AW234" s="1"/>
      <c r="AX234" s="1"/>
      <c r="AY234" s="1"/>
    </row>
    <row r="235" spans="1:113" ht="18" customHeight="1">
      <c r="A235" s="199"/>
      <c r="B235" s="1277" t="str">
        <f>BF235</f>
        <v xml:space="preserve">HP helps you distinguish between the inflexible prioritized needs around immigration, expressed in political terms, and the overgeneralizing expectations to ease such prioritized needs, also expressed in political terms. The former is not only legit but often essential. The latter is often problematic, for both sides. </v>
      </c>
      <c r="C235" s="1277"/>
      <c r="D235" s="1277"/>
      <c r="E235" s="1277"/>
      <c r="F235" s="1277"/>
      <c r="G235" s="1277"/>
      <c r="H235" s="1277"/>
      <c r="I235" s="1277"/>
      <c r="J235" s="1277"/>
      <c r="K235" s="1277"/>
      <c r="L235" s="1277"/>
      <c r="M235" s="1277"/>
      <c r="N235" s="200"/>
      <c r="O235" s="199"/>
      <c r="P235" s="24"/>
      <c r="Q235" s="24"/>
      <c r="R235" s="24"/>
      <c r="S235" s="24"/>
      <c r="T235" s="24"/>
      <c r="U235" s="24"/>
      <c r="V235" s="24"/>
      <c r="W235" s="24"/>
      <c r="X235" s="24"/>
      <c r="Y235" s="24"/>
      <c r="Z235" s="24"/>
      <c r="AA235" s="24"/>
      <c r="AB235" s="200"/>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BF235" s="459" t="str">
        <f>CONCATENATE(BH235,BI235,BJ235,BK235,BL235,BM235,BN235,BO235)</f>
        <v xml:space="preserve">HP helps you distinguish between the inflexible prioritized needs around immigration, expressed in political terms, and the overgeneralizing expectations to ease such prioritized needs, also expressed in political terms. The former is not only legit but often essential. The latter is often problematic, for both sides. </v>
      </c>
      <c r="BH235" s="409" t="s">
        <v>1610</v>
      </c>
      <c r="BI235" s="2" t="str">
        <f>IF($D$1124="","something",CONCATENATE($D$1124,","))</f>
        <v>immigration,</v>
      </c>
      <c r="BJ235" s="465" t="s">
        <v>1809</v>
      </c>
    </row>
    <row r="236" spans="1:113" ht="18" customHeight="1">
      <c r="A236" s="199"/>
      <c r="B236" s="1277"/>
      <c r="C236" s="1277"/>
      <c r="D236" s="1277"/>
      <c r="E236" s="1277"/>
      <c r="F236" s="1277"/>
      <c r="G236" s="1277"/>
      <c r="H236" s="1277"/>
      <c r="I236" s="1277"/>
      <c r="J236" s="1277"/>
      <c r="K236" s="1277"/>
      <c r="L236" s="1277"/>
      <c r="M236" s="1277"/>
      <c r="N236" s="200"/>
      <c r="O236" s="199"/>
      <c r="P236" s="24"/>
      <c r="Q236" s="24"/>
      <c r="R236" s="24"/>
      <c r="S236" s="24"/>
      <c r="T236" s="24"/>
      <c r="U236" s="24"/>
      <c r="V236" s="24"/>
      <c r="W236" s="24"/>
      <c r="X236" s="24"/>
      <c r="Y236" s="24"/>
      <c r="Z236" s="24"/>
      <c r="AA236" s="24"/>
      <c r="AB236" s="200"/>
      <c r="AC236" s="1"/>
      <c r="AD236" s="1"/>
      <c r="AE236" s="1"/>
      <c r="AF236" s="1"/>
      <c r="AG236" s="1"/>
      <c r="AH236" s="1"/>
      <c r="AI236" s="1"/>
      <c r="AJ236" s="1"/>
      <c r="AK236" s="1"/>
      <c r="AL236" s="1"/>
      <c r="AM236" s="1"/>
      <c r="AN236" s="1"/>
      <c r="AO236" s="1"/>
      <c r="AP236" s="1"/>
      <c r="AQ236" s="1"/>
      <c r="AR236" s="1"/>
      <c r="AS236" s="1"/>
      <c r="AT236" s="1"/>
      <c r="AU236" s="1"/>
      <c r="AV236" s="1"/>
      <c r="AW236" s="1"/>
      <c r="AX236" s="1"/>
      <c r="AY236" s="1"/>
    </row>
    <row r="237" spans="1:113" ht="18" customHeight="1">
      <c r="A237" s="199"/>
      <c r="B237" s="1277"/>
      <c r="C237" s="1277"/>
      <c r="D237" s="1277"/>
      <c r="E237" s="1277"/>
      <c r="F237" s="1277"/>
      <c r="G237" s="1277"/>
      <c r="H237" s="1277"/>
      <c r="I237" s="1277"/>
      <c r="J237" s="1277"/>
      <c r="K237" s="1277"/>
      <c r="L237" s="1277"/>
      <c r="M237" s="1277"/>
      <c r="N237" s="200"/>
      <c r="O237" s="199"/>
      <c r="P237" s="24"/>
      <c r="Q237" s="24"/>
      <c r="R237" s="24"/>
      <c r="S237" s="24"/>
      <c r="T237" s="24"/>
      <c r="U237" s="24"/>
      <c r="V237" s="24"/>
      <c r="W237" s="24"/>
      <c r="X237" s="24"/>
      <c r="Y237" s="24"/>
      <c r="Z237" s="24"/>
      <c r="AA237" s="24"/>
      <c r="AB237" s="200"/>
      <c r="AC237" s="1"/>
      <c r="AD237" s="1"/>
      <c r="AE237" s="1"/>
      <c r="AF237" s="1"/>
      <c r="AG237" s="1"/>
      <c r="AH237" s="1"/>
      <c r="AI237" s="1"/>
      <c r="AJ237" s="1"/>
      <c r="AK237" s="1"/>
      <c r="AL237" s="1"/>
      <c r="AM237" s="1"/>
      <c r="AN237" s="1"/>
      <c r="AO237" s="1"/>
      <c r="AP237" s="1"/>
      <c r="AQ237" s="1"/>
      <c r="AR237" s="1"/>
      <c r="AS237" s="1"/>
      <c r="AT237" s="1"/>
      <c r="AU237" s="1"/>
      <c r="AV237" s="1"/>
      <c r="AW237" s="1"/>
      <c r="AX237" s="1"/>
      <c r="AY237" s="1"/>
    </row>
    <row r="238" spans="1:113" ht="18" customHeight="1">
      <c r="A238" s="199"/>
      <c r="B238" s="1277"/>
      <c r="C238" s="1277"/>
      <c r="D238" s="1277"/>
      <c r="E238" s="1277"/>
      <c r="F238" s="1277"/>
      <c r="G238" s="1277"/>
      <c r="H238" s="1277"/>
      <c r="I238" s="1277"/>
      <c r="J238" s="1277"/>
      <c r="K238" s="1277"/>
      <c r="L238" s="1277"/>
      <c r="M238" s="1277"/>
      <c r="N238" s="200"/>
      <c r="O238" s="199"/>
      <c r="P238" s="24"/>
      <c r="Q238" s="24"/>
      <c r="R238" s="24"/>
      <c r="S238" s="24"/>
      <c r="T238" s="24"/>
      <c r="U238" s="24"/>
      <c r="V238" s="24"/>
      <c r="W238" s="24"/>
      <c r="X238" s="24"/>
      <c r="Y238" s="24"/>
      <c r="Z238" s="24"/>
      <c r="AA238" s="24"/>
      <c r="AB238" s="200"/>
      <c r="AC238" s="1"/>
      <c r="AD238" s="1"/>
      <c r="AE238" s="1"/>
      <c r="AF238" s="1"/>
      <c r="AG238" s="1"/>
      <c r="AH238" s="1"/>
      <c r="AI238" s="1"/>
      <c r="AJ238" s="1"/>
      <c r="AK238" s="1"/>
      <c r="AL238" s="1"/>
      <c r="AM238" s="1"/>
      <c r="AN238" s="1"/>
      <c r="AO238" s="1"/>
      <c r="AP238" s="1"/>
      <c r="AQ238" s="1"/>
      <c r="AR238" s="1"/>
      <c r="AS238" s="1"/>
      <c r="AT238" s="1"/>
      <c r="AU238" s="1"/>
      <c r="AV238" s="1"/>
      <c r="AW238" s="1"/>
      <c r="AX238" s="1"/>
      <c r="AY238" s="1"/>
    </row>
    <row r="239" spans="1:113">
      <c r="A239" s="201"/>
      <c r="B239" s="202"/>
      <c r="C239" s="202"/>
      <c r="D239" s="202"/>
      <c r="E239" s="202"/>
      <c r="F239" s="202"/>
      <c r="G239" s="202"/>
      <c r="H239" s="202"/>
      <c r="I239" s="202"/>
      <c r="J239" s="202"/>
      <c r="K239" s="202"/>
      <c r="L239" s="202"/>
      <c r="M239" s="202"/>
      <c r="N239" s="200"/>
      <c r="O239" s="199"/>
      <c r="P239" s="202"/>
      <c r="Q239" s="202"/>
      <c r="R239" s="202"/>
      <c r="S239" s="202"/>
      <c r="T239" s="202"/>
      <c r="U239" s="202"/>
      <c r="V239" s="202"/>
      <c r="W239" s="202"/>
      <c r="X239" s="202"/>
      <c r="Y239" s="202"/>
      <c r="Z239" s="202"/>
      <c r="AA239" s="202"/>
      <c r="AB239" s="203"/>
      <c r="AC239" s="1"/>
      <c r="AD239" s="1"/>
      <c r="AE239" s="1"/>
      <c r="AF239" s="1"/>
      <c r="AG239" s="1"/>
      <c r="AH239" s="1"/>
      <c r="AI239" s="1"/>
      <c r="AJ239" s="1"/>
      <c r="AK239" s="1"/>
      <c r="AL239" s="1"/>
      <c r="AM239" s="1"/>
      <c r="AN239" s="1"/>
      <c r="AO239" s="1"/>
      <c r="AP239" s="1"/>
      <c r="AQ239" s="1"/>
      <c r="AR239" s="1"/>
      <c r="AS239" s="1"/>
      <c r="AT239" s="1"/>
      <c r="AU239" s="1"/>
      <c r="AV239" s="1"/>
      <c r="AW239" s="1"/>
      <c r="AX239" s="1"/>
      <c r="AY239" s="1"/>
    </row>
    <row r="240" spans="1:113" ht="30" customHeight="1">
      <c r="A240" s="210" t="s">
        <v>1148</v>
      </c>
      <c r="B240" s="1307" t="s">
        <v>1271</v>
      </c>
      <c r="C240" s="1307"/>
      <c r="D240" s="1307"/>
      <c r="E240" s="1307"/>
      <c r="F240" s="1307"/>
      <c r="G240" s="1307"/>
      <c r="H240" s="1307"/>
      <c r="I240" s="1307"/>
      <c r="J240" s="1307"/>
      <c r="K240" s="1307"/>
      <c r="L240" s="1307"/>
      <c r="M240" s="1307"/>
      <c r="N240" s="211" t="s">
        <v>1149</v>
      </c>
      <c r="O240" s="210"/>
      <c r="P240" s="204"/>
      <c r="Q240" s="198"/>
      <c r="R240" s="198"/>
      <c r="S240" s="198"/>
      <c r="T240" s="198"/>
      <c r="U240" s="198"/>
      <c r="V240" s="198"/>
      <c r="W240" s="198"/>
      <c r="X240" s="198"/>
      <c r="Y240" s="198"/>
      <c r="Z240" s="198"/>
      <c r="AA240" s="198"/>
      <c r="AB240" s="211" t="s">
        <v>1149</v>
      </c>
      <c r="AC240" s="577"/>
      <c r="AD240" s="577"/>
      <c r="AE240" s="577"/>
      <c r="AF240" s="577"/>
      <c r="AG240" s="577"/>
      <c r="AH240" s="577"/>
      <c r="AI240" s="577"/>
      <c r="AJ240" s="577"/>
      <c r="AK240" s="577"/>
      <c r="AL240" s="577"/>
      <c r="AM240" s="577"/>
      <c r="AN240" s="577"/>
      <c r="AO240" s="577"/>
      <c r="AP240" s="577"/>
      <c r="AQ240" s="577"/>
      <c r="AR240" s="577"/>
      <c r="AS240" s="577"/>
      <c r="AT240" s="577"/>
      <c r="AU240" s="577"/>
      <c r="AV240" s="577"/>
      <c r="AW240" s="577"/>
      <c r="AX240" s="577"/>
      <c r="AY240" s="577"/>
    </row>
    <row r="241" spans="1:68" ht="10.050000000000001" customHeight="1">
      <c r="A241" s="199"/>
      <c r="B241" s="24"/>
      <c r="C241" s="24"/>
      <c r="D241" s="24"/>
      <c r="E241" s="24"/>
      <c r="F241" s="24"/>
      <c r="G241" s="24"/>
      <c r="H241" s="24"/>
      <c r="I241" s="24"/>
      <c r="J241" s="24"/>
      <c r="K241" s="24"/>
      <c r="L241" s="24"/>
      <c r="M241" s="24"/>
      <c r="N241" s="200"/>
      <c r="O241" s="199"/>
      <c r="P241" s="24"/>
      <c r="Q241" s="24"/>
      <c r="R241" s="24"/>
      <c r="S241" s="24"/>
      <c r="T241" s="24"/>
      <c r="U241" s="24"/>
      <c r="V241" s="24"/>
      <c r="W241" s="24"/>
      <c r="X241" s="24"/>
      <c r="Y241" s="24"/>
      <c r="Z241" s="24"/>
      <c r="AA241" s="24"/>
      <c r="AB241" s="200"/>
      <c r="AC241" s="1"/>
      <c r="AD241" s="1"/>
      <c r="AE241" s="1"/>
      <c r="AF241" s="1"/>
      <c r="AG241" s="1"/>
      <c r="AH241" s="1"/>
      <c r="AI241" s="1"/>
      <c r="AJ241" s="1"/>
      <c r="AK241" s="1"/>
      <c r="AL241" s="1"/>
      <c r="AM241" s="1"/>
      <c r="AN241" s="1"/>
      <c r="AO241" s="1"/>
      <c r="AP241" s="1"/>
      <c r="AQ241" s="1"/>
      <c r="AR241" s="1"/>
      <c r="AS241" s="1"/>
      <c r="AT241" s="1"/>
      <c r="AU241" s="1"/>
      <c r="AV241" s="1"/>
      <c r="AW241" s="1"/>
      <c r="AX241" s="1"/>
      <c r="AY241" s="1"/>
    </row>
    <row r="242" spans="1:68" ht="19.95" customHeight="1">
      <c r="A242" s="199"/>
      <c r="B242" s="588" t="s">
        <v>1272</v>
      </c>
      <c r="C242" s="397"/>
      <c r="D242" s="397"/>
      <c r="E242" s="397"/>
      <c r="F242" s="397"/>
      <c r="G242" s="397"/>
      <c r="H242" s="397"/>
      <c r="I242" s="397"/>
      <c r="J242" s="397"/>
      <c r="K242" s="397"/>
      <c r="L242" s="397"/>
      <c r="M242" s="397"/>
      <c r="N242" s="200"/>
      <c r="O242" s="199"/>
      <c r="P242" s="24"/>
      <c r="Q242" s="24"/>
      <c r="R242" s="24"/>
      <c r="S242" s="24"/>
      <c r="T242" s="24"/>
      <c r="U242" s="24"/>
      <c r="V242" s="24"/>
      <c r="W242" s="24"/>
      <c r="X242" s="24"/>
      <c r="Y242" s="24"/>
      <c r="Z242" s="24"/>
      <c r="AA242" s="24"/>
      <c r="AB242" s="200"/>
      <c r="AC242" s="1"/>
      <c r="AD242" s="1"/>
      <c r="AE242" s="1"/>
      <c r="AF242" s="1"/>
      <c r="AG242" s="1"/>
      <c r="AH242" s="1"/>
      <c r="AI242" s="1"/>
      <c r="AJ242" s="1"/>
      <c r="AK242" s="1"/>
      <c r="AL242" s="1"/>
      <c r="AM242" s="1"/>
      <c r="AN242" s="1"/>
      <c r="AO242" s="1"/>
      <c r="AP242" s="1"/>
      <c r="AQ242" s="1"/>
      <c r="AR242" s="1"/>
      <c r="AS242" s="1"/>
      <c r="AT242" s="1"/>
      <c r="AU242" s="1"/>
      <c r="AV242" s="1"/>
      <c r="AW242" s="1"/>
      <c r="AX242" s="1"/>
      <c r="AY242" s="1"/>
    </row>
    <row r="243" spans="1:68" ht="10.050000000000001" customHeight="1">
      <c r="A243" s="199"/>
      <c r="B243" s="397"/>
      <c r="C243" s="397"/>
      <c r="D243" s="397"/>
      <c r="E243" s="397"/>
      <c r="F243" s="397"/>
      <c r="G243" s="397"/>
      <c r="H243" s="397"/>
      <c r="I243" s="397"/>
      <c r="J243" s="397"/>
      <c r="K243" s="397"/>
      <c r="L243" s="397"/>
      <c r="M243" s="397"/>
      <c r="N243" s="200"/>
      <c r="O243" s="199"/>
      <c r="P243" s="24"/>
      <c r="Q243" s="24"/>
      <c r="R243" s="24"/>
      <c r="S243" s="24"/>
      <c r="T243" s="24"/>
      <c r="U243" s="24"/>
      <c r="V243" s="24"/>
      <c r="W243" s="24"/>
      <c r="X243" s="24"/>
      <c r="Y243" s="24"/>
      <c r="Z243" s="24"/>
      <c r="AA243" s="24"/>
      <c r="AB243" s="200"/>
      <c r="AC243" s="1"/>
      <c r="AD243" s="1"/>
      <c r="AE243" s="1"/>
      <c r="AF243" s="1"/>
      <c r="AG243" s="1"/>
      <c r="AH243" s="1"/>
      <c r="AI243" s="1"/>
      <c r="AJ243" s="1"/>
      <c r="AK243" s="1"/>
      <c r="AL243" s="1"/>
      <c r="AM243" s="1"/>
      <c r="AN243" s="1"/>
      <c r="AO243" s="1"/>
      <c r="AP243" s="1"/>
      <c r="AQ243" s="1"/>
      <c r="AR243" s="1"/>
      <c r="AS243" s="1"/>
      <c r="AT243" s="1"/>
      <c r="AU243" s="1"/>
      <c r="AV243" s="1"/>
      <c r="AW243" s="1"/>
      <c r="AX243" s="1"/>
      <c r="AY243" s="1"/>
    </row>
    <row r="244" spans="1:68" ht="19.95" customHeight="1">
      <c r="A244" s="199"/>
      <c r="B244" s="1277" t="str">
        <f>BF244</f>
        <v>Politics is largely a contest around generalizations. The immigration issue starts with the generalization of pitting soft borders against firm borders. Helping your client see beyond this overgeneralizing binary can free them from viewing the other political side as some mortal enemy.  You can help them see unresolved needs on all sides as the true foe.</v>
      </c>
      <c r="C244" s="1277"/>
      <c r="D244" s="1277"/>
      <c r="E244" s="1277"/>
      <c r="F244" s="1277"/>
      <c r="G244" s="1277"/>
      <c r="H244" s="1277"/>
      <c r="I244" s="1277"/>
      <c r="J244" s="1277"/>
      <c r="K244" s="1277"/>
      <c r="L244" s="1277"/>
      <c r="M244" s="1277"/>
      <c r="N244" s="200"/>
      <c r="O244" s="199"/>
      <c r="P244" s="24"/>
      <c r="Q244" s="24"/>
      <c r="R244" s="24"/>
      <c r="S244" s="24"/>
      <c r="T244" s="24"/>
      <c r="U244" s="24"/>
      <c r="V244" s="24"/>
      <c r="W244" s="24"/>
      <c r="X244" s="24"/>
      <c r="Y244" s="24"/>
      <c r="Z244" s="24"/>
      <c r="AA244" s="24"/>
      <c r="AB244" s="200"/>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BF244" s="459" t="str">
        <f>CONCATENATE(BH244,BI244,BJ244,BK244,BL244,BM244,BN244,BO244,BP244,BQ244)</f>
        <v>Politics is largely a contest around generalizations. The immigration issue starts with the generalization of pitting soft borders against firm borders. Helping your client see beyond this overgeneralizing binary can free them from viewing the other political side as some mortal enemy.  You can help them see unresolved needs on all sides as the true foe.</v>
      </c>
      <c r="BH244" s="409" t="s">
        <v>1615</v>
      </c>
      <c r="BI244" s="2" t="str">
        <f>IF(D1124=",","Each",CONCATENATE("The ",$D$1124))</f>
        <v>The immigration</v>
      </c>
      <c r="BJ244" s="409" t="s">
        <v>1616</v>
      </c>
      <c r="BK244" s="2" t="str">
        <f>IF($D$1124="","one side",$H$1122)</f>
        <v>soft borders</v>
      </c>
      <c r="BL244" s="409" t="s">
        <v>1614</v>
      </c>
      <c r="BM244" s="2" t="str">
        <f>IF($D$1124="","another",$I$1122)</f>
        <v>firm borders</v>
      </c>
      <c r="BN244" s="409" t="s">
        <v>1617</v>
      </c>
      <c r="BP244" s="465" t="s">
        <v>1618</v>
      </c>
    </row>
    <row r="245" spans="1:68" ht="19.95" customHeight="1">
      <c r="A245" s="199"/>
      <c r="B245" s="1277"/>
      <c r="C245" s="1277"/>
      <c r="D245" s="1277"/>
      <c r="E245" s="1277"/>
      <c r="F245" s="1277"/>
      <c r="G245" s="1277"/>
      <c r="H245" s="1277"/>
      <c r="I245" s="1277"/>
      <c r="J245" s="1277"/>
      <c r="K245" s="1277"/>
      <c r="L245" s="1277"/>
      <c r="M245" s="1277"/>
      <c r="N245" s="200"/>
      <c r="O245" s="199"/>
      <c r="P245" s="24"/>
      <c r="Q245" s="24"/>
      <c r="R245" s="24"/>
      <c r="S245" s="24"/>
      <c r="T245" s="24"/>
      <c r="U245" s="24"/>
      <c r="V245" s="24"/>
      <c r="W245" s="24"/>
      <c r="X245" s="24"/>
      <c r="Y245" s="24"/>
      <c r="Z245" s="24"/>
      <c r="AA245" s="24"/>
      <c r="AB245" s="200"/>
      <c r="AC245" s="1"/>
      <c r="AD245" s="1"/>
      <c r="AE245" s="1"/>
      <c r="AF245" s="1"/>
      <c r="AG245" s="1"/>
      <c r="AH245" s="1"/>
      <c r="AI245" s="1"/>
      <c r="AJ245" s="1"/>
      <c r="AK245" s="1"/>
      <c r="AL245" s="1"/>
      <c r="AM245" s="1"/>
      <c r="AN245" s="1"/>
      <c r="AO245" s="1"/>
      <c r="AP245" s="1"/>
      <c r="AQ245" s="1"/>
      <c r="AR245" s="1"/>
      <c r="AS245" s="1"/>
      <c r="AT245" s="1"/>
      <c r="AU245" s="1"/>
      <c r="AV245" s="1"/>
      <c r="AW245" s="1"/>
      <c r="AX245" s="1"/>
      <c r="AY245" s="1"/>
    </row>
    <row r="246" spans="1:68" ht="19.95" customHeight="1">
      <c r="A246" s="199"/>
      <c r="B246" s="1277"/>
      <c r="C246" s="1277"/>
      <c r="D246" s="1277"/>
      <c r="E246" s="1277"/>
      <c r="F246" s="1277"/>
      <c r="G246" s="1277"/>
      <c r="H246" s="1277"/>
      <c r="I246" s="1277"/>
      <c r="J246" s="1277"/>
      <c r="K246" s="1277"/>
      <c r="L246" s="1277"/>
      <c r="M246" s="1277"/>
      <c r="N246" s="200"/>
      <c r="O246" s="199"/>
      <c r="P246" s="24"/>
      <c r="Q246" s="24"/>
      <c r="R246" s="24"/>
      <c r="S246" s="24"/>
      <c r="T246" s="24"/>
      <c r="U246" s="24"/>
      <c r="V246" s="24"/>
      <c r="W246" s="24"/>
      <c r="X246" s="24"/>
      <c r="Y246" s="24"/>
      <c r="Z246" s="24"/>
      <c r="AA246" s="24"/>
      <c r="AB246" s="200"/>
      <c r="AC246" s="1"/>
      <c r="AD246" s="1"/>
      <c r="AE246" s="1"/>
      <c r="AF246" s="1"/>
      <c r="AG246" s="1"/>
      <c r="AH246" s="1"/>
      <c r="AI246" s="1"/>
      <c r="AJ246" s="1"/>
      <c r="AK246" s="1"/>
      <c r="AL246" s="1"/>
      <c r="AM246" s="1"/>
      <c r="AN246" s="1"/>
      <c r="AO246" s="1"/>
      <c r="AP246" s="1"/>
      <c r="AQ246" s="1"/>
      <c r="AR246" s="1"/>
      <c r="AS246" s="1"/>
      <c r="AT246" s="1"/>
      <c r="AU246" s="1"/>
      <c r="AV246" s="1"/>
      <c r="AW246" s="1"/>
      <c r="AX246" s="1"/>
      <c r="AY246" s="1"/>
    </row>
    <row r="247" spans="1:68" ht="19.95" customHeight="1">
      <c r="A247" s="199"/>
      <c r="B247" s="1277"/>
      <c r="C247" s="1277"/>
      <c r="D247" s="1277"/>
      <c r="E247" s="1277"/>
      <c r="F247" s="1277"/>
      <c r="G247" s="1277"/>
      <c r="H247" s="1277"/>
      <c r="I247" s="1277"/>
      <c r="J247" s="1277"/>
      <c r="K247" s="1277"/>
      <c r="L247" s="1277"/>
      <c r="M247" s="1277"/>
      <c r="N247" s="200"/>
      <c r="O247" s="199"/>
      <c r="P247" s="24"/>
      <c r="Q247" s="24"/>
      <c r="R247" s="24"/>
      <c r="S247" s="24"/>
      <c r="T247" s="24"/>
      <c r="U247" s="24"/>
      <c r="V247" s="24"/>
      <c r="W247" s="24"/>
      <c r="X247" s="24"/>
      <c r="Y247" s="24"/>
      <c r="Z247" s="24"/>
      <c r="AA247" s="24"/>
      <c r="AB247" s="200"/>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BF247" s="459" t="str">
        <f>IF(OR($I$1094=0,$B$1124=""),BH247,BF249)</f>
        <v xml:space="preserve">Immigration politics pits easy entry against vetted entry. Your clients psychosocial orientation compels them to prioritize the immigration-affected needs of poor immigrants over the immigration-affected needs of U.S. citizens. This positions each other's priority of publicly affected needs against each other. It is about one group generalizing their immigration-related needs as the only standard for society, which disrespects the different immigration-related needs of others. This always exposes a structural error beyond personal control.
</v>
      </c>
      <c r="BH247" s="465" t="s">
        <v>2013</v>
      </c>
    </row>
    <row r="248" spans="1:68" ht="4.95" customHeight="1">
      <c r="A248" s="199"/>
      <c r="B248" s="24"/>
      <c r="C248" s="24"/>
      <c r="D248" s="24"/>
      <c r="E248" s="24"/>
      <c r="F248" s="24"/>
      <c r="G248" s="24"/>
      <c r="H248" s="24"/>
      <c r="I248" s="24"/>
      <c r="J248" s="24"/>
      <c r="K248" s="24"/>
      <c r="L248" s="24"/>
      <c r="M248" s="24"/>
      <c r="N248" s="200"/>
      <c r="O248" s="199"/>
      <c r="P248" s="24"/>
      <c r="Q248" s="24"/>
      <c r="R248" s="24"/>
      <c r="S248" s="24"/>
      <c r="T248" s="24"/>
      <c r="U248" s="24"/>
      <c r="V248" s="24"/>
      <c r="W248" s="24"/>
      <c r="X248" s="24"/>
      <c r="Y248" s="24"/>
      <c r="Z248" s="24"/>
      <c r="AA248" s="24"/>
      <c r="AB248" s="200"/>
      <c r="AC248" s="1"/>
      <c r="AD248" s="1"/>
      <c r="AE248" s="1"/>
      <c r="AF248" s="1"/>
      <c r="AG248" s="1"/>
      <c r="AH248" s="1"/>
      <c r="AI248" s="1"/>
      <c r="AJ248" s="1"/>
      <c r="AK248" s="1"/>
      <c r="AL248" s="1"/>
      <c r="AM248" s="1"/>
      <c r="AN248" s="1"/>
      <c r="AO248" s="1"/>
      <c r="AP248" s="1"/>
      <c r="AQ248" s="1"/>
      <c r="AR248" s="1"/>
      <c r="AS248" s="1"/>
      <c r="AT248" s="1"/>
      <c r="AU248" s="1"/>
      <c r="AV248" s="1"/>
      <c r="AW248" s="1"/>
      <c r="AX248" s="1"/>
      <c r="AY248" s="1"/>
    </row>
    <row r="249" spans="1:68" ht="19.95" customHeight="1">
      <c r="A249" s="199"/>
      <c r="B249" s="1277" t="str">
        <f>BF247</f>
        <v xml:space="preserve">Immigration politics pits easy entry against vetted entry. Your clients psychosocial orientation compels them to prioritize the immigration-affected needs of poor immigrants over the immigration-affected needs of U.S. citizens. This positions each other's priority of publicly affected needs against each other. It is about one group generalizing their immigration-related needs as the only standard for society, which disrespects the different immigration-related needs of others. This always exposes a structural error beyond personal control.
</v>
      </c>
      <c r="C249" s="1277"/>
      <c r="D249" s="1277"/>
      <c r="E249" s="1277"/>
      <c r="F249" s="1277"/>
      <c r="G249" s="1277"/>
      <c r="H249" s="1277"/>
      <c r="I249" s="1277"/>
      <c r="J249" s="1277"/>
      <c r="K249" s="1277"/>
      <c r="L249" s="1277"/>
      <c r="M249" s="1277"/>
      <c r="N249" s="200"/>
      <c r="O249" s="199"/>
      <c r="P249" s="24"/>
      <c r="Q249" s="24"/>
      <c r="R249" s="24"/>
      <c r="S249" s="24"/>
      <c r="T249" s="24"/>
      <c r="U249" s="24"/>
      <c r="V249" s="24"/>
      <c r="W249" s="24"/>
      <c r="X249" s="24"/>
      <c r="Y249" s="24"/>
      <c r="Z249" s="24"/>
      <c r="AA249" s="24"/>
      <c r="AB249" s="200"/>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BF249" s="459" t="str">
        <f>CONCATENATE(BH249,BI249,BJ249,BK249,BL249,BM249,BN249,BO249,BP249,BG250,BH250,BI250,BJ250,BK250,BL250,BM250,BN250,BO250,BP250)</f>
        <v xml:space="preserve">Immigration politics pits easy entry against vetted entry. Your clients psychosocial orientation compels them to prioritize the immigration-affected needs of poor immigrants over the immigration-affected needs of U.S. citizens. This positions each other's priority of publicly affected needs against each other. It is about one group generalizing their immigration-related needs as the only standard for society, which disrespects the different immigration-related needs of others. This always exposes a structural error beyond personal control.
</v>
      </c>
      <c r="BH249" s="467"/>
      <c r="BI249" s="2" t="str">
        <f>C1124</f>
        <v>Immigration</v>
      </c>
      <c r="BJ249" s="410" t="s">
        <v>1855</v>
      </c>
      <c r="BK249" s="2" t="str">
        <f>IF($H$101="","",$L$1122)</f>
        <v>easy entry</v>
      </c>
      <c r="BL249" s="409" t="s">
        <v>1614</v>
      </c>
      <c r="BM249" s="2" t="str">
        <f>IF($H$101="","",$M$1122)</f>
        <v>vetted entry</v>
      </c>
      <c r="BN249" s="409" t="s">
        <v>1841</v>
      </c>
      <c r="BO249" s="2" t="str">
        <f>$BI$207</f>
        <v>immigration</v>
      </c>
      <c r="BP249" s="466" t="s">
        <v>1619</v>
      </c>
    </row>
    <row r="250" spans="1:68" ht="19.95" customHeight="1">
      <c r="A250" s="199"/>
      <c r="B250" s="1277"/>
      <c r="C250" s="1277"/>
      <c r="D250" s="1277"/>
      <c r="E250" s="1277"/>
      <c r="F250" s="1277"/>
      <c r="G250" s="1277"/>
      <c r="H250" s="1277"/>
      <c r="I250" s="1277"/>
      <c r="J250" s="1277"/>
      <c r="K250" s="1277"/>
      <c r="L250" s="1277"/>
      <c r="M250" s="1277"/>
      <c r="N250" s="200"/>
      <c r="O250" s="199"/>
      <c r="P250" s="24"/>
      <c r="Q250" s="24"/>
      <c r="R250" s="24"/>
      <c r="S250" s="24"/>
      <c r="T250" s="24"/>
      <c r="U250" s="24"/>
      <c r="V250" s="24"/>
      <c r="W250" s="24"/>
      <c r="X250" s="24"/>
      <c r="Y250" s="24"/>
      <c r="Z250" s="24"/>
      <c r="AA250" s="24"/>
      <c r="AB250" s="200"/>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BG250" s="2" t="str">
        <f>IF($H$101="","",$P$1122)</f>
        <v>poor immigrants</v>
      </c>
      <c r="BH250" s="410" t="s">
        <v>1620</v>
      </c>
      <c r="BI250" s="2" t="str">
        <f>$BI$207</f>
        <v>immigration</v>
      </c>
      <c r="BJ250" s="410" t="s">
        <v>1619</v>
      </c>
      <c r="BK250" s="2" t="str">
        <f>IF($H$101="","",$Q$1122)</f>
        <v>U.S. citizens</v>
      </c>
      <c r="BL250" s="409" t="s">
        <v>1621</v>
      </c>
      <c r="BM250" s="2" t="str">
        <f>$BI$207</f>
        <v>immigration</v>
      </c>
      <c r="BN250" s="410" t="s">
        <v>1622</v>
      </c>
      <c r="BO250" s="2" t="str">
        <f>$BI$207</f>
        <v>immigration</v>
      </c>
      <c r="BP250" s="466" t="s">
        <v>1623</v>
      </c>
    </row>
    <row r="251" spans="1:68" ht="19.95" customHeight="1">
      <c r="A251" s="199"/>
      <c r="B251" s="1277"/>
      <c r="C251" s="1277"/>
      <c r="D251" s="1277"/>
      <c r="E251" s="1277"/>
      <c r="F251" s="1277"/>
      <c r="G251" s="1277"/>
      <c r="H251" s="1277"/>
      <c r="I251" s="1277"/>
      <c r="J251" s="1277"/>
      <c r="K251" s="1277"/>
      <c r="L251" s="1277"/>
      <c r="M251" s="1277"/>
      <c r="N251" s="200"/>
      <c r="O251" s="199"/>
      <c r="P251" s="24"/>
      <c r="Q251" s="24"/>
      <c r="R251" s="24"/>
      <c r="S251" s="24"/>
      <c r="T251" s="24"/>
      <c r="U251" s="24"/>
      <c r="V251" s="24"/>
      <c r="W251" s="24"/>
      <c r="X251" s="24"/>
      <c r="Y251" s="24"/>
      <c r="Z251" s="24"/>
      <c r="AA251" s="24"/>
      <c r="AB251" s="200"/>
      <c r="AC251" s="1"/>
      <c r="AD251" s="1"/>
      <c r="AE251" s="1"/>
      <c r="AF251" s="1"/>
      <c r="AG251" s="1"/>
      <c r="AH251" s="1"/>
      <c r="AI251" s="1"/>
      <c r="AJ251" s="1"/>
      <c r="AK251" s="1"/>
      <c r="AL251" s="1"/>
      <c r="AM251" s="1"/>
      <c r="AN251" s="1"/>
      <c r="AO251" s="1"/>
      <c r="AP251" s="1"/>
      <c r="AQ251" s="1"/>
      <c r="AR251" s="1"/>
      <c r="AS251" s="1"/>
      <c r="AT251" s="1"/>
      <c r="AU251" s="1"/>
      <c r="AV251" s="1"/>
      <c r="AW251" s="1"/>
      <c r="AX251" s="1"/>
      <c r="AY251" s="1"/>
    </row>
    <row r="252" spans="1:68" ht="19.95" customHeight="1">
      <c r="A252" s="199"/>
      <c r="B252" s="1277"/>
      <c r="C252" s="1277"/>
      <c r="D252" s="1277"/>
      <c r="E252" s="1277"/>
      <c r="F252" s="1277"/>
      <c r="G252" s="1277"/>
      <c r="H252" s="1277"/>
      <c r="I252" s="1277"/>
      <c r="J252" s="1277"/>
      <c r="K252" s="1277"/>
      <c r="L252" s="1277"/>
      <c r="M252" s="1277"/>
      <c r="N252" s="200"/>
      <c r="O252" s="199"/>
      <c r="P252" s="24"/>
      <c r="Q252" s="24"/>
      <c r="R252" s="24"/>
      <c r="S252" s="24"/>
      <c r="T252" s="24"/>
      <c r="U252" s="24"/>
      <c r="V252" s="24"/>
      <c r="W252" s="24"/>
      <c r="X252" s="24"/>
      <c r="Y252" s="24"/>
      <c r="Z252" s="24"/>
      <c r="AA252" s="24"/>
      <c r="AB252" s="200"/>
      <c r="AC252" s="1"/>
      <c r="AD252" s="1"/>
      <c r="AE252" s="1"/>
      <c r="AF252" s="1"/>
      <c r="AG252" s="1"/>
      <c r="AH252" s="1"/>
      <c r="AI252" s="1"/>
      <c r="AJ252" s="1"/>
      <c r="AK252" s="1"/>
      <c r="AL252" s="1"/>
      <c r="AM252" s="1"/>
      <c r="AN252" s="1"/>
      <c r="AO252" s="1"/>
      <c r="AP252" s="1"/>
      <c r="AQ252" s="1"/>
      <c r="AR252" s="1"/>
      <c r="AS252" s="1"/>
      <c r="AT252" s="1"/>
      <c r="AU252" s="1"/>
      <c r="AV252" s="1"/>
      <c r="AW252" s="1"/>
      <c r="AX252" s="1"/>
      <c r="AY252" s="1"/>
    </row>
    <row r="253" spans="1:68" ht="19.95" customHeight="1">
      <c r="A253" s="199"/>
      <c r="B253" s="1277"/>
      <c r="C253" s="1277"/>
      <c r="D253" s="1277"/>
      <c r="E253" s="1277"/>
      <c r="F253" s="1277"/>
      <c r="G253" s="1277"/>
      <c r="H253" s="1277"/>
      <c r="I253" s="1277"/>
      <c r="J253" s="1277"/>
      <c r="K253" s="1277"/>
      <c r="L253" s="1277"/>
      <c r="M253" s="1277"/>
      <c r="N253" s="200"/>
      <c r="O253" s="199"/>
      <c r="P253" s="24"/>
      <c r="Q253" s="24"/>
      <c r="R253" s="24"/>
      <c r="S253" s="24"/>
      <c r="T253" s="24"/>
      <c r="U253" s="24"/>
      <c r="V253" s="24"/>
      <c r="W253" s="24"/>
      <c r="X253" s="24"/>
      <c r="Y253" s="24"/>
      <c r="Z253" s="24"/>
      <c r="AA253" s="24"/>
      <c r="AB253" s="200"/>
      <c r="AC253" s="1"/>
      <c r="AD253" s="1"/>
      <c r="AE253" s="1"/>
      <c r="AF253" s="1"/>
      <c r="AG253" s="1"/>
      <c r="AH253" s="1"/>
      <c r="AI253" s="1"/>
      <c r="AJ253" s="1"/>
      <c r="AK253" s="1"/>
      <c r="AL253" s="1"/>
      <c r="AM253" s="1"/>
      <c r="AN253" s="1"/>
      <c r="AO253" s="1"/>
      <c r="AP253" s="1"/>
      <c r="AQ253" s="1"/>
      <c r="AR253" s="1"/>
      <c r="AS253" s="1"/>
      <c r="AT253" s="1"/>
      <c r="AU253" s="1"/>
      <c r="AV253" s="1"/>
      <c r="AW253" s="1"/>
      <c r="AX253" s="1"/>
      <c r="AY253" s="1"/>
    </row>
    <row r="254" spans="1:68" ht="19.95" customHeight="1">
      <c r="A254" s="199"/>
      <c r="B254" s="1277"/>
      <c r="C254" s="1277"/>
      <c r="D254" s="1277"/>
      <c r="E254" s="1277"/>
      <c r="F254" s="1277"/>
      <c r="G254" s="1277"/>
      <c r="H254" s="1277"/>
      <c r="I254" s="1277"/>
      <c r="J254" s="1277"/>
      <c r="K254" s="1277"/>
      <c r="L254" s="1277"/>
      <c r="M254" s="1277"/>
      <c r="N254" s="200"/>
      <c r="O254" s="199"/>
      <c r="P254" s="24"/>
      <c r="Q254" s="24"/>
      <c r="R254" s="24"/>
      <c r="S254" s="24"/>
      <c r="T254" s="24"/>
      <c r="U254" s="24"/>
      <c r="V254" s="24"/>
      <c r="W254" s="24"/>
      <c r="X254" s="24"/>
      <c r="Y254" s="24"/>
      <c r="Z254" s="24"/>
      <c r="AA254" s="24"/>
      <c r="AB254" s="200"/>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BF254" s="459" t="str">
        <f>IF(OR($I$1094=0,$B$1124=""),BH254,BF256)</f>
        <v>It is an overgeneralization to expect society to officially side with one priority over the other. These competing needs emerge as an arbitrary artifact of culture. If society always sided with the needs of poor immigrants against the needs of U.S. citizens, or with the needs of U.S. citizens against the needs of poor immigrants, there would be no working society. This division is more of a structural problem, beyond the scope of traditional psychotherapy.</v>
      </c>
      <c r="BH254" s="465" t="s">
        <v>2014</v>
      </c>
    </row>
    <row r="255" spans="1:68" ht="4.95" customHeight="1">
      <c r="A255" s="199"/>
      <c r="B255" s="24"/>
      <c r="C255" s="24"/>
      <c r="D255" s="24"/>
      <c r="E255" s="24"/>
      <c r="F255" s="24"/>
      <c r="G255" s="24"/>
      <c r="H255" s="24"/>
      <c r="I255" s="24"/>
      <c r="J255" s="24"/>
      <c r="K255" s="24"/>
      <c r="L255" s="24"/>
      <c r="M255" s="24"/>
      <c r="N255" s="200"/>
      <c r="O255" s="199"/>
      <c r="P255" s="24"/>
      <c r="Q255" s="24"/>
      <c r="R255" s="24"/>
      <c r="S255" s="24"/>
      <c r="T255" s="24"/>
      <c r="U255" s="24"/>
      <c r="V255" s="24"/>
      <c r="W255" s="24"/>
      <c r="X255" s="24"/>
      <c r="Y255" s="24"/>
      <c r="Z255" s="24"/>
      <c r="AA255" s="24"/>
      <c r="AB255" s="200"/>
      <c r="AC255" s="1"/>
      <c r="AD255" s="1"/>
      <c r="AE255" s="1"/>
      <c r="AF255" s="1"/>
      <c r="AG255" s="1"/>
      <c r="AH255" s="1"/>
      <c r="AI255" s="1"/>
      <c r="AJ255" s="1"/>
      <c r="AK255" s="1"/>
      <c r="AL255" s="1"/>
      <c r="AM255" s="1"/>
      <c r="AN255" s="1"/>
      <c r="AO255" s="1"/>
      <c r="AP255" s="1"/>
      <c r="AQ255" s="1"/>
      <c r="AR255" s="1"/>
      <c r="AS255" s="1"/>
      <c r="AT255" s="1"/>
      <c r="AU255" s="1"/>
      <c r="AV255" s="1"/>
      <c r="AW255" s="1"/>
      <c r="AX255" s="1"/>
      <c r="AY255" s="1"/>
    </row>
    <row r="256" spans="1:68" ht="19.95" customHeight="1">
      <c r="A256" s="199"/>
      <c r="B256" s="1277" t="str">
        <f>BF256</f>
        <v>It is an overgeneralization to expect society to officially side with one priority over the other. These competing needs emerge as an arbitrary artifact of culture. If society always sided with the needs of poor immigrants against the needs of U.S. citizens, or with the needs of U.S. citizens against the needs of poor immigrants, there would be no working society. This division is more of a structural problem, beyond the scope of traditional psychotherapy.</v>
      </c>
      <c r="C256" s="1277"/>
      <c r="D256" s="1277"/>
      <c r="E256" s="1277"/>
      <c r="F256" s="1277"/>
      <c r="G256" s="1277"/>
      <c r="H256" s="1277"/>
      <c r="I256" s="1277"/>
      <c r="J256" s="1277"/>
      <c r="K256" s="1277"/>
      <c r="L256" s="1277"/>
      <c r="M256" s="1277"/>
      <c r="N256" s="200"/>
      <c r="O256" s="199"/>
      <c r="P256" s="24"/>
      <c r="Q256" s="24"/>
      <c r="R256" s="24"/>
      <c r="S256" s="24"/>
      <c r="T256" s="24"/>
      <c r="U256" s="24"/>
      <c r="V256" s="24"/>
      <c r="W256" s="24"/>
      <c r="X256" s="24"/>
      <c r="Y256" s="24"/>
      <c r="Z256" s="24"/>
      <c r="AA256" s="24"/>
      <c r="AB256" s="200"/>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BF256" s="459" t="str">
        <f>CONCATENATE(BH256,BI256,BJ256,BK256,BL256,BM256,BN256,BO256,BP256,BQ256,BR256,BS256,BT256)</f>
        <v>It is an overgeneralization to expect society to officially side with one priority over the other. These competing needs emerge as an arbitrary artifact of culture. If society always sided with the needs of poor immigrants against the needs of U.S. citizens, or with the needs of U.S. citizens against the needs of poor immigrants, there would be no working society. This division is more of a structural problem, beyond the scope of traditional psychotherapy.</v>
      </c>
      <c r="BH256" s="409" t="s">
        <v>1864</v>
      </c>
      <c r="BI256" s="2" t="str">
        <f>P1122</f>
        <v>poor immigrants</v>
      </c>
      <c r="BJ256" s="409" t="s">
        <v>1624</v>
      </c>
      <c r="BK256" s="2" t="str">
        <f>Q1122</f>
        <v>U.S. citizens</v>
      </c>
      <c r="BL256" s="409" t="s">
        <v>1625</v>
      </c>
      <c r="BM256" s="2" t="str">
        <f>BK256</f>
        <v>U.S. citizens</v>
      </c>
      <c r="BN256" s="409" t="s">
        <v>1624</v>
      </c>
      <c r="BO256" s="2" t="str">
        <f>BI256</f>
        <v>poor immigrants</v>
      </c>
      <c r="BP256" s="465" t="s">
        <v>1863</v>
      </c>
    </row>
    <row r="257" spans="1:66" ht="19.95" customHeight="1">
      <c r="A257" s="199"/>
      <c r="B257" s="1277"/>
      <c r="C257" s="1277"/>
      <c r="D257" s="1277"/>
      <c r="E257" s="1277"/>
      <c r="F257" s="1277"/>
      <c r="G257" s="1277"/>
      <c r="H257" s="1277"/>
      <c r="I257" s="1277"/>
      <c r="J257" s="1277"/>
      <c r="K257" s="1277"/>
      <c r="L257" s="1277"/>
      <c r="M257" s="1277"/>
      <c r="N257" s="200"/>
      <c r="O257" s="199"/>
      <c r="P257" s="24"/>
      <c r="Q257" s="24"/>
      <c r="R257" s="24"/>
      <c r="S257" s="24"/>
      <c r="T257" s="24"/>
      <c r="U257" s="24"/>
      <c r="V257" s="24"/>
      <c r="W257" s="24"/>
      <c r="X257" s="24"/>
      <c r="Y257" s="24"/>
      <c r="Z257" s="24"/>
      <c r="AA257" s="24"/>
      <c r="AB257" s="200"/>
      <c r="AC257" s="1"/>
      <c r="AD257" s="1"/>
      <c r="AE257" s="1"/>
      <c r="AF257" s="1"/>
      <c r="AG257" s="1"/>
      <c r="AH257" s="1"/>
      <c r="AI257" s="1"/>
      <c r="AJ257" s="1"/>
      <c r="AK257" s="1"/>
      <c r="AL257" s="1"/>
      <c r="AM257" s="1"/>
      <c r="AN257" s="1"/>
      <c r="AO257" s="1"/>
      <c r="AP257" s="1"/>
      <c r="AQ257" s="1"/>
      <c r="AR257" s="1"/>
      <c r="AS257" s="1"/>
      <c r="AT257" s="1"/>
      <c r="AU257" s="1"/>
      <c r="AV257" s="1"/>
      <c r="AW257" s="1"/>
      <c r="AX257" s="1"/>
      <c r="AY257" s="1"/>
    </row>
    <row r="258" spans="1:66" ht="19.95" customHeight="1">
      <c r="A258" s="199"/>
      <c r="B258" s="1277"/>
      <c r="C258" s="1277"/>
      <c r="D258" s="1277"/>
      <c r="E258" s="1277"/>
      <c r="F258" s="1277"/>
      <c r="G258" s="1277"/>
      <c r="H258" s="1277"/>
      <c r="I258" s="1277"/>
      <c r="J258" s="1277"/>
      <c r="K258" s="1277"/>
      <c r="L258" s="1277"/>
      <c r="M258" s="1277"/>
      <c r="N258" s="200"/>
      <c r="O258" s="199"/>
      <c r="P258" s="24"/>
      <c r="Q258" s="24"/>
      <c r="R258" s="24"/>
      <c r="S258" s="24"/>
      <c r="T258" s="24"/>
      <c r="U258" s="24"/>
      <c r="V258" s="24"/>
      <c r="W258" s="24"/>
      <c r="X258" s="24"/>
      <c r="Y258" s="24"/>
      <c r="Z258" s="24"/>
      <c r="AA258" s="24"/>
      <c r="AB258" s="200"/>
      <c r="AC258" s="1"/>
      <c r="AD258" s="1"/>
      <c r="AE258" s="1"/>
      <c r="AF258" s="1"/>
      <c r="AG258" s="1"/>
      <c r="AH258" s="1"/>
      <c r="AI258" s="1"/>
      <c r="AJ258" s="1"/>
      <c r="AK258" s="1"/>
      <c r="AL258" s="1"/>
      <c r="AM258" s="1"/>
      <c r="AN258" s="1"/>
      <c r="AO258" s="1"/>
      <c r="AP258" s="1"/>
      <c r="AQ258" s="1"/>
      <c r="AR258" s="1"/>
      <c r="AS258" s="1"/>
      <c r="AT258" s="1"/>
      <c r="AU258" s="1"/>
      <c r="AV258" s="1"/>
      <c r="AW258" s="1"/>
      <c r="AX258" s="1"/>
      <c r="AY258" s="1"/>
    </row>
    <row r="259" spans="1:66" ht="19.95" customHeight="1">
      <c r="A259" s="199"/>
      <c r="B259" s="1277"/>
      <c r="C259" s="1277"/>
      <c r="D259" s="1277"/>
      <c r="E259" s="1277"/>
      <c r="F259" s="1277"/>
      <c r="G259" s="1277"/>
      <c r="H259" s="1277"/>
      <c r="I259" s="1277"/>
      <c r="J259" s="1277"/>
      <c r="K259" s="1277"/>
      <c r="L259" s="1277"/>
      <c r="M259" s="1277"/>
      <c r="N259" s="200"/>
      <c r="O259" s="199"/>
      <c r="P259" s="24"/>
      <c r="Q259" s="24"/>
      <c r="R259" s="24"/>
      <c r="S259" s="24"/>
      <c r="T259" s="24"/>
      <c r="U259" s="24"/>
      <c r="V259" s="24"/>
      <c r="W259" s="24"/>
      <c r="X259" s="24"/>
      <c r="Y259" s="24"/>
      <c r="Z259" s="24"/>
      <c r="AA259" s="24"/>
      <c r="AB259" s="200"/>
      <c r="AC259" s="1"/>
      <c r="AD259" s="1"/>
      <c r="AE259" s="1"/>
      <c r="AF259" s="1"/>
      <c r="AG259" s="1"/>
      <c r="AH259" s="1"/>
      <c r="AI259" s="1"/>
      <c r="AJ259" s="1"/>
      <c r="AK259" s="1"/>
      <c r="AL259" s="1"/>
      <c r="AM259" s="1"/>
      <c r="AN259" s="1"/>
      <c r="AO259" s="1"/>
      <c r="AP259" s="1"/>
      <c r="AQ259" s="1"/>
      <c r="AR259" s="1"/>
      <c r="AS259" s="1"/>
      <c r="AT259" s="1"/>
      <c r="AU259" s="1"/>
      <c r="AV259" s="1"/>
      <c r="AW259" s="1"/>
      <c r="AX259" s="1"/>
      <c r="AY259" s="1"/>
    </row>
    <row r="260" spans="1:66" ht="19.95" customHeight="1">
      <c r="A260" s="199"/>
      <c r="B260" s="1277"/>
      <c r="C260" s="1277"/>
      <c r="D260" s="1277"/>
      <c r="E260" s="1277"/>
      <c r="F260" s="1277"/>
      <c r="G260" s="1277"/>
      <c r="H260" s="1277"/>
      <c r="I260" s="1277"/>
      <c r="J260" s="1277"/>
      <c r="K260" s="1277"/>
      <c r="L260" s="1277"/>
      <c r="M260" s="1277"/>
      <c r="N260" s="200"/>
      <c r="O260" s="199"/>
      <c r="P260" s="24"/>
      <c r="Q260" s="24"/>
      <c r="R260" s="24"/>
      <c r="S260" s="24"/>
      <c r="T260" s="24"/>
      <c r="U260" s="24"/>
      <c r="V260" s="24"/>
      <c r="W260" s="24"/>
      <c r="X260" s="24"/>
      <c r="Y260" s="24"/>
      <c r="Z260" s="24"/>
      <c r="AA260" s="24"/>
      <c r="AB260" s="200"/>
      <c r="AC260" s="1"/>
      <c r="AD260" s="1"/>
      <c r="AE260" s="1"/>
      <c r="AF260" s="1"/>
      <c r="AG260" s="1"/>
      <c r="AH260" s="1"/>
      <c r="AI260" s="1"/>
      <c r="AJ260" s="1"/>
      <c r="AK260" s="1"/>
      <c r="AL260" s="1"/>
      <c r="AM260" s="1"/>
      <c r="AN260" s="1"/>
      <c r="AO260" s="1"/>
      <c r="AP260" s="1"/>
      <c r="AQ260" s="1"/>
      <c r="AR260" s="1"/>
      <c r="AS260" s="1"/>
      <c r="AT260" s="1"/>
      <c r="AU260" s="1"/>
      <c r="AV260" s="1"/>
      <c r="AW260" s="1"/>
      <c r="AX260" s="1"/>
      <c r="AY260" s="1"/>
    </row>
    <row r="261" spans="1:66" ht="19.95" customHeight="1">
      <c r="A261" s="199"/>
      <c r="B261" s="1277"/>
      <c r="C261" s="1277"/>
      <c r="D261" s="1277"/>
      <c r="E261" s="1277"/>
      <c r="F261" s="1277"/>
      <c r="G261" s="1277"/>
      <c r="H261" s="1277"/>
      <c r="I261" s="1277"/>
      <c r="J261" s="1277"/>
      <c r="K261" s="1277"/>
      <c r="L261" s="1277"/>
      <c r="M261" s="1277"/>
      <c r="N261" s="200"/>
      <c r="O261" s="199"/>
      <c r="P261" s="24"/>
      <c r="Q261" s="24"/>
      <c r="R261" s="24"/>
      <c r="S261" s="24"/>
      <c r="T261" s="24"/>
      <c r="U261" s="24"/>
      <c r="V261" s="24"/>
      <c r="W261" s="24"/>
      <c r="X261" s="24"/>
      <c r="Y261" s="24"/>
      <c r="Z261" s="24"/>
      <c r="AA261" s="24"/>
      <c r="AB261" s="200"/>
      <c r="AC261" s="1"/>
      <c r="AD261" s="1"/>
      <c r="AE261" s="1"/>
      <c r="AF261" s="1"/>
      <c r="AG261" s="1"/>
      <c r="AH261" s="1"/>
      <c r="AI261" s="1"/>
      <c r="AJ261" s="1"/>
      <c r="AK261" s="1"/>
      <c r="AL261" s="1"/>
      <c r="AM261" s="1"/>
      <c r="AN261" s="1"/>
      <c r="AO261" s="1"/>
      <c r="AP261" s="1"/>
      <c r="AQ261" s="1"/>
      <c r="AR261" s="1"/>
      <c r="AS261" s="1"/>
      <c r="AT261" s="1"/>
      <c r="AU261" s="1"/>
      <c r="AV261" s="1"/>
      <c r="AW261" s="1"/>
      <c r="AX261" s="1"/>
      <c r="AY261" s="1"/>
    </row>
    <row r="262" spans="1:66" ht="19.95" customHeight="1">
      <c r="A262" s="199"/>
      <c r="B262" s="1277"/>
      <c r="C262" s="1277"/>
      <c r="D262" s="1277"/>
      <c r="E262" s="1277"/>
      <c r="F262" s="1277"/>
      <c r="G262" s="1277"/>
      <c r="H262" s="1277"/>
      <c r="I262" s="1277"/>
      <c r="J262" s="1277"/>
      <c r="K262" s="1277"/>
      <c r="L262" s="1277"/>
      <c r="M262" s="1277"/>
      <c r="N262" s="200"/>
      <c r="O262" s="199"/>
      <c r="P262" s="24"/>
      <c r="Q262" s="24"/>
      <c r="R262" s="24"/>
      <c r="S262" s="24"/>
      <c r="T262" s="24"/>
      <c r="U262" s="24"/>
      <c r="V262" s="24"/>
      <c r="W262" s="24"/>
      <c r="X262" s="24"/>
      <c r="Y262" s="24"/>
      <c r="Z262" s="24"/>
      <c r="AA262" s="24"/>
      <c r="AB262" s="200"/>
      <c r="AC262" s="1"/>
      <c r="AD262" s="1"/>
      <c r="AE262" s="1"/>
      <c r="AF262" s="1"/>
      <c r="AG262" s="1"/>
      <c r="AH262" s="1"/>
      <c r="AI262" s="1"/>
      <c r="AJ262" s="1"/>
      <c r="AK262" s="1"/>
      <c r="AL262" s="1"/>
      <c r="AM262" s="1"/>
      <c r="AN262" s="1"/>
      <c r="AO262" s="1"/>
      <c r="AP262" s="1"/>
      <c r="AQ262" s="1"/>
      <c r="AR262" s="1"/>
      <c r="AS262" s="1"/>
      <c r="AT262" s="1"/>
      <c r="AU262" s="1"/>
      <c r="AV262" s="1"/>
      <c r="AW262" s="1"/>
      <c r="AX262" s="1"/>
      <c r="AY262" s="1"/>
    </row>
    <row r="263" spans="1:66" ht="19.95" customHeight="1">
      <c r="A263" s="199"/>
      <c r="B263" s="1277"/>
      <c r="C263" s="1277"/>
      <c r="D263" s="1277"/>
      <c r="E263" s="1277"/>
      <c r="F263" s="1277"/>
      <c r="G263" s="1277"/>
      <c r="H263" s="1277"/>
      <c r="I263" s="1277"/>
      <c r="J263" s="1277"/>
      <c r="K263" s="1277"/>
      <c r="L263" s="1277"/>
      <c r="M263" s="1277"/>
      <c r="N263" s="200"/>
      <c r="O263" s="199"/>
      <c r="P263" s="24"/>
      <c r="Q263" s="24"/>
      <c r="R263" s="24"/>
      <c r="S263" s="24"/>
      <c r="T263" s="24"/>
      <c r="U263" s="24"/>
      <c r="V263" s="24"/>
      <c r="W263" s="24"/>
      <c r="X263" s="24"/>
      <c r="Y263" s="24"/>
      <c r="Z263" s="24"/>
      <c r="AA263" s="24"/>
      <c r="AB263" s="200"/>
      <c r="AC263" s="1"/>
      <c r="AD263" s="1"/>
      <c r="AE263" s="1"/>
      <c r="AF263" s="1"/>
      <c r="AG263" s="1"/>
      <c r="AH263" s="1"/>
      <c r="AI263" s="1"/>
      <c r="AJ263" s="1"/>
      <c r="AK263" s="1"/>
      <c r="AL263" s="1"/>
      <c r="AM263" s="1"/>
      <c r="AN263" s="1"/>
      <c r="AO263" s="1"/>
      <c r="AP263" s="1"/>
      <c r="AQ263" s="1"/>
      <c r="AR263" s="1"/>
      <c r="AS263" s="1"/>
      <c r="AT263" s="1"/>
      <c r="AU263" s="1"/>
      <c r="AV263" s="1"/>
      <c r="AW263" s="1"/>
      <c r="AX263" s="1"/>
      <c r="AY263" s="1"/>
    </row>
    <row r="264" spans="1:66" ht="19.95" customHeight="1">
      <c r="A264" s="199"/>
      <c r="B264" s="1277"/>
      <c r="C264" s="1277"/>
      <c r="D264" s="1277"/>
      <c r="E264" s="1277"/>
      <c r="F264" s="1277"/>
      <c r="G264" s="1277"/>
      <c r="H264" s="1277"/>
      <c r="I264" s="1277"/>
      <c r="J264" s="1277"/>
      <c r="K264" s="1277"/>
      <c r="L264" s="1277"/>
      <c r="M264" s="1277"/>
      <c r="N264" s="200"/>
      <c r="O264" s="199"/>
      <c r="P264" s="24"/>
      <c r="Q264" s="24"/>
      <c r="R264" s="24"/>
      <c r="S264" s="24"/>
      <c r="T264" s="24"/>
      <c r="U264" s="24"/>
      <c r="V264" s="24"/>
      <c r="W264" s="24"/>
      <c r="X264" s="24"/>
      <c r="Y264" s="24"/>
      <c r="Z264" s="24"/>
      <c r="AA264" s="24"/>
      <c r="AB264" s="200"/>
      <c r="AC264" s="1"/>
      <c r="AD264" s="1"/>
      <c r="AE264" s="1"/>
      <c r="AF264" s="1"/>
      <c r="AG264" s="1"/>
      <c r="AH264" s="1"/>
      <c r="AI264" s="1"/>
      <c r="AJ264" s="1"/>
      <c r="AK264" s="1"/>
      <c r="AL264" s="1"/>
      <c r="AM264" s="1"/>
      <c r="AN264" s="1"/>
      <c r="AO264" s="1"/>
      <c r="AP264" s="1"/>
      <c r="AQ264" s="1"/>
      <c r="AR264" s="1"/>
      <c r="AS264" s="1"/>
      <c r="AT264" s="1"/>
      <c r="AU264" s="1"/>
      <c r="AV264" s="1"/>
      <c r="AW264" s="1"/>
      <c r="AX264" s="1"/>
      <c r="AY264" s="1"/>
    </row>
    <row r="265" spans="1:66" ht="19.95" customHeight="1">
      <c r="A265" s="199"/>
      <c r="B265" s="1277"/>
      <c r="C265" s="1277"/>
      <c r="D265" s="1277"/>
      <c r="E265" s="1277"/>
      <c r="F265" s="1277"/>
      <c r="G265" s="1277"/>
      <c r="H265" s="1277"/>
      <c r="I265" s="1277"/>
      <c r="J265" s="1277"/>
      <c r="K265" s="1277"/>
      <c r="L265" s="1277"/>
      <c r="M265" s="1277"/>
      <c r="N265" s="200"/>
      <c r="O265" s="199"/>
      <c r="P265" s="24"/>
      <c r="Q265" s="24"/>
      <c r="R265" s="24"/>
      <c r="S265" s="24"/>
      <c r="T265" s="24"/>
      <c r="U265" s="24"/>
      <c r="V265" s="24"/>
      <c r="W265" s="24"/>
      <c r="X265" s="24"/>
      <c r="Y265" s="24"/>
      <c r="Z265" s="24"/>
      <c r="AA265" s="24"/>
      <c r="AB265" s="200"/>
      <c r="AC265" s="1"/>
      <c r="AD265" s="1"/>
      <c r="AE265" s="1"/>
      <c r="AF265" s="1"/>
      <c r="AG265" s="1"/>
      <c r="AH265" s="1"/>
      <c r="AI265" s="1"/>
      <c r="AJ265" s="1"/>
      <c r="AK265" s="1"/>
      <c r="AL265" s="1"/>
      <c r="AM265" s="1"/>
      <c r="AN265" s="1"/>
      <c r="AO265" s="1"/>
      <c r="AP265" s="1"/>
      <c r="AQ265" s="1"/>
      <c r="AR265" s="1"/>
      <c r="AS265" s="1"/>
      <c r="AT265" s="1"/>
      <c r="AU265" s="1"/>
      <c r="AV265" s="1"/>
      <c r="AW265" s="1"/>
      <c r="AX265" s="1"/>
      <c r="AY265" s="1"/>
    </row>
    <row r="266" spans="1:66" ht="19.95" customHeight="1">
      <c r="A266" s="199"/>
      <c r="B266" s="1277"/>
      <c r="C266" s="1277"/>
      <c r="D266" s="1277"/>
      <c r="E266" s="1277"/>
      <c r="F266" s="1277"/>
      <c r="G266" s="1277"/>
      <c r="H266" s="1277"/>
      <c r="I266" s="1277"/>
      <c r="J266" s="1277"/>
      <c r="K266" s="1277"/>
      <c r="L266" s="1277"/>
      <c r="M266" s="1277"/>
      <c r="N266" s="200"/>
      <c r="O266" s="199"/>
      <c r="P266" s="24"/>
      <c r="Q266" s="24"/>
      <c r="R266" s="24"/>
      <c r="S266" s="24"/>
      <c r="T266" s="24"/>
      <c r="U266" s="24"/>
      <c r="V266" s="24"/>
      <c r="W266" s="24"/>
      <c r="X266" s="24"/>
      <c r="Y266" s="24"/>
      <c r="Z266" s="24"/>
      <c r="AA266" s="24"/>
      <c r="AB266" s="200"/>
      <c r="AC266" s="1"/>
      <c r="AD266" s="1"/>
      <c r="AE266" s="1"/>
      <c r="AF266" s="1"/>
      <c r="AG266" s="1"/>
      <c r="AH266" s="1"/>
      <c r="AI266" s="1"/>
      <c r="AJ266" s="1"/>
      <c r="AK266" s="1"/>
      <c r="AL266" s="1"/>
      <c r="AM266" s="1"/>
      <c r="AN266" s="1"/>
      <c r="AO266" s="1"/>
      <c r="AP266" s="1"/>
      <c r="AQ266" s="1"/>
      <c r="AR266" s="1"/>
      <c r="AS266" s="1"/>
      <c r="AT266" s="1"/>
      <c r="AU266" s="1"/>
      <c r="AV266" s="1"/>
      <c r="AW266" s="1"/>
      <c r="AX266" s="1"/>
      <c r="AY266" s="1"/>
    </row>
    <row r="267" spans="1:66" ht="19.95" customHeight="1">
      <c r="A267" s="199"/>
      <c r="B267" s="1277"/>
      <c r="C267" s="1277"/>
      <c r="D267" s="1277"/>
      <c r="E267" s="1277"/>
      <c r="F267" s="1277"/>
      <c r="G267" s="1277"/>
      <c r="H267" s="1277"/>
      <c r="I267" s="1277"/>
      <c r="J267" s="1277"/>
      <c r="K267" s="1277"/>
      <c r="L267" s="1277"/>
      <c r="M267" s="1277"/>
      <c r="N267" s="200"/>
      <c r="O267" s="199"/>
      <c r="P267" s="24"/>
      <c r="Q267" s="24"/>
      <c r="R267" s="24"/>
      <c r="S267" s="24"/>
      <c r="T267" s="24"/>
      <c r="U267" s="24"/>
      <c r="V267" s="24"/>
      <c r="W267" s="24"/>
      <c r="X267" s="24"/>
      <c r="Y267" s="24"/>
      <c r="Z267" s="24"/>
      <c r="AA267" s="24"/>
      <c r="AB267" s="200"/>
      <c r="AC267" s="1"/>
      <c r="AD267" s="1"/>
      <c r="AE267" s="1"/>
      <c r="AF267" s="1"/>
      <c r="AG267" s="1"/>
      <c r="AH267" s="1"/>
      <c r="AI267" s="1"/>
      <c r="AJ267" s="1"/>
      <c r="AK267" s="1"/>
      <c r="AL267" s="1"/>
      <c r="AM267" s="1"/>
      <c r="AN267" s="1"/>
      <c r="AO267" s="1"/>
      <c r="AP267" s="1"/>
      <c r="AQ267" s="1"/>
      <c r="AR267" s="1"/>
      <c r="AS267" s="1"/>
      <c r="AT267" s="1"/>
      <c r="AU267" s="1"/>
      <c r="AV267" s="1"/>
      <c r="AW267" s="1"/>
      <c r="AX267" s="1"/>
      <c r="AY267" s="1"/>
    </row>
    <row r="268" spans="1:66" ht="19.95" customHeight="1">
      <c r="A268" s="199"/>
      <c r="B268" s="1277"/>
      <c r="C268" s="1277"/>
      <c r="D268" s="1277"/>
      <c r="E268" s="1277"/>
      <c r="F268" s="1277"/>
      <c r="G268" s="1277"/>
      <c r="H268" s="1277"/>
      <c r="I268" s="1277"/>
      <c r="J268" s="1277"/>
      <c r="K268" s="1277"/>
      <c r="L268" s="1277"/>
      <c r="M268" s="1277"/>
      <c r="N268" s="200"/>
      <c r="O268" s="199"/>
      <c r="P268" s="24"/>
      <c r="Q268" s="24"/>
      <c r="R268" s="24"/>
      <c r="S268" s="24"/>
      <c r="T268" s="24"/>
      <c r="U268" s="24"/>
      <c r="V268" s="24"/>
      <c r="W268" s="24"/>
      <c r="X268" s="24"/>
      <c r="Y268" s="24"/>
      <c r="Z268" s="24"/>
      <c r="AA268" s="24"/>
      <c r="AB268" s="200"/>
      <c r="AC268" s="1"/>
      <c r="AD268" s="1"/>
      <c r="AE268" s="1"/>
      <c r="AF268" s="1"/>
      <c r="AG268" s="1"/>
      <c r="AH268" s="1"/>
      <c r="AI268" s="1"/>
      <c r="AJ268" s="1"/>
      <c r="AK268" s="1"/>
      <c r="AL268" s="1"/>
      <c r="AM268" s="1"/>
      <c r="AN268" s="1"/>
      <c r="AO268" s="1"/>
      <c r="AP268" s="1"/>
      <c r="AQ268" s="1"/>
      <c r="AR268" s="1"/>
      <c r="AS268" s="1"/>
      <c r="AT268" s="1"/>
      <c r="AU268" s="1"/>
      <c r="AV268" s="1"/>
      <c r="AW268" s="1"/>
      <c r="AX268" s="1"/>
      <c r="AY268" s="1"/>
    </row>
    <row r="269" spans="1:66" ht="4.95" customHeight="1">
      <c r="A269" s="199"/>
      <c r="B269" s="24"/>
      <c r="C269" s="24"/>
      <c r="D269" s="24"/>
      <c r="E269" s="24"/>
      <c r="F269" s="24"/>
      <c r="G269" s="24"/>
      <c r="H269" s="24"/>
      <c r="I269" s="24"/>
      <c r="J269" s="24"/>
      <c r="K269" s="24"/>
      <c r="L269" s="24"/>
      <c r="M269" s="24"/>
      <c r="N269" s="200"/>
      <c r="O269" s="199"/>
      <c r="P269" s="24"/>
      <c r="Q269" s="24"/>
      <c r="R269" s="24"/>
      <c r="S269" s="24"/>
      <c r="T269" s="24"/>
      <c r="U269" s="24"/>
      <c r="V269" s="24"/>
      <c r="W269" s="24"/>
      <c r="X269" s="24"/>
      <c r="Y269" s="24"/>
      <c r="Z269" s="24"/>
      <c r="AA269" s="24"/>
      <c r="AB269" s="200"/>
      <c r="AC269" s="1"/>
      <c r="AD269" s="1"/>
      <c r="AE269" s="1"/>
      <c r="AF269" s="1"/>
      <c r="AG269" s="1"/>
      <c r="AH269" s="1"/>
      <c r="AI269" s="1"/>
      <c r="AJ269" s="1"/>
      <c r="AK269" s="1"/>
      <c r="AL269" s="1"/>
      <c r="AM269" s="1"/>
      <c r="AN269" s="1"/>
      <c r="AO269" s="1"/>
      <c r="AP269" s="1"/>
      <c r="AQ269" s="1"/>
      <c r="AR269" s="1"/>
      <c r="AS269" s="1"/>
      <c r="AT269" s="1"/>
      <c r="AU269" s="1"/>
      <c r="AV269" s="1"/>
      <c r="AW269" s="1"/>
      <c r="AX269" s="1"/>
      <c r="AY269" s="1"/>
    </row>
    <row r="270" spans="1:66" ht="19.95" customHeight="1">
      <c r="A270" s="199"/>
      <c r="B270" s="1277" t="str">
        <f>BF270</f>
        <v xml:space="preserve">Our challenge, as helping professionals, is to help each individual resolve their needs in sync with others resolving theirs. That requires letting go of each other's pain-relieving generalizations. To turn opposing political views on immigration into specific steps for resolving immigration-related needs, starting with your client's immigration-related needs. Welcome to Harmony Politics, the antidote to the divisiveness of popular politics. And a free tool for you to retain your ideologically diverse clients.
</v>
      </c>
      <c r="C270" s="1277"/>
      <c r="D270" s="1277"/>
      <c r="E270" s="1277"/>
      <c r="F270" s="1277"/>
      <c r="G270" s="1277"/>
      <c r="H270" s="1277"/>
      <c r="I270" s="1277"/>
      <c r="J270" s="1277"/>
      <c r="K270" s="1277"/>
      <c r="L270" s="1277"/>
      <c r="M270" s="1277"/>
      <c r="N270" s="200"/>
      <c r="O270" s="199"/>
      <c r="P270" s="24"/>
      <c r="Q270" s="24"/>
      <c r="R270" s="24"/>
      <c r="S270" s="24"/>
      <c r="T270" s="24"/>
      <c r="U270" s="24"/>
      <c r="V270" s="24"/>
      <c r="W270" s="24"/>
      <c r="X270" s="24"/>
      <c r="Y270" s="24"/>
      <c r="Z270" s="24"/>
      <c r="AA270" s="24"/>
      <c r="AB270" s="200"/>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BF270" s="459" t="str">
        <f>CONCATENATE(BH270,BI270,BJ270,BK270,BL270,BM270,BN270,BO270)</f>
        <v xml:space="preserve">Our challenge, as helping professionals, is to help each individual resolve their needs in sync with others resolving theirs. That requires letting go of each other's pain-relieving generalizations. To turn opposing political views on immigration into specific steps for resolving immigration-related needs, starting with your client's immigration-related needs. Welcome to Harmony Politics, the antidote to the divisiveness of popular politics. And a free tool for you to retain your ideologically diverse clients.
</v>
      </c>
      <c r="BH270" s="409" t="s">
        <v>1626</v>
      </c>
      <c r="BI270" s="2" t="str">
        <f>IF($D$1124="","an issue",$D$1124)</f>
        <v>immigration</v>
      </c>
      <c r="BJ270" s="409" t="s">
        <v>1627</v>
      </c>
      <c r="BK270" s="2" t="str">
        <f>IF($D$1124="","politically",$D$1124)</f>
        <v>immigration</v>
      </c>
      <c r="BL270" s="410" t="s">
        <v>1628</v>
      </c>
      <c r="BM270" s="2" t="str">
        <f>IF($D$1124="","politically",$D$1124)</f>
        <v>immigration</v>
      </c>
      <c r="BN270" s="466" t="s">
        <v>1629</v>
      </c>
    </row>
    <row r="271" spans="1:66" ht="19.95" customHeight="1">
      <c r="A271" s="199"/>
      <c r="B271" s="1277"/>
      <c r="C271" s="1277"/>
      <c r="D271" s="1277"/>
      <c r="E271" s="1277"/>
      <c r="F271" s="1277"/>
      <c r="G271" s="1277"/>
      <c r="H271" s="1277"/>
      <c r="I271" s="1277"/>
      <c r="J271" s="1277"/>
      <c r="K271" s="1277"/>
      <c r="L271" s="1277"/>
      <c r="M271" s="1277"/>
      <c r="N271" s="200"/>
      <c r="O271" s="199"/>
      <c r="P271" s="24"/>
      <c r="Q271" s="24"/>
      <c r="R271" s="24"/>
      <c r="S271" s="24"/>
      <c r="T271" s="24"/>
      <c r="U271" s="24"/>
      <c r="V271" s="24"/>
      <c r="W271" s="24"/>
      <c r="X271" s="24"/>
      <c r="Y271" s="24"/>
      <c r="Z271" s="24"/>
      <c r="AA271" s="24"/>
      <c r="AB271" s="200"/>
      <c r="AC271" s="1"/>
      <c r="AD271" s="1"/>
      <c r="AE271" s="1"/>
      <c r="AF271" s="1"/>
      <c r="AG271" s="1"/>
      <c r="AH271" s="1"/>
      <c r="AI271" s="1"/>
      <c r="AJ271" s="1"/>
      <c r="AK271" s="1"/>
      <c r="AL271" s="1"/>
      <c r="AM271" s="1"/>
      <c r="AN271" s="1"/>
      <c r="AO271" s="1"/>
      <c r="AP271" s="1"/>
      <c r="AQ271" s="1"/>
      <c r="AR271" s="1"/>
      <c r="AS271" s="1"/>
      <c r="AT271" s="1"/>
      <c r="AU271" s="1"/>
      <c r="AV271" s="1"/>
      <c r="AW271" s="1"/>
      <c r="AX271" s="1"/>
      <c r="AY271" s="1"/>
    </row>
    <row r="272" spans="1:66" ht="19.95" customHeight="1">
      <c r="A272" s="199"/>
      <c r="B272" s="1277"/>
      <c r="C272" s="1277"/>
      <c r="D272" s="1277"/>
      <c r="E272" s="1277"/>
      <c r="F272" s="1277"/>
      <c r="G272" s="1277"/>
      <c r="H272" s="1277"/>
      <c r="I272" s="1277"/>
      <c r="J272" s="1277"/>
      <c r="K272" s="1277"/>
      <c r="L272" s="1277"/>
      <c r="M272" s="1277"/>
      <c r="N272" s="200"/>
      <c r="O272" s="199"/>
      <c r="P272" s="24"/>
      <c r="Q272" s="24"/>
      <c r="R272" s="24"/>
      <c r="S272" s="24"/>
      <c r="T272" s="24"/>
      <c r="U272" s="24"/>
      <c r="V272" s="24"/>
      <c r="W272" s="24"/>
      <c r="X272" s="24"/>
      <c r="Y272" s="24"/>
      <c r="Z272" s="24"/>
      <c r="AA272" s="24"/>
      <c r="AB272" s="200"/>
      <c r="AC272" s="1"/>
      <c r="AD272" s="1"/>
      <c r="AE272" s="1"/>
      <c r="AF272" s="1"/>
      <c r="AG272" s="1"/>
      <c r="AH272" s="1"/>
      <c r="AI272" s="1"/>
      <c r="AJ272" s="1"/>
      <c r="AK272" s="1"/>
      <c r="AL272" s="1"/>
      <c r="AM272" s="1"/>
      <c r="AN272" s="1"/>
      <c r="AO272" s="1"/>
      <c r="AP272" s="1"/>
      <c r="AQ272" s="1"/>
      <c r="AR272" s="1"/>
      <c r="AS272" s="1"/>
      <c r="AT272" s="1"/>
      <c r="AU272" s="1"/>
      <c r="AV272" s="1"/>
      <c r="AW272" s="1"/>
      <c r="AX272" s="1"/>
      <c r="AY272" s="1"/>
    </row>
    <row r="273" spans="1:51" ht="19.95" customHeight="1">
      <c r="A273" s="199"/>
      <c r="B273" s="1277"/>
      <c r="C273" s="1277"/>
      <c r="D273" s="1277"/>
      <c r="E273" s="1277"/>
      <c r="F273" s="1277"/>
      <c r="G273" s="1277"/>
      <c r="H273" s="1277"/>
      <c r="I273" s="1277"/>
      <c r="J273" s="1277"/>
      <c r="K273" s="1277"/>
      <c r="L273" s="1277"/>
      <c r="M273" s="1277"/>
      <c r="N273" s="200"/>
      <c r="O273" s="199"/>
      <c r="P273" s="24"/>
      <c r="Q273" s="24"/>
      <c r="R273" s="24"/>
      <c r="S273" s="24"/>
      <c r="T273" s="24"/>
      <c r="U273" s="24"/>
      <c r="V273" s="24"/>
      <c r="W273" s="24"/>
      <c r="X273" s="24"/>
      <c r="Y273" s="24"/>
      <c r="Z273" s="24"/>
      <c r="AA273" s="24"/>
      <c r="AB273" s="200"/>
      <c r="AC273" s="1"/>
      <c r="AD273" s="1"/>
      <c r="AE273" s="1"/>
      <c r="AF273" s="1"/>
      <c r="AG273" s="1"/>
      <c r="AH273" s="1"/>
      <c r="AI273" s="1"/>
      <c r="AJ273" s="1"/>
      <c r="AK273" s="1"/>
      <c r="AL273" s="1"/>
      <c r="AM273" s="1"/>
      <c r="AN273" s="1"/>
      <c r="AO273" s="1"/>
      <c r="AP273" s="1"/>
      <c r="AQ273" s="1"/>
      <c r="AR273" s="1"/>
      <c r="AS273" s="1"/>
      <c r="AT273" s="1"/>
      <c r="AU273" s="1"/>
      <c r="AV273" s="1"/>
      <c r="AW273" s="1"/>
      <c r="AX273" s="1"/>
      <c r="AY273" s="1"/>
    </row>
    <row r="274" spans="1:51" ht="19.95" customHeight="1">
      <c r="A274" s="199"/>
      <c r="B274" s="1277"/>
      <c r="C274" s="1277"/>
      <c r="D274" s="1277"/>
      <c r="E274" s="1277"/>
      <c r="F274" s="1277"/>
      <c r="G274" s="1277"/>
      <c r="H274" s="1277"/>
      <c r="I274" s="1277"/>
      <c r="J274" s="1277"/>
      <c r="K274" s="1277"/>
      <c r="L274" s="1277"/>
      <c r="M274" s="1277"/>
      <c r="N274" s="200"/>
      <c r="O274" s="199"/>
      <c r="P274" s="24"/>
      <c r="Q274" s="24"/>
      <c r="R274" s="24"/>
      <c r="S274" s="24"/>
      <c r="T274" s="24"/>
      <c r="U274" s="24"/>
      <c r="V274" s="24"/>
      <c r="W274" s="24"/>
      <c r="X274" s="24"/>
      <c r="Y274" s="24"/>
      <c r="Z274" s="24"/>
      <c r="AA274" s="24"/>
      <c r="AB274" s="200"/>
      <c r="AC274" s="1"/>
      <c r="AD274" s="1"/>
      <c r="AE274" s="1"/>
      <c r="AF274" s="1"/>
      <c r="AG274" s="1"/>
      <c r="AH274" s="1"/>
      <c r="AI274" s="1"/>
      <c r="AJ274" s="1"/>
      <c r="AK274" s="1"/>
      <c r="AL274" s="1"/>
      <c r="AM274" s="1"/>
      <c r="AN274" s="1"/>
      <c r="AO274" s="1"/>
      <c r="AP274" s="1"/>
      <c r="AQ274" s="1"/>
      <c r="AR274" s="1"/>
      <c r="AS274" s="1"/>
      <c r="AT274" s="1"/>
      <c r="AU274" s="1"/>
      <c r="AV274" s="1"/>
      <c r="AW274" s="1"/>
      <c r="AX274" s="1"/>
      <c r="AY274" s="1"/>
    </row>
    <row r="275" spans="1:51" ht="4.95" customHeight="1">
      <c r="A275" s="199"/>
      <c r="B275" s="24"/>
      <c r="C275" s="24"/>
      <c r="D275" s="24"/>
      <c r="E275" s="24"/>
      <c r="F275" s="24"/>
      <c r="G275" s="24"/>
      <c r="H275" s="24"/>
      <c r="I275" s="24"/>
      <c r="J275" s="24"/>
      <c r="K275" s="24"/>
      <c r="L275" s="24"/>
      <c r="M275" s="24"/>
      <c r="N275" s="200"/>
      <c r="O275" s="199"/>
      <c r="P275" s="24"/>
      <c r="Q275" s="24"/>
      <c r="R275" s="24"/>
      <c r="S275" s="24"/>
      <c r="T275" s="24"/>
      <c r="U275" s="24"/>
      <c r="V275" s="24"/>
      <c r="W275" s="24"/>
      <c r="X275" s="24"/>
      <c r="Y275" s="24"/>
      <c r="Z275" s="24"/>
      <c r="AA275" s="24"/>
      <c r="AB275" s="200"/>
      <c r="AC275" s="1"/>
      <c r="AD275" s="1"/>
      <c r="AE275" s="1"/>
      <c r="AF275" s="1"/>
      <c r="AG275" s="1"/>
      <c r="AH275" s="1"/>
      <c r="AI275" s="1"/>
      <c r="AJ275" s="1"/>
      <c r="AK275" s="1"/>
      <c r="AL275" s="1"/>
      <c r="AM275" s="1"/>
      <c r="AN275" s="1"/>
      <c r="AO275" s="1"/>
      <c r="AP275" s="1"/>
      <c r="AQ275" s="1"/>
      <c r="AR275" s="1"/>
      <c r="AS275" s="1"/>
      <c r="AT275" s="1"/>
      <c r="AU275" s="1"/>
      <c r="AV275" s="1"/>
      <c r="AW275" s="1"/>
      <c r="AX275" s="1"/>
      <c r="AY275" s="1"/>
    </row>
    <row r="276" spans="1:51" ht="13.8" customHeight="1">
      <c r="A276" s="201"/>
      <c r="B276" s="24"/>
      <c r="C276" s="24"/>
      <c r="D276" s="24"/>
      <c r="E276" s="24"/>
      <c r="F276" s="24"/>
      <c r="G276" s="24"/>
      <c r="H276" s="24"/>
      <c r="I276" s="24"/>
      <c r="J276" s="24"/>
      <c r="K276" s="24"/>
      <c r="L276" s="24"/>
      <c r="M276" s="24"/>
      <c r="N276" s="200"/>
      <c r="O276" s="199"/>
      <c r="P276" s="24"/>
      <c r="Q276" s="24"/>
      <c r="R276" s="24"/>
      <c r="S276" s="24"/>
      <c r="T276" s="24"/>
      <c r="U276" s="24"/>
      <c r="V276" s="24"/>
      <c r="W276" s="24"/>
      <c r="X276" s="24"/>
      <c r="Y276" s="24"/>
      <c r="Z276" s="24"/>
      <c r="AA276" s="24"/>
      <c r="AB276" s="203"/>
      <c r="AC276" s="1"/>
      <c r="AD276" s="1"/>
      <c r="AE276" s="1"/>
      <c r="AF276" s="1"/>
      <c r="AG276" s="1"/>
      <c r="AH276" s="1"/>
      <c r="AI276" s="1"/>
      <c r="AJ276" s="1"/>
      <c r="AK276" s="1"/>
      <c r="AL276" s="1"/>
      <c r="AM276" s="1"/>
      <c r="AN276" s="1"/>
      <c r="AO276" s="1"/>
      <c r="AP276" s="1"/>
      <c r="AQ276" s="1"/>
      <c r="AR276" s="1"/>
      <c r="AS276" s="1"/>
      <c r="AT276" s="1"/>
      <c r="AU276" s="1"/>
      <c r="AV276" s="1"/>
      <c r="AW276" s="1"/>
      <c r="AX276" s="1"/>
      <c r="AY276" s="1"/>
    </row>
    <row r="277" spans="1:51" ht="30" customHeight="1">
      <c r="A277" s="210" t="s">
        <v>1148</v>
      </c>
      <c r="B277" s="396" t="s">
        <v>2015</v>
      </c>
      <c r="C277" s="396"/>
      <c r="D277" s="396"/>
      <c r="E277" s="396"/>
      <c r="F277" s="396"/>
      <c r="G277" s="396"/>
      <c r="H277" s="396"/>
      <c r="I277" s="396"/>
      <c r="J277" s="396"/>
      <c r="K277" s="373"/>
      <c r="L277" s="373"/>
      <c r="M277" s="373"/>
      <c r="N277" s="211" t="s">
        <v>1149</v>
      </c>
      <c r="O277" s="372"/>
      <c r="P277" s="374"/>
      <c r="Q277" s="373"/>
      <c r="R277" s="373"/>
      <c r="S277" s="373"/>
      <c r="T277" s="373"/>
      <c r="U277" s="373"/>
      <c r="V277" s="373"/>
      <c r="W277" s="373"/>
      <c r="X277" s="373"/>
      <c r="Y277" s="373"/>
      <c r="Z277" s="373"/>
      <c r="AA277" s="373"/>
      <c r="AB277" s="211" t="s">
        <v>1149</v>
      </c>
      <c r="AC277" s="577"/>
      <c r="AD277" s="1"/>
      <c r="AE277" s="577"/>
      <c r="AF277" s="577"/>
      <c r="AG277" s="577"/>
      <c r="AH277" s="577"/>
      <c r="AI277" s="577"/>
      <c r="AJ277" s="577"/>
      <c r="AK277" s="577"/>
      <c r="AL277" s="577"/>
      <c r="AM277" s="577"/>
      <c r="AN277" s="577"/>
      <c r="AO277" s="577"/>
      <c r="AP277" s="577"/>
      <c r="AQ277" s="577"/>
      <c r="AR277" s="577"/>
      <c r="AS277" s="577"/>
      <c r="AT277" s="577"/>
      <c r="AU277" s="577"/>
      <c r="AV277" s="577"/>
      <c r="AW277" s="577"/>
      <c r="AX277" s="577"/>
      <c r="AY277" s="577"/>
    </row>
    <row r="278" spans="1:51" ht="10.050000000000001" customHeight="1">
      <c r="A278" s="199"/>
      <c r="B278" s="24"/>
      <c r="C278" s="24"/>
      <c r="D278" s="24"/>
      <c r="E278" s="24"/>
      <c r="F278" s="24"/>
      <c r="G278" s="24"/>
      <c r="H278" s="24"/>
      <c r="I278" s="24"/>
      <c r="J278" s="24"/>
      <c r="K278" s="24"/>
      <c r="L278" s="24"/>
      <c r="M278" s="24"/>
      <c r="N278" s="200"/>
      <c r="O278" s="199"/>
      <c r="P278" s="24"/>
      <c r="Q278" s="24"/>
      <c r="R278" s="24"/>
      <c r="S278" s="24"/>
      <c r="T278" s="24"/>
      <c r="U278" s="24"/>
      <c r="V278" s="24"/>
      <c r="W278" s="24"/>
      <c r="X278" s="24"/>
      <c r="Y278" s="24"/>
      <c r="Z278" s="24"/>
      <c r="AA278" s="24"/>
      <c r="AB278" s="200"/>
      <c r="AC278" s="1"/>
      <c r="AD278" s="1"/>
      <c r="AE278" s="1"/>
      <c r="AF278" s="1"/>
      <c r="AG278" s="1"/>
      <c r="AH278" s="1"/>
      <c r="AI278" s="1"/>
      <c r="AJ278" s="1"/>
      <c r="AK278" s="1"/>
      <c r="AL278" s="1"/>
      <c r="AM278" s="1"/>
      <c r="AN278" s="1"/>
      <c r="AO278" s="1"/>
      <c r="AP278" s="1"/>
      <c r="AQ278" s="1"/>
      <c r="AR278" s="1"/>
      <c r="AS278" s="1"/>
      <c r="AT278" s="1"/>
      <c r="AU278" s="1"/>
      <c r="AV278" s="1"/>
      <c r="AW278" s="1"/>
      <c r="AX278" s="1"/>
      <c r="AY278" s="1"/>
    </row>
    <row r="279" spans="1:51" ht="19.95" customHeight="1">
      <c r="A279" s="199"/>
      <c r="B279" s="394" t="s">
        <v>1277</v>
      </c>
      <c r="C279" s="24"/>
      <c r="D279" s="24"/>
      <c r="E279" s="24"/>
      <c r="F279" s="24"/>
      <c r="G279" s="24"/>
      <c r="H279" s="24"/>
      <c r="I279" s="24"/>
      <c r="J279" s="24"/>
      <c r="K279" s="24"/>
      <c r="L279" s="24"/>
      <c r="M279" s="24"/>
      <c r="N279" s="200"/>
      <c r="O279" s="199"/>
      <c r="P279" s="24"/>
      <c r="Q279" s="24"/>
      <c r="R279" s="398"/>
      <c r="S279" s="398"/>
      <c r="T279" s="398"/>
      <c r="U279" s="398"/>
      <c r="V279" s="398"/>
      <c r="W279" s="398"/>
      <c r="X279" s="398"/>
      <c r="Y279" s="398"/>
      <c r="Z279" s="398"/>
      <c r="AA279" s="398"/>
      <c r="AB279" s="200"/>
      <c r="AC279" s="1"/>
      <c r="AD279" s="1"/>
      <c r="AE279" s="1"/>
      <c r="AF279" s="1"/>
      <c r="AG279" s="1"/>
      <c r="AH279" s="1"/>
      <c r="AI279" s="1"/>
      <c r="AJ279" s="1"/>
      <c r="AK279" s="1"/>
      <c r="AL279" s="1"/>
      <c r="AM279" s="1"/>
      <c r="AN279" s="1"/>
      <c r="AO279" s="1"/>
      <c r="AP279" s="1"/>
      <c r="AQ279" s="1"/>
      <c r="AR279" s="1"/>
      <c r="AS279" s="1"/>
      <c r="AT279" s="1"/>
      <c r="AU279" s="1"/>
      <c r="AV279" s="1"/>
      <c r="AW279" s="1"/>
      <c r="AX279" s="1"/>
      <c r="AY279" s="1"/>
    </row>
    <row r="280" spans="1:51" ht="19.95" customHeight="1">
      <c r="A280" s="199"/>
      <c r="B280" s="1277" t="s">
        <v>1705</v>
      </c>
      <c r="C280" s="1277"/>
      <c r="D280" s="1277"/>
      <c r="E280" s="1277"/>
      <c r="F280" s="1277"/>
      <c r="G280" s="1277"/>
      <c r="H280" s="1277"/>
      <c r="I280" s="1277"/>
      <c r="J280" s="1277"/>
      <c r="K280" s="1277"/>
      <c r="L280" s="1277"/>
      <c r="M280" s="1277"/>
      <c r="N280" s="200"/>
      <c r="O280" s="199"/>
      <c r="P280" s="24"/>
      <c r="Q280" s="24"/>
      <c r="R280" s="398"/>
      <c r="S280" s="398"/>
      <c r="T280" s="398"/>
      <c r="U280" s="398"/>
      <c r="V280" s="398"/>
      <c r="W280" s="398"/>
      <c r="X280" s="398"/>
      <c r="Y280" s="398"/>
      <c r="Z280" s="398"/>
      <c r="AA280" s="398"/>
      <c r="AB280" s="200"/>
      <c r="AC280" s="1"/>
      <c r="AD280" s="1"/>
      <c r="AE280" s="1"/>
      <c r="AF280" s="1"/>
      <c r="AG280" s="1"/>
      <c r="AH280" s="1"/>
      <c r="AI280" s="1"/>
      <c r="AJ280" s="1"/>
      <c r="AK280" s="1"/>
      <c r="AL280" s="1"/>
      <c r="AM280" s="1"/>
      <c r="AN280" s="1"/>
      <c r="AO280" s="1"/>
      <c r="AP280" s="1"/>
      <c r="AQ280" s="1"/>
      <c r="AR280" s="1"/>
      <c r="AS280" s="1"/>
      <c r="AT280" s="1"/>
      <c r="AU280" s="1"/>
      <c r="AV280" s="1"/>
      <c r="AW280" s="1"/>
      <c r="AX280" s="1"/>
      <c r="AY280" s="1"/>
    </row>
    <row r="281" spans="1:51" ht="19.95" customHeight="1">
      <c r="A281" s="199"/>
      <c r="B281" s="1277"/>
      <c r="C281" s="1277"/>
      <c r="D281" s="1277"/>
      <c r="E281" s="1277"/>
      <c r="F281" s="1277"/>
      <c r="G281" s="1277"/>
      <c r="H281" s="1277"/>
      <c r="I281" s="1277"/>
      <c r="J281" s="1277"/>
      <c r="K281" s="1277"/>
      <c r="L281" s="1277"/>
      <c r="M281" s="1277"/>
      <c r="N281" s="200"/>
      <c r="O281" s="199"/>
      <c r="P281" s="24"/>
      <c r="Q281" s="24"/>
      <c r="R281" s="398"/>
      <c r="S281" s="398"/>
      <c r="T281" s="398"/>
      <c r="U281" s="398"/>
      <c r="V281" s="398"/>
      <c r="W281" s="398"/>
      <c r="X281" s="398"/>
      <c r="Y281" s="398"/>
      <c r="Z281" s="398"/>
      <c r="AA281" s="398"/>
      <c r="AB281" s="200"/>
      <c r="AC281" s="1"/>
      <c r="AD281" s="1"/>
      <c r="AE281" s="1"/>
      <c r="AF281" s="1"/>
      <c r="AG281" s="1"/>
      <c r="AH281" s="1"/>
      <c r="AI281" s="1"/>
      <c r="AJ281" s="1"/>
      <c r="AK281" s="1"/>
      <c r="AL281" s="1"/>
      <c r="AM281" s="1"/>
      <c r="AN281" s="1"/>
      <c r="AO281" s="1"/>
      <c r="AP281" s="1"/>
      <c r="AQ281" s="1"/>
      <c r="AR281" s="1"/>
      <c r="AS281" s="1"/>
      <c r="AT281" s="1"/>
      <c r="AU281" s="1"/>
      <c r="AV281" s="1"/>
      <c r="AW281" s="1"/>
      <c r="AX281" s="1"/>
      <c r="AY281" s="1"/>
    </row>
    <row r="282" spans="1:51" ht="19.95" customHeight="1">
      <c r="A282" s="199"/>
      <c r="B282" s="1277"/>
      <c r="C282" s="1277"/>
      <c r="D282" s="1277"/>
      <c r="E282" s="1277"/>
      <c r="F282" s="1277"/>
      <c r="G282" s="1277"/>
      <c r="H282" s="1277"/>
      <c r="I282" s="1277"/>
      <c r="J282" s="1277"/>
      <c r="K282" s="1277"/>
      <c r="L282" s="1277"/>
      <c r="M282" s="1277"/>
      <c r="N282" s="200"/>
      <c r="O282" s="199"/>
      <c r="P282" s="24"/>
      <c r="Q282" s="24"/>
      <c r="R282" s="398"/>
      <c r="S282" s="398"/>
      <c r="T282" s="398"/>
      <c r="U282" s="398"/>
      <c r="V282" s="398"/>
      <c r="W282" s="398"/>
      <c r="X282" s="398"/>
      <c r="Y282" s="398"/>
      <c r="Z282" s="398"/>
      <c r="AA282" s="398"/>
      <c r="AB282" s="200"/>
      <c r="AC282" s="1"/>
      <c r="AD282" s="1"/>
      <c r="AE282" s="1"/>
      <c r="AF282" s="1"/>
      <c r="AG282" s="1"/>
      <c r="AH282" s="1"/>
      <c r="AI282" s="1"/>
      <c r="AJ282" s="1"/>
      <c r="AK282" s="1"/>
      <c r="AL282" s="1"/>
      <c r="AM282" s="1"/>
      <c r="AN282" s="1"/>
      <c r="AO282" s="1"/>
      <c r="AP282" s="1"/>
      <c r="AQ282" s="1"/>
      <c r="AR282" s="1"/>
      <c r="AS282" s="1"/>
      <c r="AT282" s="1"/>
      <c r="AU282" s="1"/>
      <c r="AV282" s="1"/>
      <c r="AW282" s="1"/>
      <c r="AX282" s="1"/>
      <c r="AY282" s="1"/>
    </row>
    <row r="283" spans="1:51" ht="19.95" customHeight="1">
      <c r="A283" s="199"/>
      <c r="B283" s="1277"/>
      <c r="C283" s="1277"/>
      <c r="D283" s="1277"/>
      <c r="E283" s="1277"/>
      <c r="F283" s="1277"/>
      <c r="G283" s="1277"/>
      <c r="H283" s="1277"/>
      <c r="I283" s="1277"/>
      <c r="J283" s="1277"/>
      <c r="K283" s="1277"/>
      <c r="L283" s="1277"/>
      <c r="M283" s="1277"/>
      <c r="N283" s="200"/>
      <c r="O283" s="199"/>
      <c r="P283" s="24"/>
      <c r="Q283" s="24"/>
      <c r="R283" s="398"/>
      <c r="S283" s="398"/>
      <c r="T283" s="398"/>
      <c r="U283" s="398"/>
      <c r="V283" s="398"/>
      <c r="W283" s="398"/>
      <c r="X283" s="398"/>
      <c r="Y283" s="398"/>
      <c r="Z283" s="398"/>
      <c r="AA283" s="398"/>
      <c r="AB283" s="200"/>
      <c r="AC283" s="1"/>
      <c r="AD283" s="1"/>
      <c r="AE283" s="1"/>
      <c r="AF283" s="1"/>
      <c r="AG283" s="1"/>
      <c r="AH283" s="1"/>
      <c r="AI283" s="1"/>
      <c r="AJ283" s="1"/>
      <c r="AK283" s="1"/>
      <c r="AL283" s="1"/>
      <c r="AM283" s="1"/>
      <c r="AN283" s="1"/>
      <c r="AO283" s="1"/>
      <c r="AP283" s="1"/>
      <c r="AQ283" s="1"/>
      <c r="AR283" s="1"/>
      <c r="AS283" s="1"/>
      <c r="AT283" s="1"/>
      <c r="AU283" s="1"/>
      <c r="AV283" s="1"/>
      <c r="AW283" s="1"/>
      <c r="AX283" s="1"/>
      <c r="AY283" s="1"/>
    </row>
    <row r="284" spans="1:51" ht="19.95" customHeight="1">
      <c r="A284" s="199"/>
      <c r="B284" s="1277"/>
      <c r="C284" s="1277"/>
      <c r="D284" s="1277"/>
      <c r="E284" s="1277"/>
      <c r="F284" s="1277"/>
      <c r="G284" s="1277"/>
      <c r="H284" s="1277"/>
      <c r="I284" s="1277"/>
      <c r="J284" s="1277"/>
      <c r="K284" s="1277"/>
      <c r="L284" s="1277"/>
      <c r="M284" s="1277"/>
      <c r="N284" s="200"/>
      <c r="O284" s="199"/>
      <c r="P284" s="24"/>
      <c r="Q284" s="24"/>
      <c r="R284" s="398"/>
      <c r="S284" s="398"/>
      <c r="T284" s="398"/>
      <c r="U284" s="398"/>
      <c r="V284" s="398"/>
      <c r="W284" s="398"/>
      <c r="X284" s="398"/>
      <c r="Y284" s="398"/>
      <c r="Z284" s="398"/>
      <c r="AA284" s="398"/>
      <c r="AB284" s="200"/>
      <c r="AC284" s="1"/>
      <c r="AD284" s="1"/>
      <c r="AE284" s="1"/>
      <c r="AF284" s="1"/>
      <c r="AG284" s="1"/>
      <c r="AH284" s="1"/>
      <c r="AI284" s="1"/>
      <c r="AJ284" s="1"/>
      <c r="AK284" s="1"/>
      <c r="AL284" s="1"/>
      <c r="AM284" s="1"/>
      <c r="AN284" s="1"/>
      <c r="AO284" s="1"/>
      <c r="AP284" s="1"/>
      <c r="AQ284" s="1"/>
      <c r="AR284" s="1"/>
      <c r="AS284" s="1"/>
      <c r="AT284" s="1"/>
      <c r="AU284" s="1"/>
      <c r="AV284" s="1"/>
      <c r="AW284" s="1"/>
      <c r="AX284" s="1"/>
      <c r="AY284" s="1"/>
    </row>
    <row r="285" spans="1:51" ht="19.95" customHeight="1">
      <c r="A285" s="199"/>
      <c r="B285" s="394" t="s">
        <v>1278</v>
      </c>
      <c r="C285" s="24"/>
      <c r="D285" s="24"/>
      <c r="E285" s="24"/>
      <c r="F285" s="24"/>
      <c r="G285" s="24"/>
      <c r="H285" s="24"/>
      <c r="I285" s="24"/>
      <c r="J285" s="24"/>
      <c r="K285" s="24"/>
      <c r="L285" s="24"/>
      <c r="M285" s="24"/>
      <c r="N285" s="200"/>
      <c r="O285" s="199"/>
      <c r="P285" s="24"/>
      <c r="Q285" s="24"/>
      <c r="R285" s="398"/>
      <c r="S285" s="398"/>
      <c r="T285" s="398"/>
      <c r="U285" s="398"/>
      <c r="V285" s="398"/>
      <c r="W285" s="398"/>
      <c r="X285" s="398"/>
      <c r="Y285" s="398"/>
      <c r="Z285" s="398"/>
      <c r="AA285" s="398"/>
      <c r="AB285" s="200"/>
      <c r="AC285" s="1"/>
      <c r="AD285" s="1"/>
      <c r="AE285" s="1"/>
      <c r="AF285" s="1"/>
      <c r="AG285" s="1"/>
      <c r="AH285" s="1"/>
      <c r="AI285" s="1"/>
      <c r="AJ285" s="1"/>
      <c r="AK285" s="1"/>
      <c r="AL285" s="1"/>
      <c r="AM285" s="1"/>
      <c r="AN285" s="1"/>
      <c r="AO285" s="1"/>
      <c r="AP285" s="1"/>
      <c r="AQ285" s="1"/>
      <c r="AR285" s="1"/>
      <c r="AS285" s="1"/>
      <c r="AT285" s="1"/>
      <c r="AU285" s="1"/>
      <c r="AV285" s="1"/>
      <c r="AW285" s="1"/>
      <c r="AX285" s="1"/>
      <c r="AY285" s="1"/>
    </row>
    <row r="286" spans="1:51" ht="19.95" customHeight="1">
      <c r="A286" s="199"/>
      <c r="B286" s="1277" t="s">
        <v>2016</v>
      </c>
      <c r="C286" s="1277"/>
      <c r="D286" s="1277"/>
      <c r="E286" s="1277"/>
      <c r="F286" s="1277"/>
      <c r="G286" s="1277"/>
      <c r="H286" s="1277"/>
      <c r="I286" s="1277"/>
      <c r="J286" s="1277"/>
      <c r="K286" s="1277"/>
      <c r="L286" s="1277"/>
      <c r="M286" s="1277"/>
      <c r="N286" s="200"/>
      <c r="O286" s="199"/>
      <c r="P286" s="24"/>
      <c r="Q286" s="24"/>
      <c r="R286" s="398"/>
      <c r="S286" s="398"/>
      <c r="T286" s="398"/>
      <c r="U286" s="398"/>
      <c r="V286" s="398"/>
      <c r="W286" s="398"/>
      <c r="X286" s="398"/>
      <c r="Y286" s="398"/>
      <c r="Z286" s="398"/>
      <c r="AA286" s="398"/>
      <c r="AB286" s="200"/>
      <c r="AC286" s="1"/>
      <c r="AD286" s="1"/>
      <c r="AE286" s="1"/>
      <c r="AF286" s="1"/>
      <c r="AG286" s="1"/>
      <c r="AH286" s="1"/>
      <c r="AI286" s="1"/>
      <c r="AJ286" s="1"/>
      <c r="AK286" s="1"/>
      <c r="AL286" s="1"/>
      <c r="AM286" s="1"/>
      <c r="AN286" s="1"/>
      <c r="AO286" s="1"/>
      <c r="AP286" s="1"/>
      <c r="AQ286" s="1"/>
      <c r="AR286" s="1"/>
      <c r="AS286" s="1"/>
      <c r="AT286" s="1"/>
      <c r="AU286" s="1"/>
      <c r="AV286" s="1"/>
      <c r="AW286" s="1"/>
      <c r="AX286" s="1"/>
      <c r="AY286" s="1"/>
    </row>
    <row r="287" spans="1:51" ht="19.95" customHeight="1">
      <c r="A287" s="199"/>
      <c r="B287" s="1277"/>
      <c r="C287" s="1277"/>
      <c r="D287" s="1277"/>
      <c r="E287" s="1277"/>
      <c r="F287" s="1277"/>
      <c r="G287" s="1277"/>
      <c r="H287" s="1277"/>
      <c r="I287" s="1277"/>
      <c r="J287" s="1277"/>
      <c r="K287" s="1277"/>
      <c r="L287" s="1277"/>
      <c r="M287" s="1277"/>
      <c r="N287" s="200"/>
      <c r="O287" s="199"/>
      <c r="P287" s="24"/>
      <c r="Q287" s="24"/>
      <c r="R287" s="398"/>
      <c r="S287" s="398"/>
      <c r="T287" s="398"/>
      <c r="U287" s="398"/>
      <c r="V287" s="398"/>
      <c r="W287" s="398"/>
      <c r="X287" s="398"/>
      <c r="Y287" s="398"/>
      <c r="Z287" s="398"/>
      <c r="AA287" s="398"/>
      <c r="AB287" s="200"/>
      <c r="AC287" s="1"/>
      <c r="AD287" s="1"/>
      <c r="AE287" s="1"/>
      <c r="AF287" s="1"/>
      <c r="AG287" s="1"/>
      <c r="AH287" s="1"/>
      <c r="AI287" s="1"/>
      <c r="AJ287" s="1"/>
      <c r="AK287" s="1"/>
      <c r="AL287" s="1"/>
      <c r="AM287" s="1"/>
      <c r="AN287" s="1"/>
      <c r="AO287" s="1"/>
      <c r="AP287" s="1"/>
      <c r="AQ287" s="1"/>
      <c r="AR287" s="1"/>
      <c r="AS287" s="1"/>
      <c r="AT287" s="1"/>
      <c r="AU287" s="1"/>
      <c r="AV287" s="1"/>
      <c r="AW287" s="1"/>
      <c r="AX287" s="1"/>
      <c r="AY287" s="1"/>
    </row>
    <row r="288" spans="1:51" ht="19.95" customHeight="1">
      <c r="A288" s="199"/>
      <c r="B288" s="1277"/>
      <c r="C288" s="1277"/>
      <c r="D288" s="1277"/>
      <c r="E288" s="1277"/>
      <c r="F288" s="1277"/>
      <c r="G288" s="1277"/>
      <c r="H288" s="1277"/>
      <c r="I288" s="1277"/>
      <c r="J288" s="1277"/>
      <c r="K288" s="1277"/>
      <c r="L288" s="1277"/>
      <c r="M288" s="1277"/>
      <c r="N288" s="200"/>
      <c r="O288" s="199"/>
      <c r="P288" s="24"/>
      <c r="Q288" s="24"/>
      <c r="R288" s="398"/>
      <c r="S288" s="398"/>
      <c r="T288" s="398"/>
      <c r="U288" s="398"/>
      <c r="V288" s="398"/>
      <c r="W288" s="398"/>
      <c r="X288" s="398"/>
      <c r="Y288" s="398"/>
      <c r="Z288" s="398"/>
      <c r="AA288" s="398"/>
      <c r="AB288" s="200"/>
      <c r="AC288" s="1"/>
      <c r="AD288" s="1"/>
      <c r="AE288" s="1"/>
      <c r="AF288" s="1"/>
      <c r="AG288" s="1"/>
      <c r="AH288" s="1"/>
      <c r="AI288" s="1"/>
      <c r="AJ288" s="1"/>
      <c r="AK288" s="1"/>
      <c r="AL288" s="1"/>
      <c r="AM288" s="1"/>
      <c r="AN288" s="1"/>
      <c r="AO288" s="1"/>
      <c r="AP288" s="1"/>
      <c r="AQ288" s="1"/>
      <c r="AR288" s="1"/>
      <c r="AS288" s="1"/>
      <c r="AT288" s="1"/>
      <c r="AU288" s="1"/>
      <c r="AV288" s="1"/>
      <c r="AW288" s="1"/>
      <c r="AX288" s="1"/>
      <c r="AY288" s="1"/>
    </row>
    <row r="289" spans="1:51" ht="19.95" customHeight="1">
      <c r="A289" s="199"/>
      <c r="B289" s="1277"/>
      <c r="C289" s="1277"/>
      <c r="D289" s="1277"/>
      <c r="E289" s="1277"/>
      <c r="F289" s="1277"/>
      <c r="G289" s="1277"/>
      <c r="H289" s="1277"/>
      <c r="I289" s="1277"/>
      <c r="J289" s="1277"/>
      <c r="K289" s="1277"/>
      <c r="L289" s="1277"/>
      <c r="M289" s="1277"/>
      <c r="N289" s="200"/>
      <c r="O289" s="199"/>
      <c r="P289" s="24"/>
      <c r="Q289" s="24"/>
      <c r="R289" s="398"/>
      <c r="S289" s="398"/>
      <c r="T289" s="398"/>
      <c r="U289" s="398"/>
      <c r="V289" s="398"/>
      <c r="W289" s="398"/>
      <c r="X289" s="398"/>
      <c r="Y289" s="398"/>
      <c r="Z289" s="398"/>
      <c r="AA289" s="398"/>
      <c r="AB289" s="200"/>
      <c r="AC289" s="1"/>
      <c r="AD289" s="1"/>
      <c r="AE289" s="1"/>
      <c r="AF289" s="1"/>
      <c r="AG289" s="1"/>
      <c r="AH289" s="1"/>
      <c r="AI289" s="1"/>
      <c r="AJ289" s="1"/>
      <c r="AK289" s="1"/>
      <c r="AL289" s="1"/>
      <c r="AM289" s="1"/>
      <c r="AN289" s="1"/>
      <c r="AO289" s="1"/>
      <c r="AP289" s="1"/>
      <c r="AQ289" s="1"/>
      <c r="AR289" s="1"/>
      <c r="AS289" s="1"/>
      <c r="AT289" s="1"/>
      <c r="AU289" s="1"/>
      <c r="AV289" s="1"/>
      <c r="AW289" s="1"/>
      <c r="AX289" s="1"/>
      <c r="AY289" s="1"/>
    </row>
    <row r="290" spans="1:51" ht="19.95" customHeight="1">
      <c r="A290" s="199"/>
      <c r="B290" s="1277"/>
      <c r="C290" s="1277"/>
      <c r="D290" s="1277"/>
      <c r="E290" s="1277"/>
      <c r="F290" s="1277"/>
      <c r="G290" s="1277"/>
      <c r="H290" s="1277"/>
      <c r="I290" s="1277"/>
      <c r="J290" s="1277"/>
      <c r="K290" s="1277"/>
      <c r="L290" s="1277"/>
      <c r="M290" s="1277"/>
      <c r="N290" s="200"/>
      <c r="O290" s="199"/>
      <c r="P290" s="24"/>
      <c r="Q290" s="24"/>
      <c r="R290" s="398"/>
      <c r="S290" s="398"/>
      <c r="T290" s="398"/>
      <c r="U290" s="398"/>
      <c r="V290" s="398"/>
      <c r="W290" s="398"/>
      <c r="X290" s="398"/>
      <c r="Y290" s="398"/>
      <c r="Z290" s="398"/>
      <c r="AA290" s="398"/>
      <c r="AB290" s="200"/>
      <c r="AC290" s="1"/>
      <c r="AD290" s="1"/>
      <c r="AE290" s="1"/>
      <c r="AF290" s="1"/>
      <c r="AG290" s="1"/>
      <c r="AH290" s="1"/>
      <c r="AI290" s="1"/>
      <c r="AJ290" s="1"/>
      <c r="AK290" s="1"/>
      <c r="AL290" s="1"/>
      <c r="AM290" s="1"/>
      <c r="AN290" s="1"/>
      <c r="AO290" s="1"/>
      <c r="AP290" s="1"/>
      <c r="AQ290" s="1"/>
      <c r="AR290" s="1"/>
      <c r="AS290" s="1"/>
      <c r="AT290" s="1"/>
      <c r="AU290" s="1"/>
      <c r="AV290" s="1"/>
      <c r="AW290" s="1"/>
      <c r="AX290" s="1"/>
      <c r="AY290" s="1"/>
    </row>
    <row r="291" spans="1:51" ht="19.95" customHeight="1">
      <c r="A291" s="199"/>
      <c r="B291" s="394" t="s">
        <v>1279</v>
      </c>
      <c r="C291" s="24"/>
      <c r="D291" s="24"/>
      <c r="E291" s="24"/>
      <c r="F291" s="24"/>
      <c r="G291" s="24"/>
      <c r="H291" s="24"/>
      <c r="I291" s="24"/>
      <c r="J291" s="24"/>
      <c r="K291" s="24"/>
      <c r="L291" s="24"/>
      <c r="M291" s="24"/>
      <c r="N291" s="200"/>
      <c r="O291" s="199"/>
      <c r="P291" s="24"/>
      <c r="Q291" s="24"/>
      <c r="R291" s="398"/>
      <c r="S291" s="398"/>
      <c r="T291" s="398"/>
      <c r="U291" s="398"/>
      <c r="V291" s="398"/>
      <c r="W291" s="398"/>
      <c r="X291" s="398"/>
      <c r="Y291" s="398"/>
      <c r="Z291" s="398"/>
      <c r="AA291" s="398"/>
      <c r="AB291" s="200"/>
      <c r="AC291" s="1"/>
      <c r="AD291" s="1"/>
      <c r="AE291" s="1"/>
      <c r="AF291" s="1"/>
      <c r="AG291" s="1"/>
      <c r="AH291" s="1"/>
      <c r="AI291" s="1"/>
      <c r="AJ291" s="1"/>
      <c r="AK291" s="1"/>
      <c r="AL291" s="1"/>
      <c r="AM291" s="1"/>
      <c r="AN291" s="1"/>
      <c r="AO291" s="1"/>
      <c r="AP291" s="1"/>
      <c r="AQ291" s="1"/>
      <c r="AR291" s="1"/>
      <c r="AS291" s="1"/>
      <c r="AT291" s="1"/>
      <c r="AU291" s="1"/>
      <c r="AV291" s="1"/>
      <c r="AW291" s="1"/>
      <c r="AX291" s="1"/>
      <c r="AY291" s="1"/>
    </row>
    <row r="292" spans="1:51" ht="22.95" customHeight="1">
      <c r="A292" s="199"/>
      <c r="B292" s="1277" t="s">
        <v>1595</v>
      </c>
      <c r="C292" s="1277"/>
      <c r="D292" s="1277"/>
      <c r="E292" s="1277"/>
      <c r="F292" s="1277"/>
      <c r="G292" s="1277"/>
      <c r="H292" s="1277"/>
      <c r="I292" s="1277"/>
      <c r="J292" s="1277"/>
      <c r="K292" s="1277"/>
      <c r="L292" s="1277"/>
      <c r="M292" s="1277"/>
      <c r="N292" s="200"/>
      <c r="O292" s="199"/>
      <c r="P292" s="24"/>
      <c r="Q292" s="24"/>
      <c r="R292" s="398"/>
      <c r="S292" s="398"/>
      <c r="T292" s="398"/>
      <c r="U292" s="398"/>
      <c r="V292" s="398"/>
      <c r="W292" s="398"/>
      <c r="X292" s="398"/>
      <c r="Y292" s="398"/>
      <c r="Z292" s="398"/>
      <c r="AA292" s="398"/>
      <c r="AB292" s="200"/>
      <c r="AC292" s="1"/>
      <c r="AD292" s="1"/>
      <c r="AE292" s="1"/>
      <c r="AF292" s="1"/>
      <c r="AG292" s="1"/>
      <c r="AH292" s="1"/>
      <c r="AI292" s="1"/>
      <c r="AJ292" s="1"/>
      <c r="AK292" s="1"/>
      <c r="AL292" s="1"/>
      <c r="AM292" s="1"/>
      <c r="AN292" s="1"/>
      <c r="AO292" s="1"/>
      <c r="AP292" s="1"/>
      <c r="AQ292" s="1"/>
      <c r="AR292" s="1"/>
      <c r="AS292" s="1"/>
      <c r="AT292" s="1"/>
      <c r="AU292" s="1"/>
      <c r="AV292" s="1"/>
      <c r="AW292" s="1"/>
      <c r="AX292" s="1"/>
      <c r="AY292" s="1"/>
    </row>
    <row r="293" spans="1:51" ht="22.95" customHeight="1">
      <c r="A293" s="199"/>
      <c r="B293" s="1277"/>
      <c r="C293" s="1277"/>
      <c r="D293" s="1277"/>
      <c r="E293" s="1277"/>
      <c r="F293" s="1277"/>
      <c r="G293" s="1277"/>
      <c r="H293" s="1277"/>
      <c r="I293" s="1277"/>
      <c r="J293" s="1277"/>
      <c r="K293" s="1277"/>
      <c r="L293" s="1277"/>
      <c r="M293" s="1277"/>
      <c r="N293" s="200"/>
      <c r="O293" s="199"/>
      <c r="P293" s="24"/>
      <c r="Q293" s="24"/>
      <c r="R293" s="398"/>
      <c r="S293" s="398"/>
      <c r="T293" s="398"/>
      <c r="U293" s="398"/>
      <c r="V293" s="398"/>
      <c r="W293" s="398"/>
      <c r="X293" s="398"/>
      <c r="Y293" s="398"/>
      <c r="Z293" s="398"/>
      <c r="AA293" s="398"/>
      <c r="AB293" s="200"/>
      <c r="AC293" s="1"/>
      <c r="AD293" s="1"/>
      <c r="AE293" s="1"/>
      <c r="AF293" s="1"/>
      <c r="AG293" s="1"/>
      <c r="AH293" s="1"/>
      <c r="AI293" s="1"/>
      <c r="AJ293" s="1"/>
      <c r="AK293" s="1"/>
      <c r="AL293" s="1"/>
      <c r="AM293" s="1"/>
      <c r="AN293" s="1"/>
      <c r="AO293" s="1"/>
      <c r="AP293" s="1"/>
      <c r="AQ293" s="1"/>
      <c r="AR293" s="1"/>
      <c r="AS293" s="1"/>
      <c r="AT293" s="1"/>
      <c r="AU293" s="1"/>
      <c r="AV293" s="1"/>
      <c r="AW293" s="1"/>
      <c r="AX293" s="1"/>
      <c r="AY293" s="1"/>
    </row>
    <row r="294" spans="1:51" ht="22.95" customHeight="1">
      <c r="A294" s="199"/>
      <c r="B294" s="1277"/>
      <c r="C294" s="1277"/>
      <c r="D294" s="1277"/>
      <c r="E294" s="1277"/>
      <c r="F294" s="1277"/>
      <c r="G294" s="1277"/>
      <c r="H294" s="1277"/>
      <c r="I294" s="1277"/>
      <c r="J294" s="1277"/>
      <c r="K294" s="1277"/>
      <c r="L294" s="1277"/>
      <c r="M294" s="1277"/>
      <c r="N294" s="200"/>
      <c r="O294" s="199"/>
      <c r="P294" s="24"/>
      <c r="Q294" s="24"/>
      <c r="R294" s="398"/>
      <c r="S294" s="398"/>
      <c r="T294" s="398"/>
      <c r="U294" s="398"/>
      <c r="V294" s="398"/>
      <c r="W294" s="398"/>
      <c r="X294" s="398"/>
      <c r="Y294" s="398"/>
      <c r="Z294" s="398"/>
      <c r="AA294" s="398"/>
      <c r="AB294" s="200"/>
      <c r="AC294" s="1"/>
      <c r="AD294" s="1"/>
      <c r="AE294" s="1"/>
      <c r="AF294" s="1"/>
      <c r="AG294" s="1"/>
      <c r="AH294" s="1"/>
      <c r="AI294" s="1"/>
      <c r="AJ294" s="1"/>
      <c r="AK294" s="1"/>
      <c r="AL294" s="1"/>
      <c r="AM294" s="1"/>
      <c r="AN294" s="1"/>
      <c r="AO294" s="1"/>
      <c r="AP294" s="1"/>
      <c r="AQ294" s="1"/>
      <c r="AR294" s="1"/>
      <c r="AS294" s="1"/>
      <c r="AT294" s="1"/>
      <c r="AU294" s="1"/>
      <c r="AV294" s="1"/>
      <c r="AW294" s="1"/>
      <c r="AX294" s="1"/>
      <c r="AY294" s="1"/>
    </row>
    <row r="295" spans="1:51" ht="22.95" customHeight="1">
      <c r="A295" s="199"/>
      <c r="B295" s="1277"/>
      <c r="C295" s="1277"/>
      <c r="D295" s="1277"/>
      <c r="E295" s="1277"/>
      <c r="F295" s="1277"/>
      <c r="G295" s="1277"/>
      <c r="H295" s="1277"/>
      <c r="I295" s="1277"/>
      <c r="J295" s="1277"/>
      <c r="K295" s="1277"/>
      <c r="L295" s="1277"/>
      <c r="M295" s="1277"/>
      <c r="N295" s="200"/>
      <c r="O295" s="199"/>
      <c r="P295" s="24"/>
      <c r="Q295" s="24"/>
      <c r="R295" s="398"/>
      <c r="S295" s="398"/>
      <c r="T295" s="398"/>
      <c r="U295" s="398"/>
      <c r="V295" s="398"/>
      <c r="W295" s="398"/>
      <c r="X295" s="398"/>
      <c r="Y295" s="398"/>
      <c r="Z295" s="398"/>
      <c r="AA295" s="398"/>
      <c r="AB295" s="200"/>
      <c r="AC295" s="1"/>
      <c r="AD295" s="1"/>
      <c r="AE295" s="1"/>
      <c r="AF295" s="1"/>
      <c r="AG295" s="1"/>
      <c r="AH295" s="1"/>
      <c r="AI295" s="1"/>
      <c r="AJ295" s="1"/>
      <c r="AK295" s="1"/>
      <c r="AL295" s="1"/>
      <c r="AM295" s="1"/>
      <c r="AN295" s="1"/>
      <c r="AO295" s="1"/>
      <c r="AP295" s="1"/>
      <c r="AQ295" s="1"/>
      <c r="AR295" s="1"/>
      <c r="AS295" s="1"/>
      <c r="AT295" s="1"/>
      <c r="AU295" s="1"/>
      <c r="AV295" s="1"/>
      <c r="AW295" s="1"/>
      <c r="AX295" s="1"/>
      <c r="AY295" s="1"/>
    </row>
    <row r="296" spans="1:51" ht="22.95" customHeight="1">
      <c r="A296" s="199"/>
      <c r="B296" s="1277"/>
      <c r="C296" s="1277"/>
      <c r="D296" s="1277"/>
      <c r="E296" s="1277"/>
      <c r="F296" s="1277"/>
      <c r="G296" s="1277"/>
      <c r="H296" s="1277"/>
      <c r="I296" s="1277"/>
      <c r="J296" s="1277"/>
      <c r="K296" s="1277"/>
      <c r="L296" s="1277"/>
      <c r="M296" s="1277"/>
      <c r="N296" s="200"/>
      <c r="O296" s="199"/>
      <c r="P296" s="24"/>
      <c r="Q296" s="24"/>
      <c r="R296" s="398"/>
      <c r="S296" s="398"/>
      <c r="T296" s="398"/>
      <c r="U296" s="398"/>
      <c r="V296" s="398"/>
      <c r="W296" s="398"/>
      <c r="X296" s="398"/>
      <c r="Y296" s="398"/>
      <c r="Z296" s="398"/>
      <c r="AA296" s="398"/>
      <c r="AB296" s="200"/>
      <c r="AC296" s="1"/>
      <c r="AD296" s="1"/>
      <c r="AE296" s="1"/>
      <c r="AF296" s="1"/>
      <c r="AG296" s="1"/>
      <c r="AH296" s="1"/>
      <c r="AI296" s="1"/>
      <c r="AJ296" s="1"/>
      <c r="AK296" s="1"/>
      <c r="AL296" s="1"/>
      <c r="AM296" s="1"/>
      <c r="AN296" s="1"/>
      <c r="AO296" s="1"/>
      <c r="AP296" s="1"/>
      <c r="AQ296" s="1"/>
      <c r="AR296" s="1"/>
      <c r="AS296" s="1"/>
      <c r="AT296" s="1"/>
      <c r="AU296" s="1"/>
      <c r="AV296" s="1"/>
      <c r="AW296" s="1"/>
      <c r="AX296" s="1"/>
      <c r="AY296" s="1"/>
    </row>
    <row r="297" spans="1:51" ht="4.95" customHeight="1" thickBot="1">
      <c r="A297" s="199"/>
      <c r="B297" s="391"/>
      <c r="C297" s="391"/>
      <c r="D297" s="391"/>
      <c r="E297" s="391"/>
      <c r="F297" s="391"/>
      <c r="G297" s="391"/>
      <c r="H297" s="391"/>
      <c r="I297" s="391"/>
      <c r="J297" s="391"/>
      <c r="K297" s="391"/>
      <c r="L297" s="391"/>
      <c r="M297" s="391"/>
      <c r="N297" s="200"/>
      <c r="O297" s="199"/>
      <c r="P297" s="24"/>
      <c r="Q297" s="24"/>
      <c r="R297" s="398"/>
      <c r="S297" s="398"/>
      <c r="T297" s="398"/>
      <c r="U297" s="398"/>
      <c r="V297" s="398"/>
      <c r="W297" s="398"/>
      <c r="X297" s="398"/>
      <c r="Y297" s="398"/>
      <c r="Z297" s="398"/>
      <c r="AA297" s="398"/>
      <c r="AB297" s="200"/>
      <c r="AC297" s="1"/>
      <c r="AD297" s="1"/>
      <c r="AE297" s="1"/>
      <c r="AF297" s="1"/>
      <c r="AG297" s="1"/>
      <c r="AH297" s="1"/>
      <c r="AI297" s="1"/>
      <c r="AJ297" s="1"/>
      <c r="AK297" s="1"/>
      <c r="AL297" s="1"/>
      <c r="AM297" s="1"/>
      <c r="AN297" s="1"/>
      <c r="AO297" s="1"/>
      <c r="AP297" s="1"/>
      <c r="AQ297" s="1"/>
      <c r="AR297" s="1"/>
      <c r="AS297" s="1"/>
      <c r="AT297" s="1"/>
      <c r="AU297" s="1"/>
      <c r="AV297" s="1"/>
      <c r="AW297" s="1"/>
      <c r="AX297" s="1"/>
      <c r="AY297" s="1"/>
    </row>
    <row r="298" spans="1:51" ht="18" customHeight="1" thickBot="1">
      <c r="A298" s="199"/>
      <c r="B298" s="393" t="s">
        <v>1274</v>
      </c>
      <c r="C298" s="392"/>
      <c r="D298" s="392"/>
      <c r="E298" s="392"/>
      <c r="F298" s="392"/>
      <c r="G298" s="1295" t="s">
        <v>43</v>
      </c>
      <c r="H298" s="1296"/>
      <c r="I298" s="1296"/>
      <c r="J298" s="1296"/>
      <c r="K298" s="1296"/>
      <c r="L298" s="1296"/>
      <c r="M298" s="1297"/>
      <c r="N298" s="200"/>
      <c r="O298" s="199"/>
      <c r="P298" s="24"/>
      <c r="Q298" s="24"/>
      <c r="R298" s="398"/>
      <c r="S298" s="398"/>
      <c r="T298" s="398"/>
      <c r="U298" s="398"/>
      <c r="V298" s="398"/>
      <c r="W298" s="398"/>
      <c r="X298" s="398"/>
      <c r="Y298" s="398"/>
      <c r="Z298" s="398"/>
      <c r="AA298" s="398"/>
      <c r="AB298" s="200"/>
      <c r="AC298" s="1"/>
      <c r="AD298" s="1"/>
      <c r="AE298" s="1"/>
      <c r="AF298" s="1"/>
      <c r="AG298" s="1"/>
      <c r="AH298" s="1"/>
      <c r="AI298" s="1"/>
      <c r="AJ298" s="1"/>
      <c r="AK298" s="1"/>
      <c r="AL298" s="1"/>
      <c r="AM298" s="1"/>
      <c r="AN298" s="1"/>
      <c r="AO298" s="1"/>
      <c r="AP298" s="1"/>
      <c r="AQ298" s="1"/>
      <c r="AR298" s="1"/>
      <c r="AS298" s="1"/>
      <c r="AT298" s="1"/>
      <c r="AU298" s="1"/>
      <c r="AV298" s="1"/>
      <c r="AW298" s="1"/>
      <c r="AX298" s="1"/>
      <c r="AY298" s="1"/>
    </row>
    <row r="299" spans="1:51" ht="4.95" customHeight="1" thickBot="1">
      <c r="A299" s="199"/>
      <c r="B299" s="392"/>
      <c r="C299" s="392"/>
      <c r="D299" s="392"/>
      <c r="E299" s="392"/>
      <c r="F299" s="392"/>
      <c r="G299" s="392"/>
      <c r="H299" s="24"/>
      <c r="I299" s="24"/>
      <c r="J299" s="24"/>
      <c r="K299" s="24"/>
      <c r="L299" s="24"/>
      <c r="M299" s="24"/>
      <c r="N299" s="200"/>
      <c r="O299" s="199"/>
      <c r="P299" s="24"/>
      <c r="Q299" s="24"/>
      <c r="R299" s="398"/>
      <c r="S299" s="398"/>
      <c r="T299" s="398"/>
      <c r="U299" s="398"/>
      <c r="V299" s="398"/>
      <c r="W299" s="398"/>
      <c r="X299" s="398"/>
      <c r="Y299" s="398"/>
      <c r="Z299" s="398"/>
      <c r="AA299" s="398"/>
      <c r="AB299" s="200"/>
      <c r="AC299" s="1"/>
      <c r="AD299" s="1"/>
      <c r="AE299" s="1"/>
      <c r="AF299" s="1"/>
      <c r="AG299" s="1"/>
      <c r="AH299" s="1"/>
      <c r="AI299" s="1"/>
      <c r="AJ299" s="1"/>
      <c r="AK299" s="1"/>
      <c r="AL299" s="1"/>
      <c r="AM299" s="1"/>
      <c r="AN299" s="1"/>
      <c r="AO299" s="1"/>
      <c r="AP299" s="1"/>
      <c r="AQ299" s="1"/>
      <c r="AR299" s="1"/>
      <c r="AS299" s="1"/>
      <c r="AT299" s="1"/>
      <c r="AU299" s="1"/>
      <c r="AV299" s="1"/>
      <c r="AW299" s="1"/>
      <c r="AX299" s="1"/>
      <c r="AY299" s="1"/>
    </row>
    <row r="300" spans="1:51" ht="18" customHeight="1" thickBot="1">
      <c r="A300" s="199"/>
      <c r="B300" s="393" t="s">
        <v>1275</v>
      </c>
      <c r="C300" s="392"/>
      <c r="D300" s="392"/>
      <c r="E300" s="392"/>
      <c r="F300" s="392"/>
      <c r="G300" s="1295" t="s">
        <v>1359</v>
      </c>
      <c r="H300" s="1296"/>
      <c r="I300" s="1296"/>
      <c r="J300" s="1296"/>
      <c r="K300" s="1296"/>
      <c r="L300" s="1296"/>
      <c r="M300" s="1297"/>
      <c r="N300" s="200"/>
      <c r="O300" s="199"/>
      <c r="P300" s="24"/>
      <c r="Q300" s="24"/>
      <c r="R300" s="398"/>
      <c r="S300" s="398"/>
      <c r="T300" s="398"/>
      <c r="U300" s="398"/>
      <c r="V300" s="398"/>
      <c r="W300" s="398"/>
      <c r="X300" s="398"/>
      <c r="Y300" s="398"/>
      <c r="Z300" s="398"/>
      <c r="AA300" s="398"/>
      <c r="AB300" s="200"/>
      <c r="AC300" s="1"/>
      <c r="AD300" s="1"/>
      <c r="AE300" s="1"/>
      <c r="AF300" s="1"/>
      <c r="AG300" s="1"/>
      <c r="AH300" s="1"/>
      <c r="AI300" s="1"/>
      <c r="AJ300" s="1"/>
      <c r="AK300" s="1"/>
      <c r="AL300" s="1"/>
      <c r="AM300" s="1"/>
      <c r="AN300" s="1"/>
      <c r="AO300" s="1"/>
      <c r="AP300" s="1"/>
      <c r="AQ300" s="1"/>
      <c r="AR300" s="1"/>
      <c r="AS300" s="1"/>
      <c r="AT300" s="1"/>
      <c r="AU300" s="1"/>
      <c r="AV300" s="1"/>
      <c r="AW300" s="1"/>
      <c r="AX300" s="1"/>
      <c r="AY300" s="1"/>
    </row>
    <row r="301" spans="1:51" ht="4.95" customHeight="1" thickBot="1">
      <c r="A301" s="199"/>
      <c r="B301" s="392"/>
      <c r="C301" s="392"/>
      <c r="D301" s="392"/>
      <c r="E301" s="392"/>
      <c r="F301" s="392"/>
      <c r="G301" s="392"/>
      <c r="H301" s="24"/>
      <c r="I301" s="24"/>
      <c r="J301" s="24"/>
      <c r="K301" s="24"/>
      <c r="L301" s="24"/>
      <c r="M301" s="24"/>
      <c r="N301" s="200"/>
      <c r="O301" s="199"/>
      <c r="P301" s="24"/>
      <c r="Q301" s="24"/>
      <c r="R301" s="398"/>
      <c r="S301" s="398"/>
      <c r="T301" s="398"/>
      <c r="U301" s="398"/>
      <c r="V301" s="398"/>
      <c r="W301" s="398"/>
      <c r="X301" s="398"/>
      <c r="Y301" s="398"/>
      <c r="Z301" s="398"/>
      <c r="AA301" s="398"/>
      <c r="AB301" s="200"/>
      <c r="AC301" s="1"/>
      <c r="AD301" s="1"/>
      <c r="AE301" s="1"/>
      <c r="AF301" s="1"/>
      <c r="AG301" s="1"/>
      <c r="AH301" s="1"/>
      <c r="AI301" s="1"/>
      <c r="AJ301" s="1"/>
      <c r="AK301" s="1"/>
      <c r="AL301" s="1"/>
      <c r="AM301" s="1"/>
      <c r="AN301" s="1"/>
      <c r="AO301" s="1"/>
      <c r="AP301" s="1"/>
      <c r="AQ301" s="1"/>
      <c r="AR301" s="1"/>
      <c r="AS301" s="1"/>
      <c r="AT301" s="1"/>
      <c r="AU301" s="1"/>
      <c r="AV301" s="1"/>
      <c r="AW301" s="1"/>
      <c r="AX301" s="1"/>
      <c r="AY301" s="1"/>
    </row>
    <row r="302" spans="1:51" ht="18" customHeight="1" thickBot="1">
      <c r="A302" s="199"/>
      <c r="B302" s="393" t="s">
        <v>1276</v>
      </c>
      <c r="C302" s="392"/>
      <c r="D302" s="392"/>
      <c r="E302" s="392"/>
      <c r="F302" s="392"/>
      <c r="G302" s="1295" t="s">
        <v>1360</v>
      </c>
      <c r="H302" s="1296"/>
      <c r="I302" s="1296"/>
      <c r="J302" s="1296"/>
      <c r="K302" s="1296"/>
      <c r="L302" s="1296"/>
      <c r="M302" s="1297"/>
      <c r="N302" s="200"/>
      <c r="O302" s="199"/>
      <c r="P302" s="24"/>
      <c r="Q302" s="24"/>
      <c r="R302" s="398"/>
      <c r="S302" s="398"/>
      <c r="T302" s="398"/>
      <c r="U302" s="398"/>
      <c r="V302" s="398"/>
      <c r="W302" s="398"/>
      <c r="X302" s="398"/>
      <c r="Y302" s="398"/>
      <c r="Z302" s="398"/>
      <c r="AA302" s="398"/>
      <c r="AB302" s="200"/>
      <c r="AC302" s="1"/>
      <c r="AD302" s="1"/>
      <c r="AE302" s="1"/>
      <c r="AF302" s="1"/>
      <c r="AG302" s="1"/>
      <c r="AH302" s="1"/>
      <c r="AI302" s="1"/>
      <c r="AJ302" s="1"/>
      <c r="AK302" s="1"/>
      <c r="AL302" s="1"/>
      <c r="AM302" s="1"/>
      <c r="AN302" s="1"/>
      <c r="AO302" s="1"/>
      <c r="AP302" s="1"/>
      <c r="AQ302" s="1"/>
      <c r="AR302" s="1"/>
      <c r="AS302" s="1"/>
      <c r="AT302" s="1"/>
      <c r="AU302" s="1"/>
      <c r="AV302" s="1"/>
      <c r="AW302" s="1"/>
      <c r="AX302" s="1"/>
      <c r="AY302" s="1"/>
    </row>
    <row r="303" spans="1:51" ht="4.95" customHeight="1">
      <c r="A303" s="199"/>
      <c r="B303" s="24"/>
      <c r="C303" s="24"/>
      <c r="D303" s="24"/>
      <c r="E303" s="24"/>
      <c r="F303" s="24"/>
      <c r="G303" s="24"/>
      <c r="H303" s="24"/>
      <c r="I303" s="24"/>
      <c r="J303" s="24"/>
      <c r="K303" s="24"/>
      <c r="L303" s="24"/>
      <c r="M303" s="24"/>
      <c r="N303" s="200"/>
      <c r="O303" s="199"/>
      <c r="P303" s="24"/>
      <c r="Q303" s="24"/>
      <c r="R303" s="398"/>
      <c r="S303" s="398"/>
      <c r="T303" s="398"/>
      <c r="U303" s="398"/>
      <c r="V303" s="398"/>
      <c r="W303" s="398"/>
      <c r="X303" s="398"/>
      <c r="Y303" s="398"/>
      <c r="Z303" s="398"/>
      <c r="AA303" s="398"/>
      <c r="AB303" s="200"/>
      <c r="AC303" s="1"/>
      <c r="AD303" s="1"/>
      <c r="AE303" s="1"/>
      <c r="AF303" s="1"/>
      <c r="AG303" s="1"/>
      <c r="AH303" s="1"/>
      <c r="AI303" s="1"/>
      <c r="AJ303" s="1"/>
      <c r="AK303" s="1"/>
      <c r="AL303" s="1"/>
      <c r="AM303" s="1"/>
      <c r="AN303" s="1"/>
      <c r="AO303" s="1"/>
      <c r="AP303" s="1"/>
      <c r="AQ303" s="1"/>
      <c r="AR303" s="1"/>
      <c r="AS303" s="1"/>
      <c r="AT303" s="1"/>
      <c r="AU303" s="1"/>
      <c r="AV303" s="1"/>
      <c r="AW303" s="1"/>
      <c r="AX303" s="1"/>
      <c r="AY303" s="1"/>
    </row>
    <row r="304" spans="1:51" ht="19.95" customHeight="1">
      <c r="A304" s="199"/>
      <c r="B304" s="1277" t="s">
        <v>1703</v>
      </c>
      <c r="C304" s="1277"/>
      <c r="D304" s="1277"/>
      <c r="E304" s="1277"/>
      <c r="F304" s="1277"/>
      <c r="G304" s="1277"/>
      <c r="H304" s="1277"/>
      <c r="I304" s="1277"/>
      <c r="J304" s="1277"/>
      <c r="K304" s="1277"/>
      <c r="L304" s="1277"/>
      <c r="M304" s="1277"/>
      <c r="N304" s="200"/>
      <c r="O304" s="199"/>
      <c r="P304" s="24"/>
      <c r="Q304" s="24"/>
      <c r="R304" s="398"/>
      <c r="S304" s="398"/>
      <c r="T304" s="398"/>
      <c r="U304" s="398"/>
      <c r="V304" s="398"/>
      <c r="W304" s="398"/>
      <c r="X304" s="398"/>
      <c r="Y304" s="398"/>
      <c r="Z304" s="398"/>
      <c r="AA304" s="398"/>
      <c r="AB304" s="200"/>
      <c r="AC304" s="1"/>
      <c r="AD304" s="1"/>
      <c r="AE304" s="1"/>
      <c r="AF304" s="1"/>
      <c r="AG304" s="1"/>
      <c r="AH304" s="1"/>
      <c r="AI304" s="1"/>
      <c r="AJ304" s="1"/>
      <c r="AK304" s="1"/>
      <c r="AL304" s="1"/>
      <c r="AM304" s="1"/>
      <c r="AN304" s="1"/>
      <c r="AO304" s="1"/>
      <c r="AP304" s="1"/>
      <c r="AQ304" s="1"/>
      <c r="AR304" s="1"/>
      <c r="AS304" s="1"/>
      <c r="AT304" s="1"/>
      <c r="AU304" s="1"/>
      <c r="AV304" s="1"/>
      <c r="AW304" s="1"/>
      <c r="AX304" s="1"/>
      <c r="AY304" s="1"/>
    </row>
    <row r="305" spans="1:61" ht="19.95" customHeight="1">
      <c r="A305" s="199"/>
      <c r="B305" s="1277"/>
      <c r="C305" s="1277"/>
      <c r="D305" s="1277"/>
      <c r="E305" s="1277"/>
      <c r="F305" s="1277"/>
      <c r="G305" s="1277"/>
      <c r="H305" s="1277"/>
      <c r="I305" s="1277"/>
      <c r="J305" s="1277"/>
      <c r="K305" s="1277"/>
      <c r="L305" s="1277"/>
      <c r="M305" s="1277"/>
      <c r="N305" s="200"/>
      <c r="O305" s="199"/>
      <c r="P305" s="24"/>
      <c r="Q305" s="24"/>
      <c r="R305" s="398"/>
      <c r="S305" s="398"/>
      <c r="T305" s="398"/>
      <c r="U305" s="398"/>
      <c r="V305" s="398"/>
      <c r="W305" s="398"/>
      <c r="X305" s="398"/>
      <c r="Y305" s="398"/>
      <c r="Z305" s="398"/>
      <c r="AA305" s="398"/>
      <c r="AB305" s="200"/>
      <c r="AC305" s="1"/>
      <c r="AD305" s="1"/>
      <c r="AE305" s="1"/>
      <c r="AF305" s="1"/>
      <c r="AG305" s="1"/>
      <c r="AH305" s="1"/>
      <c r="AI305" s="1"/>
      <c r="AJ305" s="1"/>
      <c r="AK305" s="1"/>
      <c r="AL305" s="1"/>
      <c r="AM305" s="1"/>
      <c r="AN305" s="1"/>
      <c r="AO305" s="1"/>
      <c r="AP305" s="1"/>
      <c r="AQ305" s="1"/>
      <c r="AR305" s="1"/>
      <c r="AS305" s="1"/>
      <c r="AT305" s="1"/>
      <c r="AU305" s="1"/>
      <c r="AV305" s="1"/>
      <c r="AW305" s="1"/>
      <c r="AX305" s="1"/>
      <c r="AY305" s="1"/>
    </row>
    <row r="306" spans="1:61" ht="19.95" customHeight="1">
      <c r="A306" s="199"/>
      <c r="B306" s="1277"/>
      <c r="C306" s="1277"/>
      <c r="D306" s="1277"/>
      <c r="E306" s="1277"/>
      <c r="F306" s="1277"/>
      <c r="G306" s="1277"/>
      <c r="H306" s="1277"/>
      <c r="I306" s="1277"/>
      <c r="J306" s="1277"/>
      <c r="K306" s="1277"/>
      <c r="L306" s="1277"/>
      <c r="M306" s="1277"/>
      <c r="N306" s="200"/>
      <c r="O306" s="199"/>
      <c r="P306" s="24"/>
      <c r="Q306" s="24"/>
      <c r="R306" s="398"/>
      <c r="S306" s="398"/>
      <c r="T306" s="398"/>
      <c r="U306" s="398"/>
      <c r="V306" s="398"/>
      <c r="W306" s="398"/>
      <c r="X306" s="398"/>
      <c r="Y306" s="398"/>
      <c r="Z306" s="398"/>
      <c r="AA306" s="398"/>
      <c r="AB306" s="200"/>
      <c r="AC306" s="1"/>
      <c r="AD306" s="1"/>
      <c r="AE306" s="1"/>
      <c r="AF306" s="1"/>
      <c r="AG306" s="1"/>
      <c r="AH306" s="1"/>
      <c r="AI306" s="1"/>
      <c r="AJ306" s="1"/>
      <c r="AK306" s="1"/>
      <c r="AL306" s="1"/>
      <c r="AM306" s="1"/>
      <c r="AN306" s="1"/>
      <c r="AO306" s="1"/>
      <c r="AP306" s="1"/>
      <c r="AQ306" s="1"/>
      <c r="AR306" s="1"/>
      <c r="AS306" s="1"/>
      <c r="AT306" s="1"/>
      <c r="AU306" s="1"/>
      <c r="AV306" s="1"/>
      <c r="AW306" s="1"/>
      <c r="AX306" s="1"/>
      <c r="AY306" s="1"/>
    </row>
    <row r="307" spans="1:61" ht="19.95" customHeight="1">
      <c r="A307" s="199"/>
      <c r="B307" s="1277"/>
      <c r="C307" s="1277"/>
      <c r="D307" s="1277"/>
      <c r="E307" s="1277"/>
      <c r="F307" s="1277"/>
      <c r="G307" s="1277"/>
      <c r="H307" s="1277"/>
      <c r="I307" s="1277"/>
      <c r="J307" s="1277"/>
      <c r="K307" s="1277"/>
      <c r="L307" s="1277"/>
      <c r="M307" s="1277"/>
      <c r="N307" s="200"/>
      <c r="O307" s="199"/>
      <c r="P307" s="24"/>
      <c r="Q307" s="24"/>
      <c r="R307" s="398"/>
      <c r="S307" s="398"/>
      <c r="T307" s="398"/>
      <c r="U307" s="398"/>
      <c r="V307" s="398"/>
      <c r="W307" s="398"/>
      <c r="X307" s="398"/>
      <c r="Y307" s="398"/>
      <c r="Z307" s="398"/>
      <c r="AA307" s="398"/>
      <c r="AB307" s="200"/>
      <c r="AC307" s="1"/>
      <c r="AD307" s="1"/>
      <c r="AE307" s="1"/>
      <c r="AF307" s="1"/>
      <c r="AG307" s="1"/>
      <c r="AH307" s="1"/>
      <c r="AI307" s="1"/>
      <c r="AJ307" s="1"/>
      <c r="AK307" s="1"/>
      <c r="AL307" s="1"/>
      <c r="AM307" s="1"/>
      <c r="AN307" s="1"/>
      <c r="AO307" s="1"/>
      <c r="AP307" s="1"/>
      <c r="AQ307" s="1"/>
      <c r="AR307" s="1"/>
      <c r="AS307" s="1"/>
      <c r="AT307" s="1"/>
      <c r="AU307" s="1"/>
      <c r="AV307" s="1"/>
      <c r="AW307" s="1"/>
      <c r="AX307" s="1"/>
      <c r="AY307" s="1"/>
    </row>
    <row r="308" spans="1:61" ht="19.95" customHeight="1">
      <c r="A308" s="199"/>
      <c r="B308" s="1277"/>
      <c r="C308" s="1277"/>
      <c r="D308" s="1277"/>
      <c r="E308" s="1277"/>
      <c r="F308" s="1277"/>
      <c r="G308" s="1277"/>
      <c r="H308" s="1277"/>
      <c r="I308" s="1277"/>
      <c r="J308" s="1277"/>
      <c r="K308" s="1277"/>
      <c r="L308" s="1277"/>
      <c r="M308" s="1277"/>
      <c r="N308" s="200"/>
      <c r="O308" s="199"/>
      <c r="P308" s="24"/>
      <c r="Q308" s="24"/>
      <c r="R308" s="398"/>
      <c r="S308" s="398"/>
      <c r="T308" s="398"/>
      <c r="U308" s="398"/>
      <c r="V308" s="398"/>
      <c r="W308" s="398"/>
      <c r="X308" s="398"/>
      <c r="Y308" s="398"/>
      <c r="Z308" s="398"/>
      <c r="AA308" s="398"/>
      <c r="AB308" s="200"/>
      <c r="AC308" s="1"/>
      <c r="AD308" s="1"/>
      <c r="AE308" s="1"/>
      <c r="AF308" s="1"/>
      <c r="AG308" s="1"/>
      <c r="AH308" s="1"/>
      <c r="AI308" s="1"/>
      <c r="AJ308" s="1"/>
      <c r="AK308" s="1"/>
      <c r="AL308" s="1"/>
      <c r="AM308" s="1"/>
      <c r="AN308" s="1"/>
      <c r="AO308" s="1"/>
      <c r="AP308" s="1"/>
      <c r="AQ308" s="1"/>
      <c r="AR308" s="1"/>
      <c r="AS308" s="1"/>
      <c r="AT308" s="1"/>
      <c r="AU308" s="1"/>
      <c r="AV308" s="1"/>
      <c r="AW308" s="1"/>
      <c r="AX308" s="1"/>
      <c r="AY308" s="1"/>
    </row>
    <row r="309" spans="1:61" ht="19.95" customHeight="1">
      <c r="A309" s="199"/>
      <c r="B309" s="393" t="s">
        <v>1704</v>
      </c>
      <c r="C309" s="24"/>
      <c r="D309" s="24"/>
      <c r="E309" s="24"/>
      <c r="F309" s="24"/>
      <c r="G309" s="24"/>
      <c r="H309" s="24"/>
      <c r="I309" s="24"/>
      <c r="J309" s="24"/>
      <c r="K309" s="24"/>
      <c r="L309" s="24"/>
      <c r="M309" s="24"/>
      <c r="N309" s="200"/>
      <c r="O309" s="199"/>
      <c r="P309" s="24"/>
      <c r="Q309" s="24"/>
      <c r="R309" s="398"/>
      <c r="S309" s="398"/>
      <c r="T309" s="398"/>
      <c r="U309" s="398"/>
      <c r="V309" s="398"/>
      <c r="W309" s="398"/>
      <c r="X309" s="398"/>
      <c r="Y309" s="398"/>
      <c r="Z309" s="398"/>
      <c r="AA309" s="398"/>
      <c r="AB309" s="200"/>
      <c r="AC309" s="1"/>
      <c r="AD309" s="1"/>
      <c r="AE309" s="1"/>
      <c r="AF309" s="1"/>
      <c r="AG309" s="1"/>
      <c r="AH309" s="1"/>
      <c r="AI309" s="1"/>
      <c r="AJ309" s="1"/>
      <c r="AK309" s="1"/>
      <c r="AL309" s="1"/>
      <c r="AM309" s="1"/>
      <c r="AN309" s="1"/>
      <c r="AO309" s="1"/>
      <c r="AP309" s="1"/>
      <c r="AQ309" s="1"/>
      <c r="AR309" s="1"/>
      <c r="AS309" s="1"/>
      <c r="AT309" s="1"/>
      <c r="AU309" s="1"/>
      <c r="AV309" s="1"/>
      <c r="AW309" s="1"/>
      <c r="AX309" s="1"/>
      <c r="AY309" s="1"/>
    </row>
    <row r="310" spans="1:61" ht="19.95" customHeight="1">
      <c r="A310" s="199"/>
      <c r="B310" s="596" t="s">
        <v>1706</v>
      </c>
      <c r="C310" s="393"/>
      <c r="D310" s="24"/>
      <c r="E310" s="24"/>
      <c r="F310" s="470" t="s">
        <v>1709</v>
      </c>
      <c r="G310" s="24"/>
      <c r="H310" s="24"/>
      <c r="I310" s="24"/>
      <c r="J310" s="24"/>
      <c r="K310" s="24"/>
      <c r="L310" s="24"/>
      <c r="M310" s="24"/>
      <c r="N310" s="200"/>
      <c r="O310" s="199"/>
      <c r="P310" s="24"/>
      <c r="Q310" s="24"/>
      <c r="R310" s="398"/>
      <c r="S310" s="398"/>
      <c r="T310" s="398"/>
      <c r="U310" s="398"/>
      <c r="V310" s="398"/>
      <c r="W310" s="398"/>
      <c r="X310" s="398"/>
      <c r="Y310" s="398"/>
      <c r="Z310" s="398"/>
      <c r="AA310" s="398"/>
      <c r="AB310" s="200"/>
      <c r="AC310" s="1"/>
      <c r="AD310" s="1"/>
      <c r="AE310" s="1"/>
      <c r="AF310" s="1"/>
      <c r="AG310" s="1"/>
      <c r="AH310" s="1"/>
      <c r="AI310" s="1"/>
      <c r="AJ310" s="1"/>
      <c r="AK310" s="1"/>
      <c r="AL310" s="1"/>
      <c r="AM310" s="1"/>
      <c r="AN310" s="1"/>
      <c r="AO310" s="1"/>
      <c r="AP310" s="1"/>
      <c r="AQ310" s="1"/>
      <c r="AR310" s="1"/>
      <c r="AS310" s="1"/>
      <c r="AT310" s="1"/>
      <c r="AU310" s="1"/>
      <c r="AV310" s="1"/>
      <c r="AW310" s="1"/>
      <c r="AX310" s="1"/>
      <c r="AY310" s="1"/>
    </row>
    <row r="311" spans="1:61" ht="19.95" customHeight="1">
      <c r="A311" s="199"/>
      <c r="B311" s="596" t="s">
        <v>1707</v>
      </c>
      <c r="C311" s="393"/>
      <c r="D311" s="24"/>
      <c r="E311" s="24"/>
      <c r="F311" s="470" t="s">
        <v>1710</v>
      </c>
      <c r="G311" s="24"/>
      <c r="H311" s="24"/>
      <c r="I311" s="24"/>
      <c r="J311" s="24"/>
      <c r="K311" s="24"/>
      <c r="L311" s="24"/>
      <c r="M311" s="24"/>
      <c r="N311" s="200"/>
      <c r="O311" s="199"/>
      <c r="P311" s="24"/>
      <c r="Q311" s="24"/>
      <c r="R311" s="398"/>
      <c r="S311" s="398"/>
      <c r="T311" s="398"/>
      <c r="U311" s="398"/>
      <c r="V311" s="398"/>
      <c r="W311" s="398"/>
      <c r="X311" s="398"/>
      <c r="Y311" s="398"/>
      <c r="Z311" s="398"/>
      <c r="AA311" s="398"/>
      <c r="AB311" s="200"/>
      <c r="AC311" s="1"/>
      <c r="AD311" s="1"/>
      <c r="AE311" s="1"/>
      <c r="AF311" s="1"/>
      <c r="AG311" s="1"/>
      <c r="AH311" s="1"/>
      <c r="AI311" s="1"/>
      <c r="AJ311" s="1"/>
      <c r="AK311" s="1"/>
      <c r="AL311" s="1"/>
      <c r="AM311" s="1"/>
      <c r="AN311" s="1"/>
      <c r="AO311" s="1"/>
      <c r="AP311" s="1"/>
      <c r="AQ311" s="1"/>
      <c r="AR311" s="1"/>
      <c r="AS311" s="1"/>
      <c r="AT311" s="1"/>
      <c r="AU311" s="1"/>
      <c r="AV311" s="1"/>
      <c r="AW311" s="1"/>
      <c r="AX311" s="1"/>
      <c r="AY311" s="1"/>
    </row>
    <row r="312" spans="1:61" ht="19.95" customHeight="1">
      <c r="A312" s="199"/>
      <c r="B312" s="596" t="s">
        <v>1708</v>
      </c>
      <c r="C312" s="393"/>
      <c r="D312" s="24"/>
      <c r="E312" s="24"/>
      <c r="F312" s="470" t="s">
        <v>1711</v>
      </c>
      <c r="G312" s="24"/>
      <c r="H312" s="24"/>
      <c r="I312" s="24"/>
      <c r="J312" s="24"/>
      <c r="K312" s="24"/>
      <c r="L312" s="24"/>
      <c r="M312" s="24"/>
      <c r="N312" s="200"/>
      <c r="O312" s="199"/>
      <c r="P312" s="24"/>
      <c r="Q312" s="24"/>
      <c r="R312" s="398"/>
      <c r="S312" s="398"/>
      <c r="T312" s="398"/>
      <c r="U312" s="398"/>
      <c r="V312" s="398"/>
      <c r="W312" s="398"/>
      <c r="X312" s="398"/>
      <c r="Y312" s="398"/>
      <c r="Z312" s="398"/>
      <c r="AA312" s="398"/>
      <c r="AB312" s="200"/>
      <c r="AC312" s="1"/>
      <c r="AD312" s="1"/>
      <c r="AE312" s="1"/>
      <c r="AF312" s="1"/>
      <c r="AG312" s="1"/>
      <c r="AH312" s="1"/>
      <c r="AI312" s="1"/>
      <c r="AJ312" s="1"/>
      <c r="AK312" s="1"/>
      <c r="AL312" s="1"/>
      <c r="AM312" s="1"/>
      <c r="AN312" s="1"/>
      <c r="AO312" s="1"/>
      <c r="AP312" s="1"/>
      <c r="AQ312" s="1"/>
      <c r="AR312" s="1"/>
      <c r="AS312" s="1"/>
      <c r="AT312" s="1"/>
      <c r="AU312" s="1"/>
      <c r="AV312" s="1"/>
      <c r="AW312" s="1"/>
      <c r="AX312" s="1"/>
      <c r="AY312" s="1"/>
    </row>
    <row r="313" spans="1:61" ht="10.050000000000001" customHeight="1">
      <c r="A313" s="199"/>
      <c r="B313" s="24"/>
      <c r="C313" s="24"/>
      <c r="D313" s="24"/>
      <c r="E313" s="24"/>
      <c r="F313" s="24"/>
      <c r="G313" s="24"/>
      <c r="H313" s="24"/>
      <c r="I313" s="24"/>
      <c r="J313" s="24"/>
      <c r="K313" s="24"/>
      <c r="L313" s="24"/>
      <c r="M313" s="24"/>
      <c r="N313" s="200"/>
      <c r="O313" s="199"/>
      <c r="P313" s="24"/>
      <c r="Q313" s="24"/>
      <c r="R313" s="398"/>
      <c r="S313" s="398"/>
      <c r="T313" s="398"/>
      <c r="U313" s="398"/>
      <c r="V313" s="398"/>
      <c r="W313" s="398"/>
      <c r="X313" s="398"/>
      <c r="Y313" s="398"/>
      <c r="Z313" s="398"/>
      <c r="AA313" s="398"/>
      <c r="AB313" s="203"/>
      <c r="AC313" s="1"/>
      <c r="AD313" s="1"/>
      <c r="AE313" s="1"/>
      <c r="AF313" s="1"/>
      <c r="AG313" s="1"/>
      <c r="AH313" s="1"/>
      <c r="AI313" s="1"/>
      <c r="AJ313" s="1"/>
      <c r="AK313" s="1"/>
      <c r="AL313" s="1"/>
      <c r="AM313" s="1"/>
      <c r="AN313" s="1"/>
      <c r="AO313" s="1"/>
      <c r="AP313" s="1"/>
      <c r="AQ313" s="1"/>
      <c r="AR313" s="1"/>
      <c r="AS313" s="1"/>
      <c r="AT313" s="1"/>
      <c r="AU313" s="1"/>
      <c r="AV313" s="1"/>
      <c r="AW313" s="1"/>
      <c r="AX313" s="1"/>
      <c r="AY313" s="1"/>
    </row>
    <row r="314" spans="1:61" ht="30" customHeight="1">
      <c r="A314" s="210" t="s">
        <v>1148</v>
      </c>
      <c r="B314" s="399" t="s">
        <v>1280</v>
      </c>
      <c r="C314" s="582"/>
      <c r="D314" s="582"/>
      <c r="E314" s="583"/>
      <c r="F314" s="584"/>
      <c r="G314" s="582"/>
      <c r="H314" s="582"/>
      <c r="I314" s="582"/>
      <c r="J314" s="582"/>
      <c r="K314" s="582"/>
      <c r="L314" s="582"/>
      <c r="M314" s="373"/>
      <c r="N314" s="211" t="s">
        <v>1149</v>
      </c>
      <c r="O314" s="372"/>
      <c r="P314" s="374"/>
      <c r="Q314" s="373"/>
      <c r="R314" s="373"/>
      <c r="S314" s="373"/>
      <c r="T314" s="373"/>
      <c r="U314" s="373"/>
      <c r="V314" s="373"/>
      <c r="W314" s="373"/>
      <c r="X314" s="373"/>
      <c r="Y314" s="373"/>
      <c r="Z314" s="373"/>
      <c r="AA314" s="373"/>
      <c r="AB314" s="211" t="s">
        <v>1149</v>
      </c>
      <c r="AC314" s="577"/>
      <c r="AD314" s="1"/>
      <c r="AE314" s="577"/>
      <c r="AF314" s="577"/>
      <c r="AG314" s="577"/>
      <c r="AH314" s="577"/>
      <c r="AI314" s="577"/>
      <c r="AJ314" s="577"/>
      <c r="AK314" s="577"/>
      <c r="AL314" s="577"/>
      <c r="AM314" s="577"/>
      <c r="AN314" s="577"/>
      <c r="AO314" s="577"/>
      <c r="AP314" s="577"/>
      <c r="AQ314" s="577"/>
      <c r="AR314" s="577"/>
      <c r="AS314" s="577"/>
      <c r="AT314" s="577"/>
      <c r="AU314" s="577"/>
      <c r="AV314" s="577"/>
      <c r="AW314" s="577"/>
      <c r="AX314" s="577"/>
      <c r="AY314" s="577"/>
    </row>
    <row r="315" spans="1:61" ht="10.050000000000001" customHeight="1">
      <c r="A315" s="199"/>
      <c r="B315" s="24"/>
      <c r="C315" s="24"/>
      <c r="D315" s="24"/>
      <c r="E315" s="24"/>
      <c r="F315" s="24"/>
      <c r="G315" s="24"/>
      <c r="H315" s="24"/>
      <c r="I315" s="24"/>
      <c r="J315" s="24"/>
      <c r="K315" s="24"/>
      <c r="L315" s="24"/>
      <c r="M315" s="24"/>
      <c r="N315" s="200"/>
      <c r="O315" s="199"/>
      <c r="P315" s="24"/>
      <c r="Q315" s="24"/>
      <c r="R315" s="398"/>
      <c r="S315" s="398"/>
      <c r="T315" s="398"/>
      <c r="U315" s="398"/>
      <c r="V315" s="398"/>
      <c r="W315" s="398"/>
      <c r="X315" s="398"/>
      <c r="Y315" s="398"/>
      <c r="Z315" s="398"/>
      <c r="AA315" s="398"/>
      <c r="AB315" s="200"/>
      <c r="AC315" s="1"/>
      <c r="AD315" s="1"/>
      <c r="AE315" s="1"/>
      <c r="AF315" s="1"/>
      <c r="AG315" s="1"/>
      <c r="AH315" s="1"/>
      <c r="AI315" s="1"/>
      <c r="AJ315" s="1"/>
      <c r="AK315" s="1"/>
      <c r="AL315" s="1"/>
      <c r="AM315" s="1"/>
      <c r="AN315" s="1"/>
      <c r="AO315" s="1"/>
      <c r="AP315" s="1"/>
      <c r="AQ315" s="1"/>
      <c r="AR315" s="1"/>
      <c r="AS315" s="1"/>
      <c r="AT315" s="1"/>
      <c r="AU315" s="1"/>
      <c r="AV315" s="1"/>
      <c r="AW315" s="1"/>
      <c r="AX315" s="1"/>
      <c r="AY315" s="1"/>
    </row>
    <row r="316" spans="1:61" ht="19.95" customHeight="1">
      <c r="A316" s="199"/>
      <c r="B316" s="588" t="s">
        <v>1588</v>
      </c>
      <c r="C316" s="24"/>
      <c r="D316" s="24"/>
      <c r="E316" s="24"/>
      <c r="F316" s="24"/>
      <c r="G316" s="24"/>
      <c r="H316" s="24"/>
      <c r="I316" s="24"/>
      <c r="J316" s="24"/>
      <c r="K316" s="24"/>
      <c r="L316" s="24"/>
      <c r="M316" s="24"/>
      <c r="N316" s="200"/>
      <c r="O316" s="199"/>
      <c r="P316" s="24"/>
      <c r="Q316" s="24"/>
      <c r="R316" s="398"/>
      <c r="S316" s="398"/>
      <c r="T316" s="398"/>
      <c r="U316" s="398"/>
      <c r="V316" s="398"/>
      <c r="W316" s="398"/>
      <c r="X316" s="398"/>
      <c r="Y316" s="398"/>
      <c r="Z316" s="398"/>
      <c r="AA316" s="398"/>
      <c r="AB316" s="200"/>
      <c r="AC316" s="1"/>
      <c r="AD316" s="1"/>
      <c r="AE316" s="1"/>
      <c r="AF316" s="1"/>
      <c r="AG316" s="1"/>
      <c r="AH316" s="1"/>
      <c r="AI316" s="1"/>
      <c r="AJ316" s="1"/>
      <c r="AK316" s="1"/>
      <c r="AL316" s="1"/>
      <c r="AM316" s="1"/>
      <c r="AN316" s="1"/>
      <c r="AO316" s="1"/>
      <c r="AP316" s="1"/>
      <c r="AQ316" s="1"/>
      <c r="AR316" s="1"/>
      <c r="AS316" s="1"/>
      <c r="AT316" s="1"/>
      <c r="AU316" s="1"/>
      <c r="AV316" s="1"/>
      <c r="AW316" s="1"/>
      <c r="AX316" s="1"/>
      <c r="AY316" s="1"/>
    </row>
    <row r="317" spans="1:61" ht="10.050000000000001" customHeight="1">
      <c r="A317" s="199"/>
      <c r="B317" s="397"/>
      <c r="C317" s="24"/>
      <c r="D317" s="24"/>
      <c r="E317" s="24"/>
      <c r="F317" s="24"/>
      <c r="G317" s="24"/>
      <c r="H317" s="24"/>
      <c r="I317" s="24"/>
      <c r="J317" s="24"/>
      <c r="K317" s="24"/>
      <c r="L317" s="24"/>
      <c r="M317" s="24"/>
      <c r="N317" s="200"/>
      <c r="O317" s="199"/>
      <c r="P317" s="24"/>
      <c r="Q317" s="24"/>
      <c r="R317" s="398"/>
      <c r="S317" s="398"/>
      <c r="T317" s="398"/>
      <c r="U317" s="398"/>
      <c r="V317" s="398"/>
      <c r="W317" s="398"/>
      <c r="X317" s="398"/>
      <c r="Y317" s="398"/>
      <c r="Z317" s="398"/>
      <c r="AA317" s="398"/>
      <c r="AB317" s="200"/>
      <c r="AC317" s="1"/>
      <c r="AD317" s="1"/>
      <c r="AE317" s="1"/>
      <c r="AF317" s="1"/>
      <c r="AG317" s="1"/>
      <c r="AH317" s="1"/>
      <c r="AI317" s="1"/>
      <c r="AJ317" s="1"/>
      <c r="AK317" s="1"/>
      <c r="AL317" s="1"/>
      <c r="AM317" s="1"/>
      <c r="AN317" s="1"/>
      <c r="AO317" s="1"/>
      <c r="AP317" s="1"/>
      <c r="AQ317" s="1"/>
      <c r="AR317" s="1"/>
      <c r="AS317" s="1"/>
      <c r="AT317" s="1"/>
      <c r="AU317" s="1"/>
      <c r="AV317" s="1"/>
      <c r="AW317" s="1"/>
      <c r="AX317" s="1"/>
      <c r="AY317" s="1"/>
    </row>
    <row r="318" spans="1:61" ht="21" customHeight="1">
      <c r="A318" s="199"/>
      <c r="B318" s="24"/>
      <c r="C318" s="24"/>
      <c r="D318" s="24"/>
      <c r="E318" s="1306" t="str">
        <f>BF318</f>
        <v>You remain vulnerable to others for mosts of your needs. Your food supply. Your safety from harm. Your need for companionship, for belonging, for support during emergencies. Your client faces most of these same public facing needs as you. Politics exist to ease such public facing needs. The more your client generalizes to ease the pain of such needs, the less these needs resolve. Their public facing needs will continue to provoke more pain.</v>
      </c>
      <c r="F318" s="1306"/>
      <c r="G318" s="1306"/>
      <c r="H318" s="1306"/>
      <c r="I318" s="1306"/>
      <c r="J318" s="1306"/>
      <c r="K318" s="1306"/>
      <c r="L318" s="1306"/>
      <c r="M318" s="1306"/>
      <c r="N318" s="200"/>
      <c r="O318" s="199"/>
      <c r="P318" s="24"/>
      <c r="Q318" s="24"/>
      <c r="R318" s="398"/>
      <c r="S318" s="398"/>
      <c r="T318" s="398"/>
      <c r="U318" s="398"/>
      <c r="V318" s="398"/>
      <c r="W318" s="398"/>
      <c r="X318" s="398"/>
      <c r="Y318" s="398"/>
      <c r="Z318" s="398"/>
      <c r="AA318" s="398"/>
      <c r="AB318" s="200"/>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BF318" s="459" t="str">
        <f>CONCATENATE(BH318,BI318,BJ318)</f>
        <v>You remain vulnerable to others for mosts of your needs. Your food supply. Your safety from harm. Your need for companionship, for belonging, for support during emergencies. Your client faces most of these same public facing needs as you. Politics exist to ease such public facing needs. The more your client generalizes to ease the pain of such needs, the less these needs resolve. Their public facing needs will continue to provoke more pain.</v>
      </c>
      <c r="BH318" s="409" t="s">
        <v>1810</v>
      </c>
      <c r="BI318" s="46" t="str">
        <f>IF((E1165+1155)&gt;1,BI319,BI320)</f>
        <v>The more your client generalizes to ease the pain of such needs, the less these needs resolve. Their public facing needs will continue to provoke more pain.</v>
      </c>
    </row>
    <row r="319" spans="1:61" ht="21" customHeight="1">
      <c r="A319" s="199"/>
      <c r="B319" s="24"/>
      <c r="C319" s="24"/>
      <c r="D319" s="24"/>
      <c r="E319" s="1306"/>
      <c r="F319" s="1306"/>
      <c r="G319" s="1306"/>
      <c r="H319" s="1306"/>
      <c r="I319" s="1306"/>
      <c r="J319" s="1306"/>
      <c r="K319" s="1306"/>
      <c r="L319" s="1306"/>
      <c r="M319" s="1306"/>
      <c r="N319" s="200"/>
      <c r="O319" s="199"/>
      <c r="P319" s="24"/>
      <c r="Q319" s="24"/>
      <c r="R319" s="398"/>
      <c r="S319" s="398"/>
      <c r="T319" s="398"/>
      <c r="U319" s="398"/>
      <c r="V319" s="398"/>
      <c r="W319" s="398"/>
      <c r="X319" s="398"/>
      <c r="Y319" s="398"/>
      <c r="Z319" s="398"/>
      <c r="AA319" s="398"/>
      <c r="AB319" s="200"/>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BI319" s="46" t="s">
        <v>1811</v>
      </c>
    </row>
    <row r="320" spans="1:61" ht="21" customHeight="1">
      <c r="A320" s="199"/>
      <c r="B320" s="24"/>
      <c r="C320" s="24"/>
      <c r="D320" s="24"/>
      <c r="E320" s="1306"/>
      <c r="F320" s="1306"/>
      <c r="G320" s="1306"/>
      <c r="H320" s="1306"/>
      <c r="I320" s="1306"/>
      <c r="J320" s="1306"/>
      <c r="K320" s="1306"/>
      <c r="L320" s="1306"/>
      <c r="M320" s="1306"/>
      <c r="N320" s="200"/>
      <c r="O320" s="199"/>
      <c r="P320" s="24"/>
      <c r="Q320" s="24"/>
      <c r="R320" s="398"/>
      <c r="S320" s="398"/>
      <c r="T320" s="398"/>
      <c r="U320" s="398"/>
      <c r="V320" s="398"/>
      <c r="W320" s="398"/>
      <c r="X320" s="398"/>
      <c r="Y320" s="398"/>
      <c r="Z320" s="398"/>
      <c r="AA320" s="398"/>
      <c r="AB320" s="200"/>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BH320" s="2" t="str">
        <f>G1165</f>
        <v>prone to…</v>
      </c>
      <c r="BI320" s="46" t="s">
        <v>1812</v>
      </c>
    </row>
    <row r="321" spans="1:68" ht="21" customHeight="1">
      <c r="A321" s="199"/>
      <c r="B321" s="24"/>
      <c r="C321" s="24"/>
      <c r="D321" s="24"/>
      <c r="E321" s="1306"/>
      <c r="F321" s="1306"/>
      <c r="G321" s="1306"/>
      <c r="H321" s="1306"/>
      <c r="I321" s="1306"/>
      <c r="J321" s="1306"/>
      <c r="K321" s="1306"/>
      <c r="L321" s="1306"/>
      <c r="M321" s="1306"/>
      <c r="N321" s="200"/>
      <c r="O321" s="199"/>
      <c r="P321" s="24"/>
      <c r="Q321" s="24"/>
      <c r="R321" s="398"/>
      <c r="S321" s="398"/>
      <c r="T321" s="398"/>
      <c r="U321" s="398"/>
      <c r="V321" s="398"/>
      <c r="W321" s="398"/>
      <c r="X321" s="398"/>
      <c r="Y321" s="398"/>
      <c r="Z321" s="398"/>
      <c r="AA321" s="398"/>
      <c r="AB321" s="200"/>
      <c r="AC321" s="1"/>
      <c r="AD321" s="1"/>
      <c r="AE321" s="1"/>
      <c r="AF321" s="1"/>
      <c r="AG321" s="1"/>
      <c r="AH321" s="1"/>
      <c r="AI321" s="1"/>
      <c r="AJ321" s="1"/>
      <c r="AK321" s="1"/>
      <c r="AL321" s="1"/>
      <c r="AM321" s="1"/>
      <c r="AN321" s="1"/>
      <c r="AO321" s="1"/>
      <c r="AP321" s="1"/>
      <c r="AQ321" s="1"/>
      <c r="AR321" s="1"/>
      <c r="AS321" s="1"/>
      <c r="AT321" s="1"/>
      <c r="AU321" s="1"/>
      <c r="AV321" s="1"/>
      <c r="AW321" s="1"/>
      <c r="AX321" s="1"/>
      <c r="AY321" s="1"/>
    </row>
    <row r="322" spans="1:68" ht="21" customHeight="1">
      <c r="A322" s="199"/>
      <c r="B322" s="24"/>
      <c r="C322" s="24"/>
      <c r="D322" s="24"/>
      <c r="E322" s="1306"/>
      <c r="F322" s="1306"/>
      <c r="G322" s="1306"/>
      <c r="H322" s="1306"/>
      <c r="I322" s="1306"/>
      <c r="J322" s="1306"/>
      <c r="K322" s="1306"/>
      <c r="L322" s="1306"/>
      <c r="M322" s="1306"/>
      <c r="N322" s="200"/>
      <c r="O322" s="199"/>
      <c r="P322" s="24"/>
      <c r="Q322" s="24"/>
      <c r="R322" s="398"/>
      <c r="S322" s="398"/>
      <c r="T322" s="398"/>
      <c r="U322" s="398"/>
      <c r="V322" s="398"/>
      <c r="W322" s="398"/>
      <c r="X322" s="398"/>
      <c r="Y322" s="398"/>
      <c r="Z322" s="398"/>
      <c r="AA322" s="398"/>
      <c r="AB322" s="200"/>
      <c r="AC322" s="1"/>
      <c r="AD322" s="1"/>
      <c r="AE322" s="1"/>
      <c r="AF322" s="1"/>
      <c r="AG322" s="1"/>
      <c r="AH322" s="1"/>
      <c r="AI322" s="1"/>
      <c r="AJ322" s="1"/>
      <c r="AK322" s="1"/>
      <c r="AL322" s="1"/>
      <c r="AM322" s="1"/>
      <c r="AN322" s="1"/>
      <c r="AO322" s="1"/>
      <c r="AP322" s="1"/>
      <c r="AQ322" s="1"/>
      <c r="AR322" s="1"/>
      <c r="AS322" s="1"/>
      <c r="AT322" s="1"/>
      <c r="AU322" s="1"/>
      <c r="AV322" s="1"/>
      <c r="AW322" s="1"/>
      <c r="AX322" s="1"/>
      <c r="AY322" s="1"/>
    </row>
    <row r="323" spans="1:68" ht="21" customHeight="1">
      <c r="A323" s="199"/>
      <c r="B323" s="24"/>
      <c r="C323" s="24"/>
      <c r="D323" s="24"/>
      <c r="E323" s="1306"/>
      <c r="F323" s="1306"/>
      <c r="G323" s="1306"/>
      <c r="H323" s="1306"/>
      <c r="I323" s="1306"/>
      <c r="J323" s="1306"/>
      <c r="K323" s="1306"/>
      <c r="L323" s="1306"/>
      <c r="M323" s="1306"/>
      <c r="N323" s="200"/>
      <c r="O323" s="199"/>
      <c r="P323" s="24"/>
      <c r="Q323" s="24"/>
      <c r="R323" s="398"/>
      <c r="S323" s="398"/>
      <c r="T323" s="398"/>
      <c r="U323" s="398"/>
      <c r="V323" s="398"/>
      <c r="W323" s="398"/>
      <c r="X323" s="398"/>
      <c r="Y323" s="398"/>
      <c r="Z323" s="398"/>
      <c r="AA323" s="398"/>
      <c r="AB323" s="200"/>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BF323" s="459" t="str">
        <f>IF(OR($I$1094=0,$I$1096=0,$B$1124=""),BH323,BF325)</f>
        <v>You first experience a need for secure borders, or vicariously experience others' need for secure borders. Those on the other political side directly or vicariously experience a prioritizing need for freedom of movement. Your client first experiences a need for freedom of movement, or vicariously experience others' need for freedom of movement. Your contrasting outlook could result in some transference and countertransference. You risk provoking your client's defensiveness instead of understanding how they experience their publicly affected needs. You mitigate by detaching from generalizing.</v>
      </c>
      <c r="BH323" s="465" t="s">
        <v>1817</v>
      </c>
    </row>
    <row r="324" spans="1:68" ht="4.95" customHeight="1">
      <c r="A324" s="199"/>
      <c r="B324" s="24"/>
      <c r="C324" s="24"/>
      <c r="D324" s="24"/>
      <c r="E324" s="24"/>
      <c r="F324" s="24"/>
      <c r="G324" s="24"/>
      <c r="H324" s="24"/>
      <c r="I324" s="24"/>
      <c r="J324" s="24"/>
      <c r="K324" s="24"/>
      <c r="L324" s="24"/>
      <c r="M324" s="24"/>
      <c r="N324" s="200"/>
      <c r="O324" s="199"/>
      <c r="P324" s="24"/>
      <c r="Q324" s="24"/>
      <c r="R324" s="398"/>
      <c r="S324" s="398"/>
      <c r="T324" s="398"/>
      <c r="U324" s="398"/>
      <c r="V324" s="398"/>
      <c r="W324" s="398"/>
      <c r="X324" s="398"/>
      <c r="Y324" s="398"/>
      <c r="Z324" s="398"/>
      <c r="AA324" s="398"/>
      <c r="AB324" s="200"/>
      <c r="AC324" s="1"/>
      <c r="AD324" s="1"/>
      <c r="AE324" s="1"/>
      <c r="AF324" s="1"/>
      <c r="AG324" s="1"/>
      <c r="AH324" s="1"/>
      <c r="AI324" s="1"/>
      <c r="AJ324" s="1"/>
      <c r="AK324" s="1"/>
      <c r="AL324" s="1"/>
      <c r="AM324" s="1"/>
      <c r="AN324" s="1"/>
      <c r="AO324" s="1"/>
      <c r="AP324" s="1"/>
      <c r="AQ324" s="1"/>
      <c r="AR324" s="1"/>
      <c r="AS324" s="1"/>
      <c r="AT324" s="1"/>
      <c r="AU324" s="1"/>
      <c r="AV324" s="1"/>
      <c r="AW324" s="1"/>
      <c r="AX324" s="1"/>
      <c r="AY324" s="1"/>
    </row>
    <row r="325" spans="1:68" ht="22.05" customHeight="1">
      <c r="A325" s="199"/>
      <c r="B325" s="1277" t="str">
        <f>BF323</f>
        <v>You first experience a need for secure borders, or vicariously experience others' need for secure borders. Those on the other political side directly or vicariously experience a prioritizing need for freedom of movement. Your client first experiences a need for freedom of movement, or vicariously experience others' need for freedom of movement. Your contrasting outlook could result in some transference and countertransference. You risk provoking your client's defensiveness instead of understanding how they experience their publicly affected needs. You mitigate by detaching from generalizing.</v>
      </c>
      <c r="C325" s="1277"/>
      <c r="D325" s="1277"/>
      <c r="E325" s="1277"/>
      <c r="F325" s="1277"/>
      <c r="G325" s="1277"/>
      <c r="H325" s="1277"/>
      <c r="I325" s="1277"/>
      <c r="J325" s="1277"/>
      <c r="K325" s="1277"/>
      <c r="L325" s="1277"/>
      <c r="M325" s="1277"/>
      <c r="N325" s="200"/>
      <c r="O325" s="199"/>
      <c r="P325" s="24"/>
      <c r="Q325" s="24"/>
      <c r="R325" s="398"/>
      <c r="S325" s="398"/>
      <c r="T325" s="398"/>
      <c r="U325" s="398"/>
      <c r="V325" s="398"/>
      <c r="W325" s="398"/>
      <c r="X325" s="398"/>
      <c r="Y325" s="398"/>
      <c r="Z325" s="398"/>
      <c r="AA325" s="398"/>
      <c r="AB325" s="200"/>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BF325" s="459" t="str">
        <f>CONCATENATE(BH325,BI325,BJ325,BK325,BL325,BM325,BN325,BO325,BL326,BM326,BN326,BO326)</f>
        <v>You first experience a need for secure borders, or vicariously experience others' need for secure borders. Those on the other political side directly or vicariously experience a prioritizing need for freedom of movement. Your client first experiences a need for freedom of movement, or vicariously experience others' need for freedom of movement. Your contrasting outlook could result in some transference and countertransference. You risk provoking your client's defensiveness instead of understanding how they experience their publicly affected needs. You mitigate by detaching from generalizing.</v>
      </c>
      <c r="BH325" s="409" t="s">
        <v>1630</v>
      </c>
      <c r="BI325" s="2" t="str">
        <f>BE1123</f>
        <v>for secure borders</v>
      </c>
      <c r="BJ325" s="409" t="s">
        <v>1631</v>
      </c>
      <c r="BK325" s="2" t="str">
        <f>BI325</f>
        <v>for secure borders</v>
      </c>
      <c r="BL325" s="409" t="s">
        <v>1869</v>
      </c>
      <c r="BM325" s="2" t="str">
        <f>BF1123</f>
        <v>for freedom of movement</v>
      </c>
      <c r="BN325" s="409" t="s">
        <v>1632</v>
      </c>
      <c r="BO325" s="2" t="str">
        <f>BE1122</f>
        <v>for freedom of movement</v>
      </c>
    </row>
    <row r="326" spans="1:68" ht="22.05" customHeight="1">
      <c r="A326" s="199"/>
      <c r="B326" s="1277"/>
      <c r="C326" s="1277"/>
      <c r="D326" s="1277"/>
      <c r="E326" s="1277"/>
      <c r="F326" s="1277"/>
      <c r="G326" s="1277"/>
      <c r="H326" s="1277"/>
      <c r="I326" s="1277"/>
      <c r="J326" s="1277"/>
      <c r="K326" s="1277"/>
      <c r="L326" s="1277"/>
      <c r="M326" s="1277"/>
      <c r="N326" s="200"/>
      <c r="O326" s="199"/>
      <c r="P326" s="24"/>
      <c r="Q326" s="24"/>
      <c r="R326" s="398"/>
      <c r="S326" s="398"/>
      <c r="T326" s="398"/>
      <c r="U326" s="398"/>
      <c r="V326" s="398"/>
      <c r="W326" s="398"/>
      <c r="X326" s="398"/>
      <c r="Y326" s="398"/>
      <c r="Z326" s="398"/>
      <c r="AA326" s="398"/>
      <c r="AB326" s="200"/>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BI326" s="574" t="s">
        <v>1818</v>
      </c>
      <c r="BL326" s="409" t="s">
        <v>1631</v>
      </c>
      <c r="BM326" s="2" t="str">
        <f>BO325</f>
        <v>for freedom of movement</v>
      </c>
      <c r="BN326" s="410" t="s">
        <v>1022</v>
      </c>
      <c r="BO326" s="46" t="str">
        <f>IF(E1094=E1096,BI326,BI327)</f>
        <v>Your contrasting outlook could result in some transference and countertransference. You risk provoking your client's defensiveness instead of understanding how they experience their publicly affected needs. You mitigate by detaching from generalizing.</v>
      </c>
    </row>
    <row r="327" spans="1:68" ht="22.05" customHeight="1">
      <c r="A327" s="199"/>
      <c r="B327" s="1277"/>
      <c r="C327" s="1277"/>
      <c r="D327" s="1277"/>
      <c r="E327" s="1277"/>
      <c r="F327" s="1277"/>
      <c r="G327" s="1277"/>
      <c r="H327" s="1277"/>
      <c r="I327" s="1277"/>
      <c r="J327" s="1277"/>
      <c r="K327" s="1277"/>
      <c r="L327" s="1277"/>
      <c r="M327" s="1277"/>
      <c r="N327" s="200"/>
      <c r="O327" s="199"/>
      <c r="P327" s="24"/>
      <c r="Q327" s="24"/>
      <c r="R327" s="398"/>
      <c r="S327" s="398"/>
      <c r="T327" s="398"/>
      <c r="U327" s="398"/>
      <c r="V327" s="398"/>
      <c r="W327" s="398"/>
      <c r="X327" s="398"/>
      <c r="Y327" s="398"/>
      <c r="Z327" s="398"/>
      <c r="AA327" s="398"/>
      <c r="AB327" s="200"/>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BI327" s="574" t="s">
        <v>1819</v>
      </c>
    </row>
    <row r="328" spans="1:68" ht="22.05" customHeight="1">
      <c r="A328" s="199"/>
      <c r="B328" s="1277"/>
      <c r="C328" s="1277"/>
      <c r="D328" s="1277"/>
      <c r="E328" s="1277"/>
      <c r="F328" s="1277"/>
      <c r="G328" s="1277"/>
      <c r="H328" s="1277"/>
      <c r="I328" s="1277"/>
      <c r="J328" s="1277"/>
      <c r="K328" s="1277"/>
      <c r="L328" s="1277"/>
      <c r="M328" s="1277"/>
      <c r="N328" s="200"/>
      <c r="O328" s="199"/>
      <c r="P328" s="24"/>
      <c r="Q328" s="24"/>
      <c r="R328" s="398"/>
      <c r="S328" s="398"/>
      <c r="T328" s="398"/>
      <c r="U328" s="398"/>
      <c r="V328" s="398"/>
      <c r="W328" s="398"/>
      <c r="X328" s="398"/>
      <c r="Y328" s="398"/>
      <c r="Z328" s="398"/>
      <c r="AA328" s="398"/>
      <c r="AB328" s="200"/>
      <c r="AC328" s="1"/>
      <c r="AD328" s="1"/>
      <c r="AE328" s="1"/>
      <c r="AF328" s="1"/>
      <c r="AG328" s="1"/>
      <c r="AH328" s="1"/>
      <c r="AI328" s="1"/>
      <c r="AJ328" s="1"/>
      <c r="AK328" s="1"/>
      <c r="AL328" s="1"/>
      <c r="AM328" s="1"/>
      <c r="AN328" s="1"/>
      <c r="AO328" s="1"/>
      <c r="AP328" s="1"/>
      <c r="AQ328" s="1"/>
      <c r="AR328" s="1"/>
      <c r="AS328" s="1"/>
      <c r="AT328" s="1"/>
      <c r="AU328" s="1"/>
      <c r="AV328" s="1"/>
      <c r="AW328" s="1"/>
      <c r="AX328" s="1"/>
      <c r="AY328" s="1"/>
    </row>
    <row r="329" spans="1:68" ht="22.05" customHeight="1">
      <c r="A329" s="199"/>
      <c r="B329" s="1277"/>
      <c r="C329" s="1277"/>
      <c r="D329" s="1277"/>
      <c r="E329" s="1277"/>
      <c r="F329" s="1277"/>
      <c r="G329" s="1277"/>
      <c r="H329" s="1277"/>
      <c r="I329" s="1277"/>
      <c r="J329" s="1277"/>
      <c r="K329" s="1277"/>
      <c r="L329" s="1277"/>
      <c r="M329" s="1277"/>
      <c r="N329" s="200"/>
      <c r="O329" s="199"/>
      <c r="P329" s="24"/>
      <c r="Q329" s="24"/>
      <c r="R329" s="398"/>
      <c r="S329" s="398"/>
      <c r="T329" s="398"/>
      <c r="U329" s="398"/>
      <c r="V329" s="398"/>
      <c r="W329" s="398"/>
      <c r="X329" s="398"/>
      <c r="Y329" s="398"/>
      <c r="Z329" s="398"/>
      <c r="AA329" s="398"/>
      <c r="AB329" s="200"/>
      <c r="AC329" s="1"/>
      <c r="AD329" s="1"/>
      <c r="AE329" s="1"/>
      <c r="AF329" s="1"/>
      <c r="AG329" s="1"/>
      <c r="AH329" s="1"/>
      <c r="AI329" s="1"/>
      <c r="AJ329" s="1"/>
      <c r="AK329" s="1"/>
      <c r="AL329" s="1"/>
      <c r="AM329" s="1"/>
      <c r="AN329" s="1"/>
      <c r="AO329" s="1"/>
      <c r="AP329" s="1"/>
      <c r="AQ329" s="1"/>
      <c r="AR329" s="1"/>
      <c r="AS329" s="1"/>
      <c r="AT329" s="1"/>
      <c r="AU329" s="1"/>
      <c r="AV329" s="1"/>
      <c r="AW329" s="1"/>
      <c r="AX329" s="1"/>
      <c r="AY329" s="1"/>
    </row>
    <row r="330" spans="1:68" ht="22.05" customHeight="1">
      <c r="A330" s="199"/>
      <c r="B330" s="1277"/>
      <c r="C330" s="1277"/>
      <c r="D330" s="1277"/>
      <c r="E330" s="1277"/>
      <c r="F330" s="1277"/>
      <c r="G330" s="1277"/>
      <c r="H330" s="1277"/>
      <c r="I330" s="1277"/>
      <c r="J330" s="1277"/>
      <c r="K330" s="1277"/>
      <c r="L330" s="1277"/>
      <c r="M330" s="1277"/>
      <c r="N330" s="200"/>
      <c r="O330" s="199"/>
      <c r="P330" s="24"/>
      <c r="Q330" s="24"/>
      <c r="R330" s="398"/>
      <c r="S330" s="398"/>
      <c r="T330" s="398"/>
      <c r="U330" s="398"/>
      <c r="V330" s="398"/>
      <c r="W330" s="398"/>
      <c r="X330" s="398"/>
      <c r="Y330" s="398"/>
      <c r="Z330" s="398"/>
      <c r="AA330" s="398"/>
      <c r="AB330" s="200"/>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BF330" s="459" t="str">
        <f>IF(OR($I$1094=0,$B$1124=""),BH330,BF332)</f>
        <v>Through the lens of their psychosocial orientation, your client views the affected needs of poor immigrants over the affected needs of U.S. citizens. Their priority of needs compels them to help all immigrants. They can hardly empathize with the other side's priority to build a wall. Your client likely feels stuck in emotional pain until sufficient balance removes that pain. Political generalizing offers relief from that pain. For both sides.</v>
      </c>
      <c r="BH330" s="465" t="s">
        <v>1820</v>
      </c>
    </row>
    <row r="331" spans="1:68" ht="4.95" customHeight="1">
      <c r="A331" s="199"/>
      <c r="B331" s="24"/>
      <c r="C331" s="24"/>
      <c r="D331" s="24"/>
      <c r="E331" s="24"/>
      <c r="F331" s="24"/>
      <c r="G331" s="24"/>
      <c r="H331" s="24"/>
      <c r="I331" s="24"/>
      <c r="J331" s="24"/>
      <c r="K331" s="24"/>
      <c r="L331" s="24"/>
      <c r="M331" s="24"/>
      <c r="N331" s="200"/>
      <c r="O331" s="199"/>
      <c r="P331" s="24"/>
      <c r="Q331" s="24"/>
      <c r="R331" s="398"/>
      <c r="S331" s="398"/>
      <c r="T331" s="398"/>
      <c r="U331" s="398"/>
      <c r="V331" s="398"/>
      <c r="W331" s="398"/>
      <c r="X331" s="398"/>
      <c r="Y331" s="398"/>
      <c r="Z331" s="398"/>
      <c r="AA331" s="398"/>
      <c r="AB331" s="200"/>
      <c r="AC331" s="1"/>
      <c r="AD331" s="1"/>
      <c r="AE331" s="1"/>
      <c r="AF331" s="1"/>
      <c r="AG331" s="1"/>
      <c r="AH331" s="1"/>
      <c r="AI331" s="1"/>
      <c r="AJ331" s="1"/>
      <c r="AK331" s="1"/>
      <c r="AL331" s="1"/>
      <c r="AM331" s="1"/>
      <c r="AN331" s="1"/>
      <c r="AO331" s="1"/>
      <c r="AP331" s="1"/>
      <c r="AQ331" s="1"/>
      <c r="AR331" s="1"/>
      <c r="AS331" s="1"/>
      <c r="AT331" s="1"/>
      <c r="AU331" s="1"/>
      <c r="AV331" s="1"/>
      <c r="AW331" s="1"/>
      <c r="AX331" s="1"/>
      <c r="AY331" s="1"/>
    </row>
    <row r="332" spans="1:68" ht="24" customHeight="1">
      <c r="A332" s="199"/>
      <c r="B332" s="1277" t="str">
        <f>BF330</f>
        <v>Through the lens of their psychosocial orientation, your client views the affected needs of poor immigrants over the affected needs of U.S. citizens. Their priority of needs compels them to help all immigrants. They can hardly empathize with the other side's priority to build a wall. Your client likely feels stuck in emotional pain until sufficient balance removes that pain. Political generalizing offers relief from that pain. For both sides.</v>
      </c>
      <c r="C332" s="1277"/>
      <c r="D332" s="1277"/>
      <c r="E332" s="1277"/>
      <c r="F332" s="1277"/>
      <c r="G332" s="1277"/>
      <c r="H332" s="1277"/>
      <c r="I332" s="1277"/>
      <c r="J332" s="1277"/>
      <c r="K332" s="1277"/>
      <c r="L332" s="1277"/>
      <c r="M332" s="1277"/>
      <c r="N332" s="200"/>
      <c r="O332" s="199"/>
      <c r="P332" s="24"/>
      <c r="Q332" s="24"/>
      <c r="R332" s="398"/>
      <c r="S332" s="398"/>
      <c r="T332" s="398"/>
      <c r="U332" s="398"/>
      <c r="V332" s="398"/>
      <c r="W332" s="398"/>
      <c r="X332" s="398"/>
      <c r="Y332" s="398"/>
      <c r="Z332" s="398"/>
      <c r="AA332" s="398"/>
      <c r="AB332" s="200"/>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BF332" s="459" t="str">
        <f>CONCATENATE(BH332,BI332,BJ332,BK332,BL332,BM332,BN332,BO332,BP332)</f>
        <v>Through the lens of their psychosocial orientation, your client views the affected needs of poor immigrants over the affected needs of U.S. citizens. Their priority of needs compels them to help all immigrants. They can hardly empathize with the other side's priority to build a wall. Your client likely feels stuck in emotional pain until sufficient balance removes that pain. Political generalizing offers relief from that pain. For both sides.</v>
      </c>
      <c r="BH332" s="465" t="s">
        <v>1639</v>
      </c>
      <c r="BI332" s="2" t="str">
        <f>P1122</f>
        <v>poor immigrants</v>
      </c>
      <c r="BJ332" s="465" t="s">
        <v>1640</v>
      </c>
      <c r="BK332" s="2" t="str">
        <f>Q1122</f>
        <v>U.S. citizens</v>
      </c>
      <c r="BL332" s="465" t="s">
        <v>1641</v>
      </c>
      <c r="BM332" s="2" t="str">
        <f>R1122</f>
        <v>help all immigrants</v>
      </c>
      <c r="BN332" s="465" t="s">
        <v>1642</v>
      </c>
      <c r="BO332" s="2" t="str">
        <f>S1122</f>
        <v>build a wall</v>
      </c>
      <c r="BP332" s="466" t="s">
        <v>1768</v>
      </c>
    </row>
    <row r="333" spans="1:68" ht="24" customHeight="1">
      <c r="A333" s="199"/>
      <c r="B333" s="1277"/>
      <c r="C333" s="1277"/>
      <c r="D333" s="1277"/>
      <c r="E333" s="1277"/>
      <c r="F333" s="1277"/>
      <c r="G333" s="1277"/>
      <c r="H333" s="1277"/>
      <c r="I333" s="1277"/>
      <c r="J333" s="1277"/>
      <c r="K333" s="1277"/>
      <c r="L333" s="1277"/>
      <c r="M333" s="1277"/>
      <c r="N333" s="200"/>
      <c r="O333" s="199"/>
      <c r="P333" s="24"/>
      <c r="Q333" s="24"/>
      <c r="R333" s="398"/>
      <c r="S333" s="398"/>
      <c r="T333" s="398"/>
      <c r="U333" s="398"/>
      <c r="V333" s="398"/>
      <c r="W333" s="398"/>
      <c r="X333" s="398"/>
      <c r="Y333" s="398"/>
      <c r="Z333" s="398"/>
      <c r="AA333" s="398"/>
      <c r="AB333" s="200"/>
      <c r="AC333" s="1"/>
      <c r="AD333" s="1"/>
      <c r="AE333" s="1"/>
      <c r="AF333" s="1"/>
      <c r="AG333" s="1"/>
      <c r="AH333" s="1"/>
      <c r="AI333" s="1"/>
      <c r="AJ333" s="1"/>
      <c r="AK333" s="1"/>
      <c r="AL333" s="1"/>
      <c r="AM333" s="1"/>
      <c r="AN333" s="1"/>
      <c r="AO333" s="1"/>
      <c r="AP333" s="1"/>
      <c r="AQ333" s="1"/>
      <c r="AR333" s="1"/>
      <c r="AS333" s="1"/>
      <c r="AT333" s="1"/>
      <c r="AU333" s="1"/>
      <c r="AV333" s="1"/>
      <c r="AW333" s="1"/>
      <c r="AX333" s="1"/>
      <c r="AY333" s="1"/>
    </row>
    <row r="334" spans="1:68" ht="24" customHeight="1">
      <c r="A334" s="199"/>
      <c r="B334" s="1277"/>
      <c r="C334" s="1277"/>
      <c r="D334" s="1277"/>
      <c r="E334" s="1277"/>
      <c r="F334" s="1277"/>
      <c r="G334" s="1277"/>
      <c r="H334" s="1277"/>
      <c r="I334" s="1277"/>
      <c r="J334" s="1277"/>
      <c r="K334" s="1277"/>
      <c r="L334" s="1277"/>
      <c r="M334" s="1277"/>
      <c r="N334" s="200"/>
      <c r="O334" s="199"/>
      <c r="P334" s="24"/>
      <c r="Q334" s="24"/>
      <c r="R334" s="398"/>
      <c r="S334" s="398"/>
      <c r="T334" s="398"/>
      <c r="U334" s="398"/>
      <c r="V334" s="398"/>
      <c r="W334" s="398"/>
      <c r="X334" s="398"/>
      <c r="Y334" s="398"/>
      <c r="Z334" s="398"/>
      <c r="AA334" s="398"/>
      <c r="AB334" s="200"/>
      <c r="AC334" s="1"/>
      <c r="AD334" s="1"/>
      <c r="AE334" s="1"/>
      <c r="AF334" s="1"/>
      <c r="AG334" s="1"/>
      <c r="AH334" s="1"/>
      <c r="AI334" s="1"/>
      <c r="AJ334" s="1"/>
      <c r="AK334" s="1"/>
      <c r="AL334" s="1"/>
      <c r="AM334" s="1"/>
      <c r="AN334" s="1"/>
      <c r="AO334" s="1"/>
      <c r="AP334" s="1"/>
      <c r="AQ334" s="1"/>
      <c r="AR334" s="1"/>
      <c r="AS334" s="1"/>
      <c r="AT334" s="1"/>
      <c r="AU334" s="1"/>
      <c r="AV334" s="1"/>
      <c r="AW334" s="1"/>
      <c r="AX334" s="1"/>
      <c r="AY334" s="1"/>
    </row>
    <row r="335" spans="1:68" ht="24" customHeight="1">
      <c r="A335" s="199"/>
      <c r="B335" s="1277"/>
      <c r="C335" s="1277"/>
      <c r="D335" s="1277"/>
      <c r="E335" s="1277"/>
      <c r="F335" s="1277"/>
      <c r="G335" s="1277"/>
      <c r="H335" s="1277"/>
      <c r="I335" s="1277"/>
      <c r="J335" s="1277"/>
      <c r="K335" s="1277"/>
      <c r="L335" s="1277"/>
      <c r="M335" s="1277"/>
      <c r="N335" s="200"/>
      <c r="O335" s="199"/>
      <c r="P335" s="24"/>
      <c r="Q335" s="24"/>
      <c r="R335" s="398"/>
      <c r="S335" s="398"/>
      <c r="T335" s="398"/>
      <c r="U335" s="398"/>
      <c r="V335" s="398"/>
      <c r="W335" s="398"/>
      <c r="X335" s="398"/>
      <c r="Y335" s="398"/>
      <c r="Z335" s="398"/>
      <c r="AA335" s="398"/>
      <c r="AB335" s="200"/>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BF335" s="459" t="str">
        <f>IF(OR($I$1094=0,$I$1096=0,$B$1124=""),BH335,BF337)</f>
        <v xml:space="preserve">Spurred into further generalizing, each side imagines the worst in the other. Your client may express outrage that Republicans cage children and may even separate families. Your client may get defensive when opponents claim Democrats let in murderers or let in criminal gangs. Such catastrophizing may ease some pain on each side. Rational thinking must take a back seat to the persisting pain of your client's publicly affected needs.
</v>
      </c>
      <c r="BH335" s="465" t="s">
        <v>1821</v>
      </c>
    </row>
    <row r="336" spans="1:68" ht="4.95" customHeight="1">
      <c r="A336" s="199"/>
      <c r="B336" s="391"/>
      <c r="C336" s="391"/>
      <c r="D336" s="391"/>
      <c r="E336" s="391"/>
      <c r="F336" s="391"/>
      <c r="G336" s="391"/>
      <c r="H336" s="391"/>
      <c r="I336" s="391"/>
      <c r="J336" s="391"/>
      <c r="K336" s="391"/>
      <c r="L336" s="391"/>
      <c r="M336" s="391"/>
      <c r="N336" s="200"/>
      <c r="O336" s="199"/>
      <c r="P336" s="24"/>
      <c r="Q336" s="24"/>
      <c r="R336" s="398"/>
      <c r="S336" s="398"/>
      <c r="T336" s="398"/>
      <c r="U336" s="398"/>
      <c r="V336" s="398"/>
      <c r="W336" s="398"/>
      <c r="X336" s="398"/>
      <c r="Y336" s="398"/>
      <c r="Z336" s="398"/>
      <c r="AA336" s="398"/>
      <c r="AB336" s="200"/>
      <c r="AC336" s="1"/>
      <c r="AD336" s="1"/>
      <c r="AE336" s="1"/>
      <c r="AF336" s="1"/>
      <c r="AG336" s="1"/>
      <c r="AH336" s="1"/>
      <c r="AI336" s="1"/>
      <c r="AJ336" s="1"/>
      <c r="AK336" s="1"/>
      <c r="AL336" s="1"/>
      <c r="AM336" s="1"/>
      <c r="AN336" s="1"/>
      <c r="AO336" s="1"/>
      <c r="AP336" s="1"/>
      <c r="AQ336" s="1"/>
      <c r="AR336" s="1"/>
      <c r="AS336" s="1"/>
      <c r="AT336" s="1"/>
      <c r="AU336" s="1"/>
      <c r="AV336" s="1"/>
      <c r="AW336" s="1"/>
      <c r="AX336" s="1"/>
      <c r="AY336" s="1"/>
    </row>
    <row r="337" spans="1:69" ht="19.05" customHeight="1">
      <c r="A337" s="199"/>
      <c r="B337" s="1277" t="str">
        <f>BF335</f>
        <v xml:space="preserve">Spurred into further generalizing, each side imagines the worst in the other. Your client may express outrage that Republicans cage children and may even separate families. Your client may get defensive when opponents claim Democrats let in murderers or let in criminal gangs. Such catastrophizing may ease some pain on each side. Rational thinking must take a back seat to the persisting pain of your client's publicly affected needs.
</v>
      </c>
      <c r="C337" s="1277"/>
      <c r="D337" s="1277"/>
      <c r="E337" s="1277"/>
      <c r="F337" s="1277"/>
      <c r="G337" s="1277"/>
      <c r="H337" s="1277"/>
      <c r="I337" s="1277"/>
      <c r="J337" s="1277"/>
      <c r="K337" s="1277"/>
      <c r="L337" s="1277"/>
      <c r="M337" s="1277"/>
      <c r="N337" s="200"/>
      <c r="O337" s="199"/>
      <c r="P337" s="24"/>
      <c r="Q337" s="24"/>
      <c r="R337" s="398"/>
      <c r="S337" s="398"/>
      <c r="T337" s="398"/>
      <c r="U337" s="398"/>
      <c r="V337" s="398"/>
      <c r="W337" s="398"/>
      <c r="X337" s="398"/>
      <c r="Y337" s="398"/>
      <c r="Z337" s="398"/>
      <c r="AA337" s="398"/>
      <c r="AB337" s="200"/>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BF337" s="459" t="str">
        <f>CONCATENATE(BH337,BI337,BJ337,BK337,BL337,BM337,BN337,BO337,BP337,BQ337,BP338)</f>
        <v xml:space="preserve">Spurred into further generalizing, each side imagines the worst in the other. Your client may express outrage that Republicans cage children and may even separate families. Your client may get defensive when opponents claim Democrats let in murderers or let in criminal gangs. Such catastrophizing may ease some pain on each side. Rational thinking must take a back seat to the persisting pain of your client's publicly affected needs.
</v>
      </c>
      <c r="BH337" s="465" t="s">
        <v>1643</v>
      </c>
      <c r="BI337" s="2" t="str">
        <f>IF($E$1094=$B$1105,BI339,IF($E$1094=$B$1112,BI338,""))</f>
        <v xml:space="preserve">Republicans </v>
      </c>
      <c r="BJ337" s="2" t="str">
        <f>T1122</f>
        <v>cage children</v>
      </c>
      <c r="BK337" s="465" t="s">
        <v>1876</v>
      </c>
      <c r="BL337" s="2" t="str">
        <f>V1122</f>
        <v>separate families</v>
      </c>
      <c r="BM337" s="465" t="s">
        <v>1892</v>
      </c>
      <c r="BN337" s="2" t="str">
        <f>IF($E$1094=$B$1105,BN339,IF($E$1094=$B$1112,BN338,""))</f>
        <v xml:space="preserve">Democrats </v>
      </c>
      <c r="BO337" s="2" t="str">
        <f>U1122</f>
        <v>let in murderers</v>
      </c>
      <c r="BP337" s="465" t="s">
        <v>1644</v>
      </c>
      <c r="BQ337" s="46" t="str">
        <f>W1122</f>
        <v>let in criminal gangs</v>
      </c>
    </row>
    <row r="338" spans="1:69" ht="19.05" customHeight="1">
      <c r="A338" s="199"/>
      <c r="B338" s="1277"/>
      <c r="C338" s="1277"/>
      <c r="D338" s="1277"/>
      <c r="E338" s="1277"/>
      <c r="F338" s="1277"/>
      <c r="G338" s="1277"/>
      <c r="H338" s="1277"/>
      <c r="I338" s="1277"/>
      <c r="J338" s="1277"/>
      <c r="K338" s="1277"/>
      <c r="L338" s="1277"/>
      <c r="M338" s="1277"/>
      <c r="N338" s="200"/>
      <c r="O338" s="199"/>
      <c r="P338" s="24"/>
      <c r="Q338" s="24"/>
      <c r="R338" s="398"/>
      <c r="S338" s="398"/>
      <c r="T338" s="398"/>
      <c r="U338" s="398"/>
      <c r="V338" s="398"/>
      <c r="W338" s="398"/>
      <c r="X338" s="398"/>
      <c r="Y338" s="398"/>
      <c r="Z338" s="398"/>
      <c r="AA338" s="398"/>
      <c r="AB338" s="200"/>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BI338" s="2" t="s">
        <v>1645</v>
      </c>
      <c r="BN338" s="2" t="s">
        <v>1646</v>
      </c>
      <c r="BP338" s="465" t="s">
        <v>1875</v>
      </c>
    </row>
    <row r="339" spans="1:69" ht="19.05" customHeight="1">
      <c r="A339" s="199"/>
      <c r="B339" s="1277"/>
      <c r="C339" s="1277"/>
      <c r="D339" s="1277"/>
      <c r="E339" s="1277"/>
      <c r="F339" s="1277"/>
      <c r="G339" s="1277"/>
      <c r="H339" s="1277"/>
      <c r="I339" s="1277"/>
      <c r="J339" s="1277"/>
      <c r="K339" s="1277"/>
      <c r="L339" s="1277"/>
      <c r="M339" s="1277"/>
      <c r="N339" s="200"/>
      <c r="O339" s="199"/>
      <c r="P339" s="24"/>
      <c r="Q339" s="24"/>
      <c r="R339" s="398"/>
      <c r="S339" s="398"/>
      <c r="T339" s="398"/>
      <c r="U339" s="398"/>
      <c r="V339" s="398"/>
      <c r="W339" s="398"/>
      <c r="X339" s="398"/>
      <c r="Y339" s="398"/>
      <c r="Z339" s="398"/>
      <c r="AA339" s="398"/>
      <c r="AB339" s="200"/>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BI339" s="2" t="s">
        <v>1646</v>
      </c>
      <c r="BN339" s="2" t="s">
        <v>1645</v>
      </c>
    </row>
    <row r="340" spans="1:69" ht="19.05" customHeight="1">
      <c r="A340" s="199"/>
      <c r="B340" s="1277"/>
      <c r="C340" s="1277"/>
      <c r="D340" s="1277"/>
      <c r="E340" s="1277"/>
      <c r="F340" s="1277"/>
      <c r="G340" s="1277"/>
      <c r="H340" s="1277"/>
      <c r="I340" s="1277"/>
      <c r="J340" s="1277"/>
      <c r="K340" s="1277"/>
      <c r="L340" s="1277"/>
      <c r="M340" s="1277"/>
      <c r="N340" s="200"/>
      <c r="O340" s="199"/>
      <c r="P340" s="24"/>
      <c r="Q340" s="24"/>
      <c r="R340" s="398"/>
      <c r="S340" s="398"/>
      <c r="T340" s="398"/>
      <c r="U340" s="398"/>
      <c r="V340" s="398"/>
      <c r="W340" s="398"/>
      <c r="X340" s="398"/>
      <c r="Y340" s="398"/>
      <c r="Z340" s="398"/>
      <c r="AA340" s="398"/>
      <c r="AB340" s="200"/>
      <c r="AC340" s="1"/>
      <c r="AD340" s="1"/>
      <c r="AE340" s="1"/>
      <c r="AF340" s="1"/>
      <c r="AG340" s="1"/>
      <c r="AH340" s="1"/>
      <c r="AI340" s="1"/>
      <c r="AJ340" s="1"/>
      <c r="AK340" s="1"/>
      <c r="AL340" s="1"/>
      <c r="AM340" s="1"/>
      <c r="AN340" s="1"/>
      <c r="AO340" s="1"/>
      <c r="AP340" s="1"/>
      <c r="AQ340" s="1"/>
      <c r="AR340" s="1"/>
      <c r="AS340" s="1"/>
      <c r="AT340" s="1"/>
      <c r="AU340" s="1"/>
      <c r="AV340" s="1"/>
      <c r="AW340" s="1"/>
      <c r="AX340" s="1"/>
      <c r="AY340" s="1"/>
    </row>
    <row r="341" spans="1:69" ht="19.05" customHeight="1">
      <c r="A341" s="199"/>
      <c r="B341" s="1277"/>
      <c r="C341" s="1277"/>
      <c r="D341" s="1277"/>
      <c r="E341" s="1277"/>
      <c r="F341" s="1277"/>
      <c r="G341" s="1277"/>
      <c r="H341" s="1277"/>
      <c r="I341" s="1277"/>
      <c r="J341" s="1277"/>
      <c r="K341" s="1277"/>
      <c r="L341" s="1277"/>
      <c r="M341" s="1277"/>
      <c r="N341" s="200"/>
      <c r="O341" s="199"/>
      <c r="P341" s="24"/>
      <c r="Q341" s="24"/>
      <c r="R341" s="398"/>
      <c r="S341" s="398"/>
      <c r="T341" s="398"/>
      <c r="U341" s="398"/>
      <c r="V341" s="398"/>
      <c r="W341" s="398"/>
      <c r="X341" s="398"/>
      <c r="Y341" s="398"/>
      <c r="Z341" s="398"/>
      <c r="AA341" s="398"/>
      <c r="AB341" s="200"/>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BF341" s="459" t="str">
        <f>IF(OR($I$1094=0,$I$1096=0,$B$1124=""),BH341,BF343)</f>
        <v>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full inclusion while guarding self-determination. The other side generalizes self-protection while guarding their local cohesion. To ease that need, your client may overgeneralize by saying "let anyone enter" while the other side overgeneralizes by saying "keep all out".</v>
      </c>
      <c r="BH341" s="465" t="s">
        <v>2012</v>
      </c>
    </row>
    <row r="342" spans="1:69" ht="4.95" customHeight="1">
      <c r="A342" s="199"/>
      <c r="B342" s="24"/>
      <c r="C342" s="24"/>
      <c r="D342" s="24"/>
      <c r="E342" s="24"/>
      <c r="F342" s="24"/>
      <c r="G342" s="24"/>
      <c r="H342" s="24"/>
      <c r="I342" s="24"/>
      <c r="J342" s="24"/>
      <c r="K342" s="24"/>
      <c r="L342" s="24"/>
      <c r="M342" s="24"/>
      <c r="N342" s="200"/>
      <c r="O342" s="199"/>
      <c r="P342" s="24"/>
      <c r="Q342" s="24"/>
      <c r="R342" s="398"/>
      <c r="S342" s="398"/>
      <c r="T342" s="398"/>
      <c r="U342" s="398"/>
      <c r="V342" s="398"/>
      <c r="W342" s="398"/>
      <c r="X342" s="398"/>
      <c r="Y342" s="398"/>
      <c r="Z342" s="398"/>
      <c r="AA342" s="398"/>
      <c r="AB342" s="200"/>
      <c r="AC342" s="1"/>
      <c r="AD342" s="1"/>
      <c r="AE342" s="1"/>
      <c r="AF342" s="1"/>
      <c r="AG342" s="1"/>
      <c r="AH342" s="1"/>
      <c r="AI342" s="1"/>
      <c r="AJ342" s="1"/>
      <c r="AK342" s="1"/>
      <c r="AL342" s="1"/>
      <c r="AM342" s="1"/>
      <c r="AN342" s="1"/>
      <c r="AO342" s="1"/>
      <c r="AP342" s="1"/>
      <c r="AQ342" s="1"/>
      <c r="AR342" s="1"/>
      <c r="AS342" s="1"/>
      <c r="AT342" s="1"/>
      <c r="AU342" s="1"/>
      <c r="AV342" s="1"/>
      <c r="AW342" s="1"/>
      <c r="AX342" s="1"/>
      <c r="AY342" s="1"/>
    </row>
    <row r="343" spans="1:69" ht="19.95" customHeight="1">
      <c r="A343" s="199"/>
      <c r="B343" s="1277" t="str">
        <f>BF341</f>
        <v>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full inclusion while guarding self-determination. The other side generalizes self-protection while guarding their local cohesion. To ease that need, your client may overgeneralize by saying "let anyone enter" while the other side overgeneralizes by saying "keep all out".</v>
      </c>
      <c r="C343" s="1277"/>
      <c r="D343" s="1277"/>
      <c r="E343" s="1277"/>
      <c r="F343" s="1277"/>
      <c r="G343" s="1277"/>
      <c r="H343" s="1277"/>
      <c r="I343" s="1277"/>
      <c r="J343" s="1277"/>
      <c r="K343" s="1277"/>
      <c r="L343" s="1277"/>
      <c r="M343" s="1277"/>
      <c r="N343" s="200"/>
      <c r="O343" s="199"/>
      <c r="P343" s="24"/>
      <c r="Q343" s="24"/>
      <c r="R343" s="398"/>
      <c r="S343" s="398"/>
      <c r="T343" s="398"/>
      <c r="U343" s="398"/>
      <c r="V343" s="398"/>
      <c r="W343" s="398"/>
      <c r="X343" s="398"/>
      <c r="Y343" s="398"/>
      <c r="Z343" s="398"/>
      <c r="AA343" s="398"/>
      <c r="AB343" s="200"/>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BF343" s="459" t="str">
        <f>CONCATENATE(BH343,BI343,BJ343,BK343,BL343,BM343,BN343,BO343,BL344,BM344,BN344,BO344,BP344)</f>
        <v>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full inclusion while guarding self-determination. The other side generalizes self-protection while guarding their local cohesion. To ease that need, your client may overgeneralize by saying "let anyone enter" while the other side overgeneralizes by saying "keep all out".</v>
      </c>
      <c r="BH343" s="465" t="s">
        <v>2011</v>
      </c>
      <c r="BI343" s="2" t="str">
        <f>BG1120</f>
        <v>full inclusion</v>
      </c>
      <c r="BJ343" s="465" t="s">
        <v>1634</v>
      </c>
      <c r="BK343" s="2" t="str">
        <f>BI1120</f>
        <v>self-determination</v>
      </c>
      <c r="BL343" s="465" t="s">
        <v>1638</v>
      </c>
      <c r="BM343" s="2" t="str">
        <f>BH1120</f>
        <v>self-protection</v>
      </c>
      <c r="BN343" s="465" t="s">
        <v>1635</v>
      </c>
      <c r="BO343" s="2" t="str">
        <f>BJ1120</f>
        <v>local cohesion</v>
      </c>
    </row>
    <row r="344" spans="1:69" ht="19.95" customHeight="1">
      <c r="A344" s="199"/>
      <c r="B344" s="1277"/>
      <c r="C344" s="1277"/>
      <c r="D344" s="1277"/>
      <c r="E344" s="1277"/>
      <c r="F344" s="1277"/>
      <c r="G344" s="1277"/>
      <c r="H344" s="1277"/>
      <c r="I344" s="1277"/>
      <c r="J344" s="1277"/>
      <c r="K344" s="1277"/>
      <c r="L344" s="1277"/>
      <c r="M344" s="1277"/>
      <c r="N344" s="200"/>
      <c r="O344" s="199"/>
      <c r="P344" s="24"/>
      <c r="Q344" s="24"/>
      <c r="R344" s="398"/>
      <c r="S344" s="398"/>
      <c r="T344" s="398"/>
      <c r="U344" s="398"/>
      <c r="V344" s="398"/>
      <c r="W344" s="398"/>
      <c r="X344" s="398"/>
      <c r="Y344" s="398"/>
      <c r="Z344" s="398"/>
      <c r="AA344" s="398"/>
      <c r="AB344" s="200"/>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BL344" s="465" t="s">
        <v>1636</v>
      </c>
      <c r="BM344" s="2" t="str">
        <f>BK1122</f>
        <v>let anyone enter</v>
      </c>
      <c r="BN344" s="465" t="s">
        <v>1637</v>
      </c>
      <c r="BO344" s="2" t="str">
        <f>BL1122</f>
        <v>keep all out</v>
      </c>
      <c r="BP344" s="465" t="s">
        <v>1633</v>
      </c>
    </row>
    <row r="345" spans="1:69" ht="19.95" customHeight="1">
      <c r="A345" s="199"/>
      <c r="B345" s="1277"/>
      <c r="C345" s="1277"/>
      <c r="D345" s="1277"/>
      <c r="E345" s="1277"/>
      <c r="F345" s="1277"/>
      <c r="G345" s="1277"/>
      <c r="H345" s="1277"/>
      <c r="I345" s="1277"/>
      <c r="J345" s="1277"/>
      <c r="K345" s="1277"/>
      <c r="L345" s="1277"/>
      <c r="M345" s="1277"/>
      <c r="N345" s="200"/>
      <c r="O345" s="199"/>
      <c r="P345" s="24"/>
      <c r="Q345" s="24"/>
      <c r="R345" s="398"/>
      <c r="S345" s="398"/>
      <c r="T345" s="398"/>
      <c r="U345" s="398"/>
      <c r="V345" s="398"/>
      <c r="W345" s="398"/>
      <c r="X345" s="398"/>
      <c r="Y345" s="398"/>
      <c r="Z345" s="398"/>
      <c r="AA345" s="398"/>
      <c r="AB345" s="200"/>
      <c r="AC345" s="1"/>
      <c r="AD345" s="1"/>
      <c r="AE345" s="1"/>
      <c r="AF345" s="1"/>
      <c r="AG345" s="1"/>
      <c r="AH345" s="1"/>
      <c r="AI345" s="1"/>
      <c r="AJ345" s="1"/>
      <c r="AK345" s="1"/>
      <c r="AL345" s="1"/>
      <c r="AM345" s="1"/>
      <c r="AN345" s="1"/>
      <c r="AO345" s="1"/>
      <c r="AP345" s="1"/>
      <c r="AQ345" s="1"/>
      <c r="AR345" s="1"/>
      <c r="AS345" s="1"/>
      <c r="AT345" s="1"/>
      <c r="AU345" s="1"/>
      <c r="AV345" s="1"/>
      <c r="AW345" s="1"/>
      <c r="AX345" s="1"/>
      <c r="AY345" s="1"/>
    </row>
    <row r="346" spans="1:69" ht="4.95" customHeight="1">
      <c r="A346" s="199"/>
      <c r="B346" s="1277"/>
      <c r="C346" s="1277"/>
      <c r="D346" s="1277"/>
      <c r="E346" s="1277"/>
      <c r="F346" s="1277"/>
      <c r="G346" s="1277"/>
      <c r="H346" s="1277"/>
      <c r="I346" s="1277"/>
      <c r="J346" s="1277"/>
      <c r="K346" s="1277"/>
      <c r="L346" s="1277"/>
      <c r="M346" s="1277"/>
      <c r="N346" s="200"/>
      <c r="O346" s="199"/>
      <c r="P346" s="24"/>
      <c r="Q346" s="24"/>
      <c r="R346" s="398"/>
      <c r="S346" s="398"/>
      <c r="T346" s="398"/>
      <c r="U346" s="398"/>
      <c r="V346" s="398"/>
      <c r="W346" s="398"/>
      <c r="X346" s="398"/>
      <c r="Y346" s="398"/>
      <c r="Z346" s="398"/>
      <c r="AA346" s="398"/>
      <c r="AB346" s="200"/>
      <c r="AC346" s="1"/>
      <c r="AD346" s="1"/>
      <c r="AE346" s="1"/>
      <c r="AF346" s="1"/>
      <c r="AG346" s="1"/>
      <c r="AH346" s="1"/>
      <c r="AI346" s="1"/>
      <c r="AJ346" s="1"/>
      <c r="AK346" s="1"/>
      <c r="AL346" s="1"/>
      <c r="AM346" s="1"/>
      <c r="AN346" s="1"/>
      <c r="AO346" s="1"/>
      <c r="AP346" s="1"/>
      <c r="AQ346" s="1"/>
      <c r="AR346" s="1"/>
      <c r="AS346" s="1"/>
      <c r="AT346" s="1"/>
      <c r="AU346" s="1"/>
      <c r="AV346" s="1"/>
      <c r="AW346" s="1"/>
      <c r="AX346" s="1"/>
      <c r="AY346" s="1"/>
    </row>
    <row r="347" spans="1:69" ht="19.95" customHeight="1">
      <c r="A347" s="199"/>
      <c r="B347" s="1277"/>
      <c r="C347" s="1277"/>
      <c r="D347" s="1277"/>
      <c r="E347" s="1277"/>
      <c r="F347" s="1277"/>
      <c r="G347" s="1277"/>
      <c r="H347" s="1277"/>
      <c r="I347" s="1277"/>
      <c r="J347" s="1277"/>
      <c r="K347" s="1277"/>
      <c r="L347" s="1277"/>
      <c r="M347" s="1277"/>
      <c r="N347" s="200"/>
      <c r="O347" s="199"/>
      <c r="P347" s="24"/>
      <c r="Q347" s="24"/>
      <c r="R347" s="398"/>
      <c r="S347" s="398"/>
      <c r="T347" s="398"/>
      <c r="U347" s="398"/>
      <c r="V347" s="398"/>
      <c r="W347" s="398"/>
      <c r="X347" s="398"/>
      <c r="Y347" s="398"/>
      <c r="Z347" s="398"/>
      <c r="AA347" s="398"/>
      <c r="AB347" s="200"/>
      <c r="AC347" s="1"/>
      <c r="AD347" s="1"/>
      <c r="AE347" s="1"/>
      <c r="AF347" s="1"/>
      <c r="AG347" s="1"/>
      <c r="AH347" s="1"/>
      <c r="AI347" s="1"/>
      <c r="AJ347" s="1"/>
      <c r="AK347" s="1"/>
      <c r="AL347" s="1"/>
      <c r="AM347" s="1"/>
      <c r="AN347" s="1"/>
      <c r="AO347" s="1"/>
      <c r="AP347" s="1"/>
      <c r="AQ347" s="1"/>
      <c r="AR347" s="1"/>
      <c r="AS347" s="1"/>
      <c r="AT347" s="1"/>
      <c r="AU347" s="1"/>
      <c r="AV347" s="1"/>
      <c r="AW347" s="1"/>
      <c r="AX347" s="1"/>
      <c r="AY347" s="1"/>
    </row>
    <row r="348" spans="1:69" ht="19.95" customHeight="1">
      <c r="A348" s="199"/>
      <c r="B348" s="1277"/>
      <c r="C348" s="1277"/>
      <c r="D348" s="1277"/>
      <c r="E348" s="1277"/>
      <c r="F348" s="1277"/>
      <c r="G348" s="1277"/>
      <c r="H348" s="1277"/>
      <c r="I348" s="1277"/>
      <c r="J348" s="1277"/>
      <c r="K348" s="1277"/>
      <c r="L348" s="1277"/>
      <c r="M348" s="1277"/>
      <c r="N348" s="200"/>
      <c r="O348" s="199"/>
      <c r="P348" s="24"/>
      <c r="Q348" s="24"/>
      <c r="R348" s="398"/>
      <c r="S348" s="398"/>
      <c r="T348" s="398"/>
      <c r="U348" s="398"/>
      <c r="V348" s="398"/>
      <c r="W348" s="398"/>
      <c r="X348" s="398"/>
      <c r="Y348" s="398"/>
      <c r="Z348" s="398"/>
      <c r="AA348" s="398"/>
      <c r="AB348" s="200"/>
      <c r="AC348" s="1"/>
      <c r="AD348" s="1"/>
      <c r="AE348" s="1"/>
      <c r="AF348" s="1"/>
      <c r="AG348" s="1"/>
      <c r="AH348" s="1"/>
      <c r="AI348" s="1"/>
      <c r="AJ348" s="1"/>
      <c r="AK348" s="1"/>
      <c r="AL348" s="1"/>
      <c r="AM348" s="1"/>
      <c r="AN348" s="1"/>
      <c r="AO348" s="1"/>
      <c r="AP348" s="1"/>
      <c r="AQ348" s="1"/>
      <c r="AR348" s="1"/>
      <c r="AS348" s="1"/>
      <c r="AT348" s="1"/>
      <c r="AU348" s="1"/>
      <c r="AV348" s="1"/>
      <c r="AW348" s="1"/>
      <c r="AX348" s="1"/>
      <c r="AY348" s="1"/>
    </row>
    <row r="349" spans="1:69" ht="19.95" customHeight="1">
      <c r="A349" s="199"/>
      <c r="B349" s="1277"/>
      <c r="C349" s="1277"/>
      <c r="D349" s="1277"/>
      <c r="E349" s="1277"/>
      <c r="F349" s="1277"/>
      <c r="G349" s="1277"/>
      <c r="H349" s="1277"/>
      <c r="I349" s="1277"/>
      <c r="J349" s="1277"/>
      <c r="K349" s="1277"/>
      <c r="L349" s="1277"/>
      <c r="M349" s="1277"/>
      <c r="N349" s="200"/>
      <c r="O349" s="199"/>
      <c r="P349" s="24"/>
      <c r="Q349" s="24"/>
      <c r="R349" s="398"/>
      <c r="S349" s="398"/>
      <c r="T349" s="398"/>
      <c r="U349" s="398"/>
      <c r="V349" s="398"/>
      <c r="W349" s="398"/>
      <c r="X349" s="398"/>
      <c r="Y349" s="398"/>
      <c r="Z349" s="398"/>
      <c r="AA349" s="398"/>
      <c r="AB349" s="200"/>
      <c r="AC349" s="1"/>
      <c r="AD349" s="1"/>
      <c r="AE349" s="1"/>
      <c r="AF349" s="1"/>
      <c r="AG349" s="1"/>
      <c r="AH349" s="1"/>
      <c r="AI349" s="1"/>
      <c r="AJ349" s="1"/>
      <c r="AK349" s="1"/>
      <c r="AL349" s="1"/>
      <c r="AM349" s="1"/>
      <c r="AN349" s="1"/>
      <c r="AO349" s="1"/>
      <c r="AP349" s="1"/>
      <c r="AQ349" s="1"/>
      <c r="AR349" s="1"/>
      <c r="AS349" s="1"/>
      <c r="AT349" s="1"/>
      <c r="AU349" s="1"/>
      <c r="AV349" s="1"/>
      <c r="AW349" s="1"/>
      <c r="AX349" s="1"/>
      <c r="AY349" s="1"/>
    </row>
    <row r="350" spans="1:69" ht="4.95" customHeight="1">
      <c r="A350" s="199"/>
      <c r="B350" s="1277"/>
      <c r="C350" s="1277"/>
      <c r="D350" s="1277"/>
      <c r="E350" s="1277"/>
      <c r="F350" s="1277"/>
      <c r="G350" s="1277"/>
      <c r="H350" s="1277"/>
      <c r="I350" s="1277"/>
      <c r="J350" s="1277"/>
      <c r="K350" s="1277"/>
      <c r="L350" s="1277"/>
      <c r="M350" s="1277"/>
      <c r="N350" s="200"/>
      <c r="O350" s="199"/>
      <c r="P350" s="24"/>
      <c r="Q350" s="24"/>
      <c r="R350" s="398"/>
      <c r="S350" s="398"/>
      <c r="T350" s="398"/>
      <c r="U350" s="398"/>
      <c r="V350" s="398"/>
      <c r="W350" s="398"/>
      <c r="X350" s="398"/>
      <c r="Y350" s="398"/>
      <c r="Z350" s="398"/>
      <c r="AA350" s="398"/>
      <c r="AB350" s="200"/>
      <c r="AC350" s="1"/>
      <c r="AD350" s="1"/>
      <c r="AE350" s="1"/>
      <c r="AF350" s="1"/>
      <c r="AG350" s="1"/>
      <c r="AH350" s="1"/>
      <c r="AI350" s="1"/>
      <c r="AJ350" s="1"/>
      <c r="AK350" s="1"/>
      <c r="AL350" s="1"/>
      <c r="AM350" s="1"/>
      <c r="AN350" s="1"/>
      <c r="AO350" s="1"/>
      <c r="AP350" s="1"/>
      <c r="AQ350" s="1"/>
      <c r="AR350" s="1"/>
      <c r="AS350" s="1"/>
      <c r="AT350" s="1"/>
      <c r="AU350" s="1"/>
      <c r="AV350" s="1"/>
      <c r="AW350" s="1"/>
      <c r="AX350" s="1"/>
      <c r="AY350" s="1"/>
    </row>
    <row r="351" spans="1:69" ht="10.050000000000001" customHeight="1">
      <c r="A351" s="199"/>
      <c r="B351" s="24"/>
      <c r="C351" s="24"/>
      <c r="D351" s="24"/>
      <c r="E351" s="24"/>
      <c r="F351" s="24"/>
      <c r="G351" s="24"/>
      <c r="H351" s="24"/>
      <c r="I351" s="24"/>
      <c r="J351" s="24"/>
      <c r="K351" s="24"/>
      <c r="L351" s="24"/>
      <c r="M351" s="24"/>
      <c r="N351" s="200"/>
      <c r="O351" s="199"/>
      <c r="P351" s="24"/>
      <c r="Q351" s="24"/>
      <c r="R351" s="398"/>
      <c r="S351" s="398"/>
      <c r="T351" s="398"/>
      <c r="U351" s="398"/>
      <c r="V351" s="398"/>
      <c r="W351" s="398"/>
      <c r="X351" s="398"/>
      <c r="Y351" s="398"/>
      <c r="Z351" s="398"/>
      <c r="AA351" s="398"/>
      <c r="AB351" s="203"/>
      <c r="AC351" s="1"/>
      <c r="AD351" s="1"/>
      <c r="AE351" s="1"/>
      <c r="AF351" s="1"/>
      <c r="AG351" s="1"/>
      <c r="AH351" s="1"/>
      <c r="AI351" s="1"/>
      <c r="AJ351" s="1"/>
      <c r="AK351" s="1"/>
      <c r="AL351" s="1"/>
      <c r="AM351" s="1"/>
      <c r="AN351" s="1"/>
      <c r="AO351" s="1"/>
      <c r="AP351" s="1"/>
      <c r="AQ351" s="1"/>
      <c r="AR351" s="1"/>
      <c r="AS351" s="1"/>
      <c r="AT351" s="1"/>
      <c r="AU351" s="1"/>
      <c r="AV351" s="1"/>
      <c r="AW351" s="1"/>
      <c r="AX351" s="1"/>
      <c r="AY351" s="1"/>
    </row>
    <row r="352" spans="1:69" ht="30" customHeight="1">
      <c r="A352" s="210" t="s">
        <v>1148</v>
      </c>
      <c r="B352" s="579" t="s">
        <v>1650</v>
      </c>
      <c r="C352" s="585"/>
      <c r="D352" s="585"/>
      <c r="E352" s="583"/>
      <c r="F352" s="374"/>
      <c r="G352" s="373"/>
      <c r="H352" s="373"/>
      <c r="I352" s="373"/>
      <c r="J352" s="373"/>
      <c r="K352" s="373"/>
      <c r="L352" s="373"/>
      <c r="M352" s="373"/>
      <c r="N352" s="211" t="s">
        <v>1149</v>
      </c>
      <c r="O352" s="372"/>
      <c r="P352" s="374"/>
      <c r="Q352" s="373"/>
      <c r="R352" s="373"/>
      <c r="S352" s="373"/>
      <c r="T352" s="373"/>
      <c r="U352" s="373"/>
      <c r="V352" s="373"/>
      <c r="W352" s="373"/>
      <c r="X352" s="373"/>
      <c r="Y352" s="373"/>
      <c r="Z352" s="373"/>
      <c r="AA352" s="373"/>
      <c r="AB352" s="211" t="s">
        <v>1149</v>
      </c>
      <c r="AC352" s="577"/>
      <c r="AD352" s="1"/>
      <c r="AE352" s="577"/>
      <c r="AF352" s="577"/>
      <c r="AG352" s="577"/>
      <c r="AH352" s="577"/>
      <c r="AI352" s="577"/>
      <c r="AJ352" s="577"/>
      <c r="AK352" s="577"/>
      <c r="AL352" s="577"/>
      <c r="AM352" s="577"/>
      <c r="AN352" s="577"/>
      <c r="AO352" s="577"/>
      <c r="AP352" s="577"/>
      <c r="AQ352" s="577"/>
      <c r="AR352" s="577"/>
      <c r="AS352" s="577"/>
      <c r="AT352" s="577"/>
      <c r="AU352" s="577"/>
      <c r="AV352" s="577"/>
      <c r="AW352" s="577"/>
      <c r="AX352" s="577"/>
      <c r="AY352" s="577"/>
    </row>
    <row r="353" spans="1:64" ht="10.050000000000001" customHeight="1">
      <c r="A353" s="199"/>
      <c r="B353" s="24"/>
      <c r="C353" s="24"/>
      <c r="D353" s="24"/>
      <c r="E353" s="24"/>
      <c r="F353" s="24"/>
      <c r="G353" s="24"/>
      <c r="H353" s="24"/>
      <c r="I353" s="24"/>
      <c r="J353" s="24"/>
      <c r="K353" s="24"/>
      <c r="L353" s="24"/>
      <c r="M353" s="24"/>
      <c r="N353" s="200"/>
      <c r="O353" s="199"/>
      <c r="P353" s="24"/>
      <c r="Q353" s="24"/>
      <c r="R353" s="398"/>
      <c r="S353" s="398"/>
      <c r="T353" s="398"/>
      <c r="U353" s="398"/>
      <c r="V353" s="398"/>
      <c r="W353" s="398"/>
      <c r="X353" s="398"/>
      <c r="Y353" s="398"/>
      <c r="Z353" s="398"/>
      <c r="AA353" s="398"/>
      <c r="AB353" s="200"/>
      <c r="AC353" s="1"/>
      <c r="AD353" s="1"/>
      <c r="AE353" s="1"/>
      <c r="AF353" s="1"/>
      <c r="AG353" s="1"/>
      <c r="AH353" s="1"/>
      <c r="AI353" s="1"/>
      <c r="AJ353" s="1"/>
      <c r="AK353" s="1"/>
      <c r="AL353" s="1"/>
      <c r="AM353" s="1"/>
      <c r="AN353" s="1"/>
      <c r="AO353" s="1"/>
      <c r="AP353" s="1"/>
      <c r="AQ353" s="1"/>
      <c r="AR353" s="1"/>
      <c r="AS353" s="1"/>
      <c r="AT353" s="1"/>
      <c r="AU353" s="1"/>
      <c r="AV353" s="1"/>
      <c r="AW353" s="1"/>
      <c r="AX353" s="1"/>
      <c r="AY353" s="1"/>
    </row>
    <row r="354" spans="1:64" ht="19.95" customHeight="1">
      <c r="A354" s="199"/>
      <c r="B354" s="588" t="s">
        <v>1652</v>
      </c>
      <c r="C354" s="24"/>
      <c r="D354" s="24"/>
      <c r="E354" s="24"/>
      <c r="F354" s="24"/>
      <c r="G354" s="24"/>
      <c r="H354" s="24"/>
      <c r="I354" s="24"/>
      <c r="J354" s="24"/>
      <c r="K354" s="24"/>
      <c r="L354" s="24"/>
      <c r="M354" s="24"/>
      <c r="N354" s="200"/>
      <c r="O354" s="199"/>
      <c r="P354" s="24"/>
      <c r="Q354" s="24"/>
      <c r="R354" s="398"/>
      <c r="S354" s="398"/>
      <c r="T354" s="398"/>
      <c r="U354" s="398"/>
      <c r="V354" s="398"/>
      <c r="W354" s="398"/>
      <c r="X354" s="398"/>
      <c r="Y354" s="398"/>
      <c r="Z354" s="398"/>
      <c r="AA354" s="398"/>
      <c r="AB354" s="200"/>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BF354" s="459" t="str">
        <f>CONCATENATE(BH354,BI354,BJ354,BK354,BL354,BM354,BN354,BO354)</f>
        <v/>
      </c>
      <c r="BH354" s="409"/>
    </row>
    <row r="355" spans="1:64" ht="10.050000000000001" customHeight="1">
      <c r="A355" s="199"/>
      <c r="B355" s="24"/>
      <c r="C355" s="24"/>
      <c r="D355" s="24"/>
      <c r="E355" s="24"/>
      <c r="F355" s="24"/>
      <c r="G355" s="24"/>
      <c r="H355" s="24"/>
      <c r="I355" s="24"/>
      <c r="J355" s="24"/>
      <c r="K355" s="24"/>
      <c r="L355" s="24"/>
      <c r="M355" s="24"/>
      <c r="N355" s="200"/>
      <c r="O355" s="199"/>
      <c r="P355" s="24"/>
      <c r="Q355" s="24"/>
      <c r="R355" s="398"/>
      <c r="S355" s="398"/>
      <c r="T355" s="398"/>
      <c r="U355" s="398"/>
      <c r="V355" s="398"/>
      <c r="W355" s="398"/>
      <c r="X355" s="398"/>
      <c r="Y355" s="398"/>
      <c r="Z355" s="398"/>
      <c r="AA355" s="398"/>
      <c r="AB355" s="200"/>
      <c r="AC355" s="1"/>
      <c r="AD355" s="1"/>
      <c r="AE355" s="1"/>
      <c r="AF355" s="1"/>
      <c r="AG355" s="1"/>
      <c r="AH355" s="1"/>
      <c r="AI355" s="1"/>
      <c r="AJ355" s="1"/>
      <c r="AK355" s="1"/>
      <c r="AL355" s="1"/>
      <c r="AM355" s="1"/>
      <c r="AN355" s="1"/>
      <c r="AO355" s="1"/>
      <c r="AP355" s="1"/>
      <c r="AQ355" s="1"/>
      <c r="AR355" s="1"/>
      <c r="AS355" s="1"/>
      <c r="AT355" s="1"/>
      <c r="AU355" s="1"/>
      <c r="AV355" s="1"/>
      <c r="AW355" s="1"/>
      <c r="AX355" s="1"/>
      <c r="AY355" s="1"/>
    </row>
    <row r="356" spans="1:64" ht="19.05" customHeight="1">
      <c r="A356" s="199"/>
      <c r="B356" s="1277" t="s">
        <v>1680</v>
      </c>
      <c r="C356" s="1277"/>
      <c r="D356" s="1277"/>
      <c r="E356" s="1277"/>
      <c r="F356" s="1277"/>
      <c r="G356" s="1277"/>
      <c r="H356" s="1277"/>
      <c r="I356" s="1277"/>
      <c r="J356" s="1277"/>
      <c r="K356" s="1277"/>
      <c r="L356" s="1277"/>
      <c r="M356" s="1277"/>
      <c r="N356" s="200"/>
      <c r="O356" s="199"/>
      <c r="P356" s="24"/>
      <c r="Q356" s="24"/>
      <c r="R356" s="398"/>
      <c r="S356" s="398"/>
      <c r="T356" s="398"/>
      <c r="U356" s="398"/>
      <c r="V356" s="398"/>
      <c r="W356" s="398"/>
      <c r="X356" s="398"/>
      <c r="Y356" s="398"/>
      <c r="Z356" s="398"/>
      <c r="AA356" s="398"/>
      <c r="AB356" s="200"/>
      <c r="AC356" s="1"/>
      <c r="AD356" s="1"/>
      <c r="AE356" s="1"/>
      <c r="AF356" s="1"/>
      <c r="AG356" s="1"/>
      <c r="AH356" s="1"/>
      <c r="AI356" s="1"/>
      <c r="AJ356" s="1"/>
      <c r="AK356" s="1"/>
      <c r="AL356" s="1"/>
      <c r="AM356" s="1"/>
      <c r="AN356" s="1"/>
      <c r="AO356" s="1"/>
      <c r="AP356" s="1"/>
      <c r="AQ356" s="1"/>
      <c r="AR356" s="1"/>
      <c r="AS356" s="1"/>
      <c r="AT356" s="1"/>
      <c r="AU356" s="1"/>
      <c r="AV356" s="1"/>
      <c r="AW356" s="1"/>
      <c r="AX356" s="1"/>
      <c r="AY356" s="1"/>
    </row>
    <row r="357" spans="1:64" ht="19.05" customHeight="1">
      <c r="A357" s="199"/>
      <c r="B357" s="1277"/>
      <c r="C357" s="1277"/>
      <c r="D357" s="1277"/>
      <c r="E357" s="1277"/>
      <c r="F357" s="1277"/>
      <c r="G357" s="1277"/>
      <c r="H357" s="1277"/>
      <c r="I357" s="1277"/>
      <c r="J357" s="1277"/>
      <c r="K357" s="1277"/>
      <c r="L357" s="1277"/>
      <c r="M357" s="1277"/>
      <c r="N357" s="200"/>
      <c r="O357" s="199"/>
      <c r="P357" s="24"/>
      <c r="Q357" s="24"/>
      <c r="R357" s="398"/>
      <c r="S357" s="398"/>
      <c r="T357" s="398"/>
      <c r="U357" s="398"/>
      <c r="V357" s="398"/>
      <c r="W357" s="398"/>
      <c r="X357" s="398"/>
      <c r="Y357" s="398"/>
      <c r="Z357" s="398"/>
      <c r="AA357" s="398"/>
      <c r="AB357" s="200"/>
      <c r="AC357" s="1"/>
      <c r="AD357" s="1"/>
      <c r="AE357" s="1"/>
      <c r="AF357" s="1"/>
      <c r="AG357" s="1"/>
      <c r="AH357" s="1"/>
      <c r="AI357" s="1"/>
      <c r="AJ357" s="1"/>
      <c r="AK357" s="1"/>
      <c r="AL357" s="1"/>
      <c r="AM357" s="1"/>
      <c r="AN357" s="1"/>
      <c r="AO357" s="1"/>
      <c r="AP357" s="1"/>
      <c r="AQ357" s="1"/>
      <c r="AR357" s="1"/>
      <c r="AS357" s="1"/>
      <c r="AT357" s="1"/>
      <c r="AU357" s="1"/>
      <c r="AV357" s="1"/>
      <c r="AW357" s="1"/>
      <c r="AX357" s="1"/>
      <c r="AY357" s="1"/>
    </row>
    <row r="358" spans="1:64" ht="19.05" customHeight="1">
      <c r="A358" s="199"/>
      <c r="B358" s="1277"/>
      <c r="C358" s="1277"/>
      <c r="D358" s="1277"/>
      <c r="E358" s="1277"/>
      <c r="F358" s="1277"/>
      <c r="G358" s="1277"/>
      <c r="H358" s="1277"/>
      <c r="I358" s="1277"/>
      <c r="J358" s="1277"/>
      <c r="K358" s="1277"/>
      <c r="L358" s="1277"/>
      <c r="M358" s="1277"/>
      <c r="N358" s="200"/>
      <c r="O358" s="199"/>
      <c r="P358" s="24"/>
      <c r="Q358" s="24"/>
      <c r="R358" s="398"/>
      <c r="S358" s="398"/>
      <c r="T358" s="398"/>
      <c r="U358" s="398"/>
      <c r="V358" s="398"/>
      <c r="W358" s="398"/>
      <c r="X358" s="398"/>
      <c r="Y358" s="398"/>
      <c r="Z358" s="398"/>
      <c r="AA358" s="398"/>
      <c r="AB358" s="200"/>
      <c r="AC358" s="1"/>
      <c r="AD358" s="1"/>
      <c r="AE358" s="1"/>
      <c r="AF358" s="1"/>
      <c r="AG358" s="1"/>
      <c r="AH358" s="1"/>
      <c r="AI358" s="1"/>
      <c r="AJ358" s="1"/>
      <c r="AK358" s="1"/>
      <c r="AL358" s="1"/>
      <c r="AM358" s="1"/>
      <c r="AN358" s="1"/>
      <c r="AO358" s="1"/>
      <c r="AP358" s="1"/>
      <c r="AQ358" s="1"/>
      <c r="AR358" s="1"/>
      <c r="AS358" s="1"/>
      <c r="AT358" s="1"/>
      <c r="AU358" s="1"/>
      <c r="AV358" s="1"/>
      <c r="AW358" s="1"/>
      <c r="AX358" s="1"/>
      <c r="AY358" s="1"/>
    </row>
    <row r="359" spans="1:64" ht="19.05" customHeight="1">
      <c r="A359" s="199"/>
      <c r="B359" s="1277"/>
      <c r="C359" s="1277"/>
      <c r="D359" s="1277"/>
      <c r="E359" s="1277"/>
      <c r="F359" s="1277"/>
      <c r="G359" s="1277"/>
      <c r="H359" s="1277"/>
      <c r="I359" s="1277"/>
      <c r="J359" s="1277"/>
      <c r="K359" s="1277"/>
      <c r="L359" s="1277"/>
      <c r="M359" s="1277"/>
      <c r="N359" s="200"/>
      <c r="O359" s="199"/>
      <c r="P359" s="24"/>
      <c r="Q359" s="24"/>
      <c r="R359" s="398"/>
      <c r="S359" s="398"/>
      <c r="T359" s="398"/>
      <c r="U359" s="398"/>
      <c r="V359" s="398"/>
      <c r="W359" s="398"/>
      <c r="X359" s="398"/>
      <c r="Y359" s="398"/>
      <c r="Z359" s="398"/>
      <c r="AA359" s="398"/>
      <c r="AB359" s="200"/>
      <c r="AC359" s="1"/>
      <c r="AD359" s="1"/>
      <c r="AE359" s="1"/>
      <c r="AF359" s="1"/>
      <c r="AG359" s="1"/>
      <c r="AH359" s="1"/>
      <c r="AI359" s="1"/>
      <c r="AJ359" s="1"/>
      <c r="AK359" s="1"/>
      <c r="AL359" s="1"/>
      <c r="AM359" s="1"/>
      <c r="AN359" s="1"/>
      <c r="AO359" s="1"/>
      <c r="AP359" s="1"/>
      <c r="AQ359" s="1"/>
      <c r="AR359" s="1"/>
      <c r="AS359" s="1"/>
      <c r="AT359" s="1"/>
      <c r="AU359" s="1"/>
      <c r="AV359" s="1"/>
      <c r="AW359" s="1"/>
      <c r="AX359" s="1"/>
      <c r="AY359" s="1"/>
    </row>
    <row r="360" spans="1:64" ht="19.05" customHeight="1">
      <c r="A360" s="199"/>
      <c r="B360" s="1277"/>
      <c r="C360" s="1277"/>
      <c r="D360" s="1277"/>
      <c r="E360" s="1277"/>
      <c r="F360" s="1277"/>
      <c r="G360" s="1277"/>
      <c r="H360" s="1277"/>
      <c r="I360" s="1277"/>
      <c r="J360" s="1277"/>
      <c r="K360" s="1277"/>
      <c r="L360" s="1277"/>
      <c r="M360" s="1277"/>
      <c r="N360" s="200"/>
      <c r="O360" s="199"/>
      <c r="P360" s="24"/>
      <c r="Q360" s="24"/>
      <c r="R360" s="398"/>
      <c r="S360" s="398"/>
      <c r="T360" s="398"/>
      <c r="U360" s="398"/>
      <c r="V360" s="398"/>
      <c r="W360" s="398"/>
      <c r="X360" s="398"/>
      <c r="Y360" s="398"/>
      <c r="Z360" s="398"/>
      <c r="AA360" s="398"/>
      <c r="AB360" s="200"/>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BF360" s="459" t="str">
        <f>IF(OR($I$1094=0,$B$1124=""),BH360,BF362)</f>
        <v xml:space="preserve">Divisive politics lets you judge the other side by its most exaggerated generalizations. Then it upholds your side by casting its most exaggerated generalizations as mere aberration. Divisive politics tempts your client to view those arguing to keep all out as examplary of the other side, while characterizing anyone on the client's side who argues to let anyone enter as merely an exception to your client side's sound arguments. </v>
      </c>
      <c r="BH360" s="465" t="s">
        <v>1822</v>
      </c>
    </row>
    <row r="361" spans="1:64" ht="4.95" customHeight="1">
      <c r="A361" s="199"/>
      <c r="B361" s="24"/>
      <c r="C361" s="24"/>
      <c r="D361" s="24"/>
      <c r="E361" s="24"/>
      <c r="F361" s="24"/>
      <c r="G361" s="24"/>
      <c r="H361" s="24"/>
      <c r="I361" s="24"/>
      <c r="J361" s="24"/>
      <c r="K361" s="24"/>
      <c r="L361" s="24"/>
      <c r="M361" s="24"/>
      <c r="N361" s="200"/>
      <c r="O361" s="199"/>
      <c r="P361" s="24"/>
      <c r="Q361" s="24"/>
      <c r="R361" s="398"/>
      <c r="S361" s="398"/>
      <c r="T361" s="398"/>
      <c r="U361" s="398"/>
      <c r="V361" s="398"/>
      <c r="W361" s="398"/>
      <c r="X361" s="398"/>
      <c r="Y361" s="398"/>
      <c r="Z361" s="398"/>
      <c r="AA361" s="398"/>
      <c r="AB361" s="200"/>
      <c r="AC361" s="1"/>
      <c r="AD361" s="1"/>
      <c r="AE361" s="1"/>
      <c r="AF361" s="1"/>
      <c r="AG361" s="1"/>
      <c r="AH361" s="1"/>
      <c r="AI361" s="1"/>
      <c r="AJ361" s="1"/>
      <c r="AK361" s="1"/>
      <c r="AL361" s="1"/>
      <c r="AM361" s="1"/>
      <c r="AN361" s="1"/>
      <c r="AO361" s="1"/>
      <c r="AP361" s="1"/>
      <c r="AQ361" s="1"/>
      <c r="AR361" s="1"/>
      <c r="AS361" s="1"/>
      <c r="AT361" s="1"/>
      <c r="AU361" s="1"/>
      <c r="AV361" s="1"/>
      <c r="AW361" s="1"/>
      <c r="AX361" s="1"/>
      <c r="AY361" s="1"/>
    </row>
    <row r="362" spans="1:64" ht="19.95" customHeight="1">
      <c r="A362" s="199"/>
      <c r="B362" s="1277" t="str">
        <f>BF360</f>
        <v xml:space="preserve">Divisive politics lets you judge the other side by its most exaggerated generalizations. Then it upholds your side by casting its most exaggerated generalizations as mere aberration. Divisive politics tempts your client to view those arguing to keep all out as examplary of the other side, while characterizing anyone on the client's side who argues to let anyone enter as merely an exception to your client side's sound arguments. </v>
      </c>
      <c r="C362" s="1277"/>
      <c r="D362" s="1277"/>
      <c r="E362" s="1277"/>
      <c r="F362" s="1277"/>
      <c r="G362" s="1277"/>
      <c r="H362" s="1277"/>
      <c r="I362" s="1277"/>
      <c r="J362" s="1277"/>
      <c r="K362" s="1277"/>
      <c r="L362" s="1277"/>
      <c r="M362" s="1277"/>
      <c r="N362" s="200"/>
      <c r="O362" s="199"/>
      <c r="P362" s="24"/>
      <c r="Q362" s="24"/>
      <c r="R362" s="398"/>
      <c r="S362" s="398"/>
      <c r="T362" s="398"/>
      <c r="U362" s="398"/>
      <c r="V362" s="398"/>
      <c r="W362" s="398"/>
      <c r="X362" s="398"/>
      <c r="Y362" s="398"/>
      <c r="Z362" s="398"/>
      <c r="AA362" s="398"/>
      <c r="AB362" s="200"/>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BF362" s="459" t="str">
        <f>CONCATENATE(BH362,BI362,BJ362,BK362,BL362,BM362,BN360,BO360)</f>
        <v xml:space="preserve">Divisive politics lets you judge the other side by its most exaggerated generalizations. Then it upholds your side by casting its most exaggerated generalizations as mere aberration. Divisive politics tempts your client to view those arguing to keep all out as examplary of the other side, while characterizing anyone on the client's side who argues to let anyone enter as merely an exception to your client side's sound arguments. </v>
      </c>
      <c r="BH362" s="409" t="s">
        <v>1943</v>
      </c>
      <c r="BI362" s="2" t="str">
        <f>BL1122</f>
        <v>keep all out</v>
      </c>
      <c r="BJ362" s="409" t="s">
        <v>1685</v>
      </c>
      <c r="BK362" s="2" t="str">
        <f>BK1122</f>
        <v>let anyone enter</v>
      </c>
      <c r="BL362" s="465" t="s">
        <v>1683</v>
      </c>
    </row>
    <row r="363" spans="1:64" ht="19.95" customHeight="1">
      <c r="A363" s="199"/>
      <c r="B363" s="1277"/>
      <c r="C363" s="1277"/>
      <c r="D363" s="1277"/>
      <c r="E363" s="1277"/>
      <c r="F363" s="1277"/>
      <c r="G363" s="1277"/>
      <c r="H363" s="1277"/>
      <c r="I363" s="1277"/>
      <c r="J363" s="1277"/>
      <c r="K363" s="1277"/>
      <c r="L363" s="1277"/>
      <c r="M363" s="1277"/>
      <c r="N363" s="200"/>
      <c r="O363" s="199"/>
      <c r="P363" s="24"/>
      <c r="Q363" s="24"/>
      <c r="R363" s="398"/>
      <c r="S363" s="398"/>
      <c r="T363" s="398"/>
      <c r="U363" s="398"/>
      <c r="V363" s="398"/>
      <c r="W363" s="398"/>
      <c r="X363" s="398"/>
      <c r="Y363" s="398"/>
      <c r="Z363" s="398"/>
      <c r="AA363" s="398"/>
      <c r="AB363" s="200"/>
      <c r="AC363" s="1"/>
      <c r="AD363" s="1"/>
      <c r="AE363" s="1"/>
      <c r="AF363" s="1"/>
      <c r="AG363" s="1"/>
      <c r="AH363" s="1"/>
      <c r="AI363" s="1"/>
      <c r="AJ363" s="1"/>
      <c r="AK363" s="1"/>
      <c r="AL363" s="1"/>
      <c r="AM363" s="1"/>
      <c r="AN363" s="1"/>
      <c r="AO363" s="1"/>
      <c r="AP363" s="1"/>
      <c r="AQ363" s="1"/>
      <c r="AR363" s="1"/>
      <c r="AS363" s="1"/>
      <c r="AT363" s="1"/>
      <c r="AU363" s="1"/>
      <c r="AV363" s="1"/>
      <c r="AW363" s="1"/>
      <c r="AX363" s="1"/>
      <c r="AY363" s="1"/>
    </row>
    <row r="364" spans="1:64" ht="19.95" customHeight="1">
      <c r="A364" s="199"/>
      <c r="B364" s="1277"/>
      <c r="C364" s="1277"/>
      <c r="D364" s="1277"/>
      <c r="E364" s="1277"/>
      <c r="F364" s="1277"/>
      <c r="G364" s="1277"/>
      <c r="H364" s="1277"/>
      <c r="I364" s="1277"/>
      <c r="J364" s="1277"/>
      <c r="K364" s="1277"/>
      <c r="L364" s="1277"/>
      <c r="M364" s="1277"/>
      <c r="N364" s="200"/>
      <c r="O364" s="199"/>
      <c r="P364" s="24"/>
      <c r="Q364" s="24"/>
      <c r="R364" s="398"/>
      <c r="S364" s="398"/>
      <c r="T364" s="398"/>
      <c r="U364" s="398"/>
      <c r="V364" s="398"/>
      <c r="W364" s="398"/>
      <c r="X364" s="398"/>
      <c r="Y364" s="398"/>
      <c r="Z364" s="398"/>
      <c r="AA364" s="398"/>
      <c r="AB364" s="200"/>
      <c r="AC364" s="1"/>
      <c r="AD364" s="1"/>
      <c r="AE364" s="1"/>
      <c r="AF364" s="1"/>
      <c r="AG364" s="1"/>
      <c r="AH364" s="1"/>
      <c r="AI364" s="1"/>
      <c r="AJ364" s="1"/>
      <c r="AK364" s="1"/>
      <c r="AL364" s="1"/>
      <c r="AM364" s="1"/>
      <c r="AN364" s="1"/>
      <c r="AO364" s="1"/>
      <c r="AP364" s="1"/>
      <c r="AQ364" s="1"/>
      <c r="AR364" s="1"/>
      <c r="AS364" s="1"/>
      <c r="AT364" s="1"/>
      <c r="AU364" s="1"/>
      <c r="AV364" s="1"/>
      <c r="AW364" s="1"/>
      <c r="AX364" s="1"/>
      <c r="AY364" s="1"/>
    </row>
    <row r="365" spans="1:64" ht="19.95" customHeight="1">
      <c r="A365" s="199"/>
      <c r="B365" s="1277"/>
      <c r="C365" s="1277"/>
      <c r="D365" s="1277"/>
      <c r="E365" s="1277"/>
      <c r="F365" s="1277"/>
      <c r="G365" s="1277"/>
      <c r="H365" s="1277"/>
      <c r="I365" s="1277"/>
      <c r="J365" s="1277"/>
      <c r="K365" s="1277"/>
      <c r="L365" s="1277"/>
      <c r="M365" s="1277"/>
      <c r="N365" s="200"/>
      <c r="O365" s="199"/>
      <c r="P365" s="24"/>
      <c r="Q365" s="24"/>
      <c r="R365" s="398"/>
      <c r="S365" s="398"/>
      <c r="T365" s="398"/>
      <c r="U365" s="398"/>
      <c r="V365" s="398"/>
      <c r="W365" s="398"/>
      <c r="X365" s="398"/>
      <c r="Y365" s="398"/>
      <c r="Z365" s="398"/>
      <c r="AA365" s="398"/>
      <c r="AB365" s="200"/>
      <c r="AC365" s="1"/>
      <c r="AD365" s="1"/>
      <c r="AE365" s="1"/>
      <c r="AF365" s="1"/>
      <c r="AG365" s="1"/>
      <c r="AH365" s="1"/>
      <c r="AI365" s="1"/>
      <c r="AJ365" s="1"/>
      <c r="AK365" s="1"/>
      <c r="AL365" s="1"/>
      <c r="AM365" s="1"/>
      <c r="AN365" s="1"/>
      <c r="AO365" s="1"/>
      <c r="AP365" s="1"/>
      <c r="AQ365" s="1"/>
      <c r="AR365" s="1"/>
      <c r="AS365" s="1"/>
      <c r="AT365" s="1"/>
      <c r="AU365" s="1"/>
      <c r="AV365" s="1"/>
      <c r="AW365" s="1"/>
      <c r="AX365" s="1"/>
      <c r="AY365" s="1"/>
    </row>
    <row r="366" spans="1:64" ht="19.95" customHeight="1">
      <c r="A366" s="199"/>
      <c r="B366" s="1277"/>
      <c r="C366" s="1277"/>
      <c r="D366" s="1277"/>
      <c r="E366" s="1277"/>
      <c r="F366" s="1277"/>
      <c r="G366" s="1277"/>
      <c r="H366" s="1277"/>
      <c r="I366" s="1277"/>
      <c r="J366" s="1277"/>
      <c r="K366" s="1277"/>
      <c r="L366" s="1277"/>
      <c r="M366" s="1277"/>
      <c r="N366" s="200"/>
      <c r="O366" s="199"/>
      <c r="P366" s="24"/>
      <c r="Q366" s="24"/>
      <c r="R366" s="398"/>
      <c r="S366" s="398"/>
      <c r="T366" s="398"/>
      <c r="U366" s="398"/>
      <c r="V366" s="398"/>
      <c r="W366" s="398"/>
      <c r="X366" s="398"/>
      <c r="Y366" s="398"/>
      <c r="Z366" s="398"/>
      <c r="AA366" s="398"/>
      <c r="AB366" s="200"/>
      <c r="AC366" s="1"/>
      <c r="AD366" s="1"/>
      <c r="AE366" s="1"/>
      <c r="AF366" s="1"/>
      <c r="AG366" s="1"/>
      <c r="AH366" s="1"/>
      <c r="AI366" s="1"/>
      <c r="AJ366" s="1"/>
      <c r="AK366" s="1"/>
      <c r="AL366" s="1"/>
      <c r="AM366" s="1"/>
      <c r="AN366" s="1"/>
      <c r="AO366" s="1"/>
      <c r="AP366" s="1"/>
      <c r="AQ366" s="1"/>
      <c r="AR366" s="1"/>
      <c r="AS366" s="1"/>
      <c r="AT366" s="1"/>
      <c r="AU366" s="1"/>
      <c r="AV366" s="1"/>
      <c r="AW366" s="1"/>
      <c r="AX366" s="1"/>
      <c r="AY366" s="1"/>
    </row>
    <row r="367" spans="1:64" ht="19.95" customHeight="1">
      <c r="A367" s="199"/>
      <c r="B367" s="24"/>
      <c r="C367" s="24"/>
      <c r="D367" s="24"/>
      <c r="E367" s="24"/>
      <c r="F367" s="24"/>
      <c r="G367" s="24"/>
      <c r="H367" s="24"/>
      <c r="I367" s="24"/>
      <c r="J367" s="24"/>
      <c r="K367" s="24"/>
      <c r="L367" s="24"/>
      <c r="M367" s="24"/>
      <c r="N367" s="200"/>
      <c r="O367" s="199"/>
      <c r="P367" s="24"/>
      <c r="Q367" s="24"/>
      <c r="R367" s="398"/>
      <c r="S367" s="398"/>
      <c r="T367" s="398"/>
      <c r="U367" s="398"/>
      <c r="V367" s="398"/>
      <c r="W367" s="398"/>
      <c r="X367" s="398"/>
      <c r="Y367" s="398"/>
      <c r="Z367" s="398"/>
      <c r="AA367" s="398"/>
      <c r="AB367" s="200"/>
      <c r="AC367" s="1"/>
      <c r="AD367" s="1"/>
      <c r="AE367" s="1"/>
      <c r="AF367" s="1"/>
      <c r="AG367" s="1"/>
      <c r="AH367" s="1"/>
      <c r="AI367" s="1"/>
      <c r="AJ367" s="1"/>
      <c r="AK367" s="1"/>
      <c r="AL367" s="1"/>
      <c r="AM367" s="1"/>
      <c r="AN367" s="1"/>
      <c r="AO367" s="1"/>
      <c r="AP367" s="1"/>
      <c r="AQ367" s="1"/>
      <c r="AR367" s="1"/>
      <c r="AS367" s="1"/>
      <c r="AT367" s="1"/>
      <c r="AU367" s="1"/>
      <c r="AV367" s="1"/>
      <c r="AW367" s="1"/>
      <c r="AX367" s="1"/>
      <c r="AY367" s="1"/>
    </row>
    <row r="368" spans="1:64" ht="19.95" customHeight="1">
      <c r="A368" s="199"/>
      <c r="B368" s="24"/>
      <c r="C368" s="24"/>
      <c r="D368" s="24"/>
      <c r="E368" s="24"/>
      <c r="F368" s="24"/>
      <c r="G368" s="24"/>
      <c r="H368" s="24"/>
      <c r="I368" s="24"/>
      <c r="J368" s="24"/>
      <c r="K368" s="24"/>
      <c r="L368" s="24"/>
      <c r="M368" s="24"/>
      <c r="N368" s="200"/>
      <c r="O368" s="199"/>
      <c r="P368" s="24"/>
      <c r="Q368" s="24"/>
      <c r="R368" s="398"/>
      <c r="S368" s="398"/>
      <c r="T368" s="398"/>
      <c r="U368" s="398"/>
      <c r="V368" s="398"/>
      <c r="W368" s="398"/>
      <c r="X368" s="398"/>
      <c r="Y368" s="398"/>
      <c r="Z368" s="398"/>
      <c r="AA368" s="398"/>
      <c r="AB368" s="200"/>
      <c r="AC368" s="1"/>
      <c r="AD368" s="1"/>
      <c r="AE368" s="1"/>
      <c r="AF368" s="1"/>
      <c r="AG368" s="1"/>
      <c r="AH368" s="1"/>
      <c r="AI368" s="1"/>
      <c r="AJ368" s="1"/>
      <c r="AK368" s="1"/>
      <c r="AL368" s="1"/>
      <c r="AM368" s="1"/>
      <c r="AN368" s="1"/>
      <c r="AO368" s="1"/>
      <c r="AP368" s="1"/>
      <c r="AQ368" s="1"/>
      <c r="AR368" s="1"/>
      <c r="AS368" s="1"/>
      <c r="AT368" s="1"/>
      <c r="AU368" s="1"/>
      <c r="AV368" s="1"/>
      <c r="AW368" s="1"/>
      <c r="AX368" s="1"/>
      <c r="AY368" s="1"/>
    </row>
    <row r="369" spans="1:64" ht="45" customHeight="1">
      <c r="A369" s="199"/>
      <c r="B369" s="24"/>
      <c r="C369" s="24"/>
      <c r="D369" s="24"/>
      <c r="E369" s="24"/>
      <c r="F369" s="24"/>
      <c r="G369" s="24"/>
      <c r="H369" s="24"/>
      <c r="I369" s="24"/>
      <c r="J369" s="24"/>
      <c r="K369" s="24"/>
      <c r="L369" s="24"/>
      <c r="M369" s="24"/>
      <c r="N369" s="200"/>
      <c r="O369" s="199"/>
      <c r="P369" s="24"/>
      <c r="Q369" s="24"/>
      <c r="R369" s="398"/>
      <c r="S369" s="398"/>
      <c r="T369" s="398"/>
      <c r="U369" s="398"/>
      <c r="V369" s="398"/>
      <c r="W369" s="398"/>
      <c r="X369" s="398"/>
      <c r="Y369" s="398"/>
      <c r="Z369" s="398"/>
      <c r="AA369" s="398"/>
      <c r="AB369" s="200"/>
      <c r="AC369" s="1"/>
      <c r="AD369" s="1"/>
      <c r="AE369" s="1"/>
      <c r="AF369" s="1"/>
      <c r="AG369" s="1"/>
      <c r="AH369" s="1"/>
      <c r="AI369" s="1"/>
      <c r="AJ369" s="1"/>
      <c r="AK369" s="1"/>
      <c r="AL369" s="1"/>
      <c r="AM369" s="1"/>
      <c r="AN369" s="1"/>
      <c r="AO369" s="1"/>
      <c r="AP369" s="1"/>
      <c r="AQ369" s="1"/>
      <c r="AR369" s="1"/>
      <c r="AS369" s="1"/>
      <c r="AT369" s="1"/>
      <c r="AU369" s="1"/>
      <c r="AV369" s="1"/>
      <c r="AW369" s="1"/>
      <c r="AX369" s="1"/>
      <c r="AY369" s="1"/>
    </row>
    <row r="370" spans="1:64" ht="19.95" customHeight="1">
      <c r="A370" s="199"/>
      <c r="B370" s="24"/>
      <c r="C370" s="24"/>
      <c r="D370" s="24"/>
      <c r="E370" s="24"/>
      <c r="F370" s="24"/>
      <c r="G370" s="24"/>
      <c r="H370" s="24"/>
      <c r="I370" s="24"/>
      <c r="J370" s="24"/>
      <c r="K370" s="24"/>
      <c r="L370" s="24"/>
      <c r="M370" s="24"/>
      <c r="N370" s="200"/>
      <c r="O370" s="199"/>
      <c r="P370" s="24"/>
      <c r="Q370" s="24"/>
      <c r="R370" s="398"/>
      <c r="S370" s="398"/>
      <c r="T370" s="398"/>
      <c r="U370" s="398"/>
      <c r="V370" s="398"/>
      <c r="W370" s="398"/>
      <c r="X370" s="398"/>
      <c r="Y370" s="398"/>
      <c r="Z370" s="398"/>
      <c r="AA370" s="398"/>
      <c r="AB370" s="200"/>
      <c r="AC370" s="1"/>
      <c r="AD370" s="1"/>
      <c r="AE370" s="1"/>
      <c r="AF370" s="1"/>
      <c r="AG370" s="1"/>
      <c r="AH370" s="1"/>
      <c r="AI370" s="1"/>
      <c r="AJ370" s="1"/>
      <c r="AK370" s="1"/>
      <c r="AL370" s="1"/>
      <c r="AM370" s="1"/>
      <c r="AN370" s="1"/>
      <c r="AO370" s="1"/>
      <c r="AP370" s="1"/>
      <c r="AQ370" s="1"/>
      <c r="AR370" s="1"/>
      <c r="AS370" s="1"/>
      <c r="AT370" s="1"/>
      <c r="AU370" s="1"/>
      <c r="AV370" s="1"/>
      <c r="AW370" s="1"/>
      <c r="AX370" s="1"/>
      <c r="AY370" s="1"/>
    </row>
    <row r="371" spans="1:64" ht="19.95" customHeight="1">
      <c r="A371" s="199"/>
      <c r="B371" s="24"/>
      <c r="C371" s="24"/>
      <c r="D371" s="24"/>
      <c r="E371" s="24"/>
      <c r="F371" s="24"/>
      <c r="G371" s="24"/>
      <c r="H371" s="24"/>
      <c r="I371" s="24"/>
      <c r="J371" s="24"/>
      <c r="K371" s="24"/>
      <c r="L371" s="24"/>
      <c r="M371" s="24"/>
      <c r="N371" s="200"/>
      <c r="O371" s="199"/>
      <c r="P371" s="24"/>
      <c r="Q371" s="24"/>
      <c r="R371" s="398"/>
      <c r="S371" s="398"/>
      <c r="T371" s="398"/>
      <c r="U371" s="398"/>
      <c r="V371" s="398"/>
      <c r="W371" s="398"/>
      <c r="X371" s="398"/>
      <c r="Y371" s="398"/>
      <c r="Z371" s="398"/>
      <c r="AA371" s="398"/>
      <c r="AB371" s="200"/>
      <c r="AC371" s="1"/>
      <c r="AD371" s="1"/>
      <c r="AE371" s="1"/>
      <c r="AF371" s="1"/>
      <c r="AG371" s="1"/>
      <c r="AH371" s="1"/>
      <c r="AI371" s="1"/>
      <c r="AJ371" s="1"/>
      <c r="AK371" s="1"/>
      <c r="AL371" s="1"/>
      <c r="AM371" s="1"/>
      <c r="AN371" s="1"/>
      <c r="AO371" s="1"/>
      <c r="AP371" s="1"/>
      <c r="AQ371" s="1"/>
      <c r="AR371" s="1"/>
      <c r="AS371" s="1"/>
      <c r="AT371" s="1"/>
      <c r="AU371" s="1"/>
      <c r="AV371" s="1"/>
      <c r="AW371" s="1"/>
      <c r="AX371" s="1"/>
      <c r="AY371" s="1"/>
    </row>
    <row r="372" spans="1:64" ht="19.95" customHeight="1">
      <c r="A372" s="199"/>
      <c r="B372" s="24"/>
      <c r="C372" s="24"/>
      <c r="D372" s="24"/>
      <c r="E372" s="24"/>
      <c r="F372" s="24"/>
      <c r="G372" s="24"/>
      <c r="H372" s="24"/>
      <c r="I372" s="24"/>
      <c r="J372" s="24"/>
      <c r="K372" s="24"/>
      <c r="L372" s="24"/>
      <c r="M372" s="24"/>
      <c r="N372" s="200"/>
      <c r="O372" s="199"/>
      <c r="P372" s="24"/>
      <c r="Q372" s="24"/>
      <c r="R372" s="398"/>
      <c r="S372" s="398"/>
      <c r="T372" s="398"/>
      <c r="U372" s="398"/>
      <c r="V372" s="398"/>
      <c r="W372" s="398"/>
      <c r="X372" s="398"/>
      <c r="Y372" s="398"/>
      <c r="Z372" s="398"/>
      <c r="AA372" s="398"/>
      <c r="AB372" s="200"/>
      <c r="AC372" s="1"/>
      <c r="AD372" s="1"/>
      <c r="AE372" s="1"/>
      <c r="AF372" s="1"/>
      <c r="AG372" s="1"/>
      <c r="AH372" s="1"/>
      <c r="AI372" s="1"/>
      <c r="AJ372" s="1"/>
      <c r="AK372" s="1"/>
      <c r="AL372" s="1"/>
      <c r="AM372" s="1"/>
      <c r="AN372" s="1"/>
      <c r="AO372" s="1"/>
      <c r="AP372" s="1"/>
      <c r="AQ372" s="1"/>
      <c r="AR372" s="1"/>
      <c r="AS372" s="1"/>
      <c r="AT372" s="1"/>
      <c r="AU372" s="1"/>
      <c r="AV372" s="1"/>
      <c r="AW372" s="1"/>
      <c r="AX372" s="1"/>
      <c r="AY372" s="1"/>
    </row>
    <row r="373" spans="1:64" ht="19.95" customHeight="1">
      <c r="A373" s="199"/>
      <c r="B373" s="24"/>
      <c r="C373" s="24"/>
      <c r="D373" s="24"/>
      <c r="E373" s="24"/>
      <c r="F373" s="24"/>
      <c r="G373" s="24"/>
      <c r="H373" s="24"/>
      <c r="I373" s="24"/>
      <c r="J373" s="24"/>
      <c r="K373" s="24"/>
      <c r="L373" s="24"/>
      <c r="M373" s="24"/>
      <c r="N373" s="200"/>
      <c r="O373" s="199"/>
      <c r="P373" s="24"/>
      <c r="Q373" s="24"/>
      <c r="R373" s="398"/>
      <c r="S373" s="398"/>
      <c r="T373" s="398"/>
      <c r="U373" s="398"/>
      <c r="V373" s="398"/>
      <c r="W373" s="398"/>
      <c r="X373" s="398"/>
      <c r="Y373" s="398"/>
      <c r="Z373" s="398"/>
      <c r="AA373" s="398"/>
      <c r="AB373" s="200"/>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BF373" s="459" t="str">
        <f>IF(OR($I$1094=0,$B$1124=""),BH373,BF375)</f>
        <v>Any attachment your client has to political generalizations is likely fueled by pain of unresolved needs. Instead of challenging your client's generalizing, invite them to get a little more specific. If they politically seek to let anyone enter, or something like it, ask what that would do for them if allowed to come to past. Would that satisfy their apparent need for full inclusion?</v>
      </c>
      <c r="BH373" s="465" t="s">
        <v>1823</v>
      </c>
    </row>
    <row r="374" spans="1:64" ht="4.95" customHeight="1">
      <c r="A374" s="199"/>
      <c r="B374" s="24"/>
      <c r="C374" s="24"/>
      <c r="D374" s="24"/>
      <c r="E374" s="24"/>
      <c r="F374" s="24"/>
      <c r="G374" s="24"/>
      <c r="H374" s="24"/>
      <c r="I374" s="24"/>
      <c r="J374" s="24"/>
      <c r="K374" s="24"/>
      <c r="L374" s="24"/>
      <c r="M374" s="24"/>
      <c r="N374" s="200"/>
      <c r="O374" s="199"/>
      <c r="P374" s="24"/>
      <c r="Q374" s="24"/>
      <c r="R374" s="398"/>
      <c r="S374" s="398"/>
      <c r="T374" s="398"/>
      <c r="U374" s="398"/>
      <c r="V374" s="398"/>
      <c r="W374" s="398"/>
      <c r="X374" s="398"/>
      <c r="Y374" s="398"/>
      <c r="Z374" s="398"/>
      <c r="AA374" s="398"/>
      <c r="AB374" s="200"/>
      <c r="AC374" s="1"/>
      <c r="AD374" s="1"/>
      <c r="AE374" s="1"/>
      <c r="AF374" s="1"/>
      <c r="AG374" s="1"/>
      <c r="AH374" s="1"/>
      <c r="AI374" s="1"/>
      <c r="AJ374" s="1"/>
      <c r="AK374" s="1"/>
      <c r="AL374" s="1"/>
      <c r="AM374" s="1"/>
      <c r="AN374" s="1"/>
      <c r="AO374" s="1"/>
      <c r="AP374" s="1"/>
      <c r="AQ374" s="1"/>
      <c r="AR374" s="1"/>
      <c r="AS374" s="1"/>
      <c r="AT374" s="1"/>
      <c r="AU374" s="1"/>
      <c r="AV374" s="1"/>
      <c r="AW374" s="1"/>
      <c r="AX374" s="1"/>
      <c r="AY374" s="1"/>
    </row>
    <row r="375" spans="1:64" ht="21" customHeight="1">
      <c r="A375" s="199"/>
      <c r="B375" s="1277" t="str">
        <f>BF373</f>
        <v>Any attachment your client has to political generalizations is likely fueled by pain of unresolved needs. Instead of challenging your client's generalizing, invite them to get a little more specific. If they politically seek to let anyone enter, or something like it, ask what that would do for them if allowed to come to past. Would that satisfy their apparent need for full inclusion?</v>
      </c>
      <c r="C375" s="1277"/>
      <c r="D375" s="1277"/>
      <c r="E375" s="1277"/>
      <c r="F375" s="1277"/>
      <c r="G375" s="1277"/>
      <c r="H375" s="1277"/>
      <c r="I375" s="1277"/>
      <c r="J375" s="1277"/>
      <c r="K375" s="1277"/>
      <c r="L375" s="1277"/>
      <c r="M375" s="1277"/>
      <c r="N375" s="200"/>
      <c r="O375" s="199"/>
      <c r="P375" s="24"/>
      <c r="Q375" s="24"/>
      <c r="R375" s="398"/>
      <c r="S375" s="398"/>
      <c r="T375" s="398"/>
      <c r="U375" s="398"/>
      <c r="V375" s="398"/>
      <c r="W375" s="398"/>
      <c r="X375" s="398"/>
      <c r="Y375" s="398"/>
      <c r="Z375" s="398"/>
      <c r="AA375" s="398"/>
      <c r="AB375" s="200"/>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BF375" s="459" t="str">
        <f>CONCATENATE(BH375,BI375,BJ375,BK375,BL375,BM375,BN375,BO375)</f>
        <v>Any attachment your client has to political generalizations is likely fueled by pain of unresolved needs. Instead of challenging your client's generalizing, invite them to get a little more specific. If they politically seek to let anyone enter, or something like it, ask what that would do for them if allowed to come to past. Would that satisfy their apparent need for full inclusion?</v>
      </c>
      <c r="BH375" s="409" t="s">
        <v>1946</v>
      </c>
      <c r="BI375" s="2" t="str">
        <f>BK1122</f>
        <v>let anyone enter</v>
      </c>
      <c r="BJ375" s="409" t="s">
        <v>1684</v>
      </c>
      <c r="BK375" s="2" t="str">
        <f>BG1122</f>
        <v>full inclusion</v>
      </c>
      <c r="BL375" s="409" t="s">
        <v>1682</v>
      </c>
    </row>
    <row r="376" spans="1:64" ht="21" customHeight="1">
      <c r="A376" s="199"/>
      <c r="B376" s="1277"/>
      <c r="C376" s="1277"/>
      <c r="D376" s="1277"/>
      <c r="E376" s="1277"/>
      <c r="F376" s="1277"/>
      <c r="G376" s="1277"/>
      <c r="H376" s="1277"/>
      <c r="I376" s="1277"/>
      <c r="J376" s="1277"/>
      <c r="K376" s="1277"/>
      <c r="L376" s="1277"/>
      <c r="M376" s="1277"/>
      <c r="N376" s="200"/>
      <c r="O376" s="199"/>
      <c r="P376" s="24"/>
      <c r="Q376" s="24"/>
      <c r="R376" s="398"/>
      <c r="S376" s="398"/>
      <c r="T376" s="398"/>
      <c r="U376" s="398"/>
      <c r="V376" s="398"/>
      <c r="W376" s="398"/>
      <c r="X376" s="398"/>
      <c r="Y376" s="398"/>
      <c r="Z376" s="398"/>
      <c r="AA376" s="398"/>
      <c r="AB376" s="200"/>
      <c r="AC376" s="1"/>
      <c r="AD376" s="1"/>
      <c r="AE376" s="1"/>
      <c r="AF376" s="1"/>
      <c r="AG376" s="1"/>
      <c r="AH376" s="1"/>
      <c r="AI376" s="1"/>
      <c r="AJ376" s="1"/>
      <c r="AK376" s="1"/>
      <c r="AL376" s="1"/>
      <c r="AM376" s="1"/>
      <c r="AN376" s="1"/>
      <c r="AO376" s="1"/>
      <c r="AP376" s="1"/>
      <c r="AQ376" s="1"/>
      <c r="AR376" s="1"/>
      <c r="AS376" s="1"/>
      <c r="AT376" s="1"/>
      <c r="AU376" s="1"/>
      <c r="AV376" s="1"/>
      <c r="AW376" s="1"/>
      <c r="AX376" s="1"/>
      <c r="AY376" s="1"/>
    </row>
    <row r="377" spans="1:64" ht="21" customHeight="1">
      <c r="A377" s="199"/>
      <c r="B377" s="1277"/>
      <c r="C377" s="1277"/>
      <c r="D377" s="1277"/>
      <c r="E377" s="1277"/>
      <c r="F377" s="1277"/>
      <c r="G377" s="1277"/>
      <c r="H377" s="1277"/>
      <c r="I377" s="1277"/>
      <c r="J377" s="1277"/>
      <c r="K377" s="1277"/>
      <c r="L377" s="1277"/>
      <c r="M377" s="1277"/>
      <c r="N377" s="200"/>
      <c r="O377" s="199"/>
      <c r="P377" s="24"/>
      <c r="Q377" s="24"/>
      <c r="R377" s="398"/>
      <c r="S377" s="398"/>
      <c r="T377" s="398"/>
      <c r="U377" s="398"/>
      <c r="V377" s="398"/>
      <c r="W377" s="398"/>
      <c r="X377" s="398"/>
      <c r="Y377" s="398"/>
      <c r="Z377" s="398"/>
      <c r="AA377" s="398"/>
      <c r="AB377" s="200"/>
      <c r="AC377" s="1"/>
      <c r="AD377" s="1"/>
      <c r="AE377" s="1"/>
      <c r="AF377" s="1"/>
      <c r="AG377" s="1"/>
      <c r="AH377" s="1"/>
      <c r="AI377" s="1"/>
      <c r="AJ377" s="1"/>
      <c r="AK377" s="1"/>
      <c r="AL377" s="1"/>
      <c r="AM377" s="1"/>
      <c r="AN377" s="1"/>
      <c r="AO377" s="1"/>
      <c r="AP377" s="1"/>
      <c r="AQ377" s="1"/>
      <c r="AR377" s="1"/>
      <c r="AS377" s="1"/>
      <c r="AT377" s="1"/>
      <c r="AU377" s="1"/>
      <c r="AV377" s="1"/>
      <c r="AW377" s="1"/>
      <c r="AX377" s="1"/>
      <c r="AY377" s="1"/>
    </row>
    <row r="378" spans="1:64" ht="21" customHeight="1">
      <c r="A378" s="199"/>
      <c r="B378" s="1277"/>
      <c r="C378" s="1277"/>
      <c r="D378" s="1277"/>
      <c r="E378" s="1277"/>
      <c r="F378" s="1277"/>
      <c r="G378" s="1277"/>
      <c r="H378" s="1277"/>
      <c r="I378" s="1277"/>
      <c r="J378" s="1277"/>
      <c r="K378" s="1277"/>
      <c r="L378" s="1277"/>
      <c r="M378" s="1277"/>
      <c r="N378" s="200"/>
      <c r="O378" s="199"/>
      <c r="P378" s="24"/>
      <c r="Q378" s="24"/>
      <c r="R378" s="398"/>
      <c r="S378" s="398"/>
      <c r="T378" s="398"/>
      <c r="U378" s="398"/>
      <c r="V378" s="398"/>
      <c r="W378" s="398"/>
      <c r="X378" s="398"/>
      <c r="Y378" s="398"/>
      <c r="Z378" s="398"/>
      <c r="AA378" s="398"/>
      <c r="AB378" s="200"/>
      <c r="AC378" s="1"/>
      <c r="AD378" s="1"/>
      <c r="AE378" s="1"/>
      <c r="AF378" s="1"/>
      <c r="AG378" s="1"/>
      <c r="AH378" s="1"/>
      <c r="AI378" s="1"/>
      <c r="AJ378" s="1"/>
      <c r="AK378" s="1"/>
      <c r="AL378" s="1"/>
      <c r="AM378" s="1"/>
      <c r="AN378" s="1"/>
      <c r="AO378" s="1"/>
      <c r="AP378" s="1"/>
      <c r="AQ378" s="1"/>
      <c r="AR378" s="1"/>
      <c r="AS378" s="1"/>
      <c r="AT378" s="1"/>
      <c r="AU378" s="1"/>
      <c r="AV378" s="1"/>
      <c r="AW378" s="1"/>
      <c r="AX378" s="1"/>
      <c r="AY378" s="1"/>
    </row>
    <row r="379" spans="1:64" ht="4.95" customHeight="1">
      <c r="A379" s="199"/>
      <c r="B379" s="24"/>
      <c r="C379" s="24"/>
      <c r="D379" s="24"/>
      <c r="E379" s="24"/>
      <c r="F379" s="24"/>
      <c r="G379" s="24"/>
      <c r="H379" s="24"/>
      <c r="I379" s="24"/>
      <c r="J379" s="24"/>
      <c r="K379" s="24"/>
      <c r="L379" s="24"/>
      <c r="M379" s="24"/>
      <c r="N379" s="200"/>
      <c r="O379" s="199"/>
      <c r="P379" s="24"/>
      <c r="Q379" s="24"/>
      <c r="R379" s="398"/>
      <c r="S379" s="398"/>
      <c r="T379" s="398"/>
      <c r="U379" s="398"/>
      <c r="V379" s="398"/>
      <c r="W379" s="398"/>
      <c r="X379" s="398"/>
      <c r="Y379" s="398"/>
      <c r="Z379" s="398"/>
      <c r="AA379" s="398"/>
      <c r="AB379" s="200"/>
      <c r="AC379" s="1"/>
      <c r="AD379" s="1"/>
      <c r="AE379" s="1"/>
      <c r="AF379" s="1"/>
      <c r="AG379" s="1"/>
      <c r="AH379" s="1"/>
      <c r="AI379" s="1"/>
      <c r="AJ379" s="1"/>
      <c r="AK379" s="1"/>
      <c r="AL379" s="1"/>
      <c r="AM379" s="1"/>
      <c r="AN379" s="1"/>
      <c r="AO379" s="1"/>
      <c r="AP379" s="1"/>
      <c r="AQ379" s="1"/>
      <c r="AR379" s="1"/>
      <c r="AS379" s="1"/>
      <c r="AT379" s="1"/>
      <c r="AU379" s="1"/>
      <c r="AV379" s="1"/>
      <c r="AW379" s="1"/>
      <c r="AX379" s="1"/>
      <c r="AY379" s="1"/>
    </row>
    <row r="380" spans="1:64" ht="19.95" customHeight="1">
      <c r="A380" s="199"/>
      <c r="B380" s="1277" t="s">
        <v>1681</v>
      </c>
      <c r="C380" s="1277"/>
      <c r="D380" s="1277"/>
      <c r="E380" s="1277"/>
      <c r="F380" s="1277"/>
      <c r="G380" s="1277"/>
      <c r="H380" s="1277"/>
      <c r="I380" s="1277"/>
      <c r="J380" s="1277"/>
      <c r="K380" s="1277"/>
      <c r="L380" s="1277"/>
      <c r="M380" s="1277"/>
      <c r="N380" s="200"/>
      <c r="O380" s="199"/>
      <c r="P380" s="24"/>
      <c r="Q380" s="24"/>
      <c r="R380" s="398"/>
      <c r="S380" s="398"/>
      <c r="T380" s="398"/>
      <c r="U380" s="398"/>
      <c r="V380" s="398"/>
      <c r="W380" s="398"/>
      <c r="X380" s="398"/>
      <c r="Y380" s="398"/>
      <c r="Z380" s="398"/>
      <c r="AA380" s="398"/>
      <c r="AB380" s="200"/>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BF380" s="459" t="str">
        <f>CONCATENATE(BH380,BI380,BJ380,BK380,BL380,BM380,BN380,BO380)</f>
        <v/>
      </c>
      <c r="BH380" s="409"/>
    </row>
    <row r="381" spans="1:64" ht="19.95" customHeight="1">
      <c r="A381" s="199"/>
      <c r="B381" s="1277"/>
      <c r="C381" s="1277"/>
      <c r="D381" s="1277"/>
      <c r="E381" s="1277"/>
      <c r="F381" s="1277"/>
      <c r="G381" s="1277"/>
      <c r="H381" s="1277"/>
      <c r="I381" s="1277"/>
      <c r="J381" s="1277"/>
      <c r="K381" s="1277"/>
      <c r="L381" s="1277"/>
      <c r="M381" s="1277"/>
      <c r="N381" s="200"/>
      <c r="O381" s="199"/>
      <c r="P381" s="24"/>
      <c r="Q381" s="24"/>
      <c r="R381" s="398"/>
      <c r="S381" s="398"/>
      <c r="T381" s="398"/>
      <c r="U381" s="398"/>
      <c r="V381" s="398"/>
      <c r="W381" s="398"/>
      <c r="X381" s="398"/>
      <c r="Y381" s="398"/>
      <c r="Z381" s="398"/>
      <c r="AA381" s="398"/>
      <c r="AB381" s="200"/>
      <c r="AC381" s="1"/>
      <c r="AD381" s="1"/>
      <c r="AE381" s="1"/>
      <c r="AF381" s="1"/>
      <c r="AG381" s="1"/>
      <c r="AH381" s="1"/>
      <c r="AI381" s="1"/>
      <c r="AJ381" s="1"/>
      <c r="AK381" s="1"/>
      <c r="AL381" s="1"/>
      <c r="AM381" s="1"/>
      <c r="AN381" s="1"/>
      <c r="AO381" s="1"/>
      <c r="AP381" s="1"/>
      <c r="AQ381" s="1"/>
      <c r="AR381" s="1"/>
      <c r="AS381" s="1"/>
      <c r="AT381" s="1"/>
      <c r="AU381" s="1"/>
      <c r="AV381" s="1"/>
      <c r="AW381" s="1"/>
      <c r="AX381" s="1"/>
      <c r="AY381" s="1"/>
    </row>
    <row r="382" spans="1:64" ht="45" customHeight="1">
      <c r="A382" s="199"/>
      <c r="B382" s="1277"/>
      <c r="C382" s="1277"/>
      <c r="D382" s="1277"/>
      <c r="E382" s="1277"/>
      <c r="F382" s="1277"/>
      <c r="G382" s="1277"/>
      <c r="H382" s="1277"/>
      <c r="I382" s="1277"/>
      <c r="J382" s="1277"/>
      <c r="K382" s="1277"/>
      <c r="L382" s="1277"/>
      <c r="M382" s="1277"/>
      <c r="N382" s="200"/>
      <c r="O382" s="199"/>
      <c r="P382" s="24"/>
      <c r="Q382" s="24"/>
      <c r="R382" s="398"/>
      <c r="S382" s="398"/>
      <c r="T382" s="398"/>
      <c r="U382" s="398"/>
      <c r="V382" s="398"/>
      <c r="W382" s="398"/>
      <c r="X382" s="398"/>
      <c r="Y382" s="398"/>
      <c r="Z382" s="398"/>
      <c r="AA382" s="398"/>
      <c r="AB382" s="200"/>
      <c r="AC382" s="1"/>
      <c r="AD382" s="1"/>
      <c r="AE382" s="1"/>
      <c r="AF382" s="1"/>
      <c r="AG382" s="1"/>
      <c r="AH382" s="1"/>
      <c r="AI382" s="1"/>
      <c r="AJ382" s="1"/>
      <c r="AK382" s="1"/>
      <c r="AL382" s="1"/>
      <c r="AM382" s="1"/>
      <c r="AN382" s="1"/>
      <c r="AO382" s="1"/>
      <c r="AP382" s="1"/>
      <c r="AQ382" s="1"/>
      <c r="AR382" s="1"/>
      <c r="AS382" s="1"/>
      <c r="AT382" s="1"/>
      <c r="AU382" s="1"/>
      <c r="AV382" s="1"/>
      <c r="AW382" s="1"/>
      <c r="AX382" s="1"/>
      <c r="AY382" s="1"/>
    </row>
    <row r="383" spans="1:64" ht="19.95" customHeight="1">
      <c r="A383" s="199"/>
      <c r="B383" s="1277"/>
      <c r="C383" s="1277"/>
      <c r="D383" s="1277"/>
      <c r="E383" s="1277"/>
      <c r="F383" s="1277"/>
      <c r="G383" s="1277"/>
      <c r="H383" s="1277"/>
      <c r="I383" s="1277"/>
      <c r="J383" s="1277"/>
      <c r="K383" s="1277"/>
      <c r="L383" s="1277"/>
      <c r="M383" s="1277"/>
      <c r="N383" s="200"/>
      <c r="O383" s="199"/>
      <c r="P383" s="24"/>
      <c r="Q383" s="24"/>
      <c r="R383" s="398"/>
      <c r="S383" s="398"/>
      <c r="T383" s="398"/>
      <c r="U383" s="398"/>
      <c r="V383" s="398"/>
      <c r="W383" s="398"/>
      <c r="X383" s="398"/>
      <c r="Y383" s="398"/>
      <c r="Z383" s="398"/>
      <c r="AA383" s="398"/>
      <c r="AB383" s="200"/>
      <c r="AC383" s="1"/>
      <c r="AD383" s="1"/>
      <c r="AE383" s="1"/>
      <c r="AF383" s="1"/>
      <c r="AG383" s="1"/>
      <c r="AH383" s="1"/>
      <c r="AI383" s="1"/>
      <c r="AJ383" s="1"/>
      <c r="AK383" s="1"/>
      <c r="AL383" s="1"/>
      <c r="AM383" s="1"/>
      <c r="AN383" s="1"/>
      <c r="AO383" s="1"/>
      <c r="AP383" s="1"/>
      <c r="AQ383" s="1"/>
      <c r="AR383" s="1"/>
      <c r="AS383" s="1"/>
      <c r="AT383" s="1"/>
      <c r="AU383" s="1"/>
      <c r="AV383" s="1"/>
      <c r="AW383" s="1"/>
      <c r="AX383" s="1"/>
      <c r="AY383" s="1"/>
    </row>
    <row r="384" spans="1:64" ht="19.95" customHeight="1">
      <c r="A384" s="199"/>
      <c r="B384" s="1277"/>
      <c r="C384" s="1277"/>
      <c r="D384" s="1277"/>
      <c r="E384" s="1277"/>
      <c r="F384" s="1277"/>
      <c r="G384" s="1277"/>
      <c r="H384" s="1277"/>
      <c r="I384" s="1277"/>
      <c r="J384" s="1277"/>
      <c r="K384" s="1277"/>
      <c r="L384" s="1277"/>
      <c r="M384" s="1277"/>
      <c r="N384" s="200"/>
      <c r="O384" s="199"/>
      <c r="P384" s="24"/>
      <c r="Q384" s="24"/>
      <c r="R384" s="398"/>
      <c r="S384" s="398"/>
      <c r="T384" s="398"/>
      <c r="U384" s="398"/>
      <c r="V384" s="398"/>
      <c r="W384" s="398"/>
      <c r="X384" s="398"/>
      <c r="Y384" s="398"/>
      <c r="Z384" s="398"/>
      <c r="AA384" s="398"/>
      <c r="AB384" s="200"/>
      <c r="AC384" s="1"/>
      <c r="AD384" s="1"/>
      <c r="AE384" s="1"/>
      <c r="AF384" s="1"/>
      <c r="AG384" s="1"/>
      <c r="AH384" s="1"/>
      <c r="AI384" s="1"/>
      <c r="AJ384" s="1"/>
      <c r="AK384" s="1"/>
      <c r="AL384" s="1"/>
      <c r="AM384" s="1"/>
      <c r="AN384" s="1"/>
      <c r="AO384" s="1"/>
      <c r="AP384" s="1"/>
      <c r="AQ384" s="1"/>
      <c r="AR384" s="1"/>
      <c r="AS384" s="1"/>
      <c r="AT384" s="1"/>
      <c r="AU384" s="1"/>
      <c r="AV384" s="1"/>
      <c r="AW384" s="1"/>
      <c r="AX384" s="1"/>
      <c r="AY384" s="1"/>
    </row>
    <row r="385" spans="1:68" ht="10.050000000000001" customHeight="1">
      <c r="A385" s="199"/>
      <c r="B385" s="24"/>
      <c r="C385" s="24"/>
      <c r="D385" s="24"/>
      <c r="E385" s="24"/>
      <c r="F385" s="24"/>
      <c r="G385" s="24"/>
      <c r="H385" s="24"/>
      <c r="I385" s="24"/>
      <c r="J385" s="24"/>
      <c r="K385" s="24"/>
      <c r="L385" s="24"/>
      <c r="M385" s="24"/>
      <c r="N385" s="200"/>
      <c r="O385" s="199"/>
      <c r="P385" s="24"/>
      <c r="Q385" s="24"/>
      <c r="R385" s="398"/>
      <c r="S385" s="398"/>
      <c r="T385" s="398"/>
      <c r="U385" s="398"/>
      <c r="V385" s="398"/>
      <c r="W385" s="398"/>
      <c r="X385" s="398"/>
      <c r="Y385" s="398"/>
      <c r="Z385" s="398"/>
      <c r="AA385" s="398"/>
      <c r="AB385" s="200"/>
      <c r="AC385" s="1"/>
      <c r="AD385" s="1"/>
      <c r="AE385" s="1"/>
      <c r="AF385" s="1"/>
      <c r="AG385" s="1"/>
      <c r="AH385" s="1"/>
      <c r="AI385" s="1"/>
      <c r="AJ385" s="1"/>
      <c r="AK385" s="1"/>
      <c r="AL385" s="1"/>
      <c r="AM385" s="1"/>
      <c r="AN385" s="1"/>
      <c r="AO385" s="1"/>
      <c r="AP385" s="1"/>
      <c r="AQ385" s="1"/>
      <c r="AR385" s="1"/>
      <c r="AS385" s="1"/>
      <c r="AT385" s="1"/>
      <c r="AU385" s="1"/>
      <c r="AV385" s="1"/>
      <c r="AW385" s="1"/>
      <c r="AX385" s="1"/>
      <c r="AY385" s="1"/>
    </row>
    <row r="386" spans="1:68" ht="30" customHeight="1">
      <c r="A386" s="210" t="s">
        <v>1148</v>
      </c>
      <c r="B386" s="399" t="s">
        <v>1281</v>
      </c>
      <c r="C386" s="582"/>
      <c r="D386" s="582"/>
      <c r="E386" s="583"/>
      <c r="F386" s="584"/>
      <c r="G386" s="582"/>
      <c r="H386" s="582"/>
      <c r="I386" s="582"/>
      <c r="J386" s="582"/>
      <c r="K386" s="582"/>
      <c r="L386" s="373"/>
      <c r="M386" s="373"/>
      <c r="N386" s="211" t="s">
        <v>1149</v>
      </c>
      <c r="O386" s="372"/>
      <c r="P386" s="374"/>
      <c r="Q386" s="373"/>
      <c r="R386" s="373"/>
      <c r="S386" s="373"/>
      <c r="T386" s="373"/>
      <c r="U386" s="373"/>
      <c r="V386" s="373"/>
      <c r="W386" s="373"/>
      <c r="X386" s="373"/>
      <c r="Y386" s="373"/>
      <c r="Z386" s="373"/>
      <c r="AA386" s="373"/>
      <c r="AB386" s="211" t="s">
        <v>1149</v>
      </c>
      <c r="AC386" s="577"/>
      <c r="AD386" s="1"/>
      <c r="AE386" s="577"/>
      <c r="AF386" s="577"/>
      <c r="AG386" s="577"/>
      <c r="AH386" s="577"/>
      <c r="AI386" s="577"/>
      <c r="AJ386" s="577"/>
      <c r="AK386" s="577"/>
      <c r="AL386" s="577"/>
      <c r="AM386" s="577"/>
      <c r="AN386" s="577"/>
      <c r="AO386" s="577"/>
      <c r="AP386" s="577"/>
      <c r="AQ386" s="577"/>
      <c r="AR386" s="577"/>
      <c r="AS386" s="577"/>
      <c r="AT386" s="577"/>
      <c r="AU386" s="577"/>
      <c r="AV386" s="577"/>
      <c r="AW386" s="577"/>
      <c r="AX386" s="577"/>
      <c r="AY386" s="577"/>
    </row>
    <row r="387" spans="1:68" ht="10.050000000000001" customHeight="1">
      <c r="A387" s="199"/>
      <c r="B387" s="24"/>
      <c r="C387" s="24"/>
      <c r="D387" s="24"/>
      <c r="E387" s="24"/>
      <c r="F387" s="24"/>
      <c r="G387" s="24"/>
      <c r="H387" s="24"/>
      <c r="I387" s="24"/>
      <c r="J387" s="24"/>
      <c r="K387" s="24"/>
      <c r="L387" s="24"/>
      <c r="M387" s="24"/>
      <c r="N387" s="200"/>
      <c r="O387" s="199"/>
      <c r="P387" s="24"/>
      <c r="Q387" s="24"/>
      <c r="R387" s="398"/>
      <c r="S387" s="398"/>
      <c r="T387" s="398"/>
      <c r="U387" s="398"/>
      <c r="V387" s="398"/>
      <c r="W387" s="398"/>
      <c r="X387" s="398"/>
      <c r="Y387" s="398"/>
      <c r="Z387" s="398"/>
      <c r="AA387" s="398"/>
      <c r="AB387" s="200"/>
      <c r="AC387" s="1"/>
      <c r="AD387" s="1"/>
      <c r="AE387" s="1"/>
      <c r="AF387" s="1"/>
      <c r="AG387" s="1"/>
      <c r="AH387" s="1"/>
      <c r="AI387" s="1"/>
      <c r="AJ387" s="1"/>
      <c r="AK387" s="1"/>
      <c r="AL387" s="1"/>
      <c r="AM387" s="1"/>
      <c r="AN387" s="1"/>
      <c r="AO387" s="1"/>
      <c r="AP387" s="1"/>
      <c r="AQ387" s="1"/>
      <c r="AR387" s="1"/>
      <c r="AS387" s="1"/>
      <c r="AT387" s="1"/>
      <c r="AU387" s="1"/>
      <c r="AV387" s="1"/>
      <c r="AW387" s="1"/>
      <c r="AX387" s="1"/>
      <c r="AY387" s="1"/>
    </row>
    <row r="388" spans="1:68" ht="19.95" customHeight="1">
      <c r="A388" s="199"/>
      <c r="B388" s="588" t="s">
        <v>1594</v>
      </c>
      <c r="C388" s="24"/>
      <c r="D388" s="24"/>
      <c r="E388" s="24"/>
      <c r="F388" s="24"/>
      <c r="G388" s="24"/>
      <c r="H388" s="24"/>
      <c r="I388" s="24"/>
      <c r="J388" s="24"/>
      <c r="K388" s="24"/>
      <c r="L388" s="24"/>
      <c r="M388" s="24"/>
      <c r="N388" s="200"/>
      <c r="O388" s="199"/>
      <c r="P388" s="24"/>
      <c r="Q388" s="24"/>
      <c r="R388" s="398"/>
      <c r="S388" s="398"/>
      <c r="T388" s="398"/>
      <c r="U388" s="398"/>
      <c r="V388" s="398"/>
      <c r="W388" s="398"/>
      <c r="X388" s="398"/>
      <c r="Y388" s="398"/>
      <c r="Z388" s="398"/>
      <c r="AA388" s="398"/>
      <c r="AB388" s="200"/>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BF388" s="459" t="str">
        <f>CONCATENATE(BH388,BI388,BJ388,BK388,BL388,BM388,BN388,BO388)</f>
        <v/>
      </c>
      <c r="BH388" s="409"/>
    </row>
    <row r="389" spans="1:68" ht="4.95" customHeight="1">
      <c r="A389" s="199"/>
      <c r="B389" s="24"/>
      <c r="C389" s="24"/>
      <c r="D389" s="24"/>
      <c r="E389" s="24"/>
      <c r="F389" s="24"/>
      <c r="G389" s="24"/>
      <c r="H389" s="24"/>
      <c r="I389" s="24"/>
      <c r="J389" s="24"/>
      <c r="K389" s="24"/>
      <c r="L389" s="24"/>
      <c r="M389" s="24"/>
      <c r="N389" s="200"/>
      <c r="O389" s="199"/>
      <c r="P389" s="24"/>
      <c r="Q389" s="24"/>
      <c r="R389" s="398"/>
      <c r="S389" s="398"/>
      <c r="T389" s="398"/>
      <c r="U389" s="398"/>
      <c r="V389" s="398"/>
      <c r="W389" s="398"/>
      <c r="X389" s="398"/>
      <c r="Y389" s="398"/>
      <c r="Z389" s="398"/>
      <c r="AA389" s="398"/>
      <c r="AB389" s="200"/>
      <c r="AC389" s="1"/>
      <c r="AD389" s="1"/>
      <c r="AE389" s="1"/>
      <c r="AF389" s="1"/>
      <c r="AG389" s="1"/>
      <c r="AH389" s="1"/>
      <c r="AI389" s="1"/>
      <c r="AJ389" s="1"/>
      <c r="AK389" s="1"/>
      <c r="AL389" s="1"/>
      <c r="AM389" s="1"/>
      <c r="AN389" s="1"/>
      <c r="AO389" s="1"/>
      <c r="AP389" s="1"/>
      <c r="AQ389" s="1"/>
      <c r="AR389" s="1"/>
      <c r="AS389" s="1"/>
      <c r="AT389" s="1"/>
      <c r="AU389" s="1"/>
      <c r="AV389" s="1"/>
      <c r="AW389" s="1"/>
      <c r="AX389" s="1"/>
      <c r="AY389" s="1"/>
    </row>
    <row r="390" spans="1:68" ht="19.95" customHeight="1">
      <c r="A390" s="199"/>
      <c r="B390" s="24"/>
      <c r="C390" s="24"/>
      <c r="D390" s="24"/>
      <c r="E390" s="1277" t="s">
        <v>1668</v>
      </c>
      <c r="F390" s="1277"/>
      <c r="G390" s="1277"/>
      <c r="H390" s="1277"/>
      <c r="I390" s="1277"/>
      <c r="J390" s="1277"/>
      <c r="K390" s="1277"/>
      <c r="L390" s="1277"/>
      <c r="M390" s="1277"/>
      <c r="N390" s="200"/>
      <c r="O390" s="199"/>
      <c r="P390" s="24"/>
      <c r="Q390" s="24"/>
      <c r="R390" s="398"/>
      <c r="S390" s="398"/>
      <c r="T390" s="398"/>
      <c r="U390" s="398"/>
      <c r="V390" s="398"/>
      <c r="W390" s="398"/>
      <c r="X390" s="398"/>
      <c r="Y390" s="398"/>
      <c r="Z390" s="398"/>
      <c r="AA390" s="398"/>
      <c r="AB390" s="200"/>
      <c r="AC390" s="1"/>
      <c r="AD390" s="1"/>
      <c r="AE390" s="1"/>
      <c r="AF390" s="1"/>
      <c r="AG390" s="1"/>
      <c r="AH390" s="1"/>
      <c r="AI390" s="1"/>
      <c r="AJ390" s="1"/>
      <c r="AK390" s="1"/>
      <c r="AL390" s="1"/>
      <c r="AM390" s="1"/>
      <c r="AN390" s="1"/>
      <c r="AO390" s="1"/>
      <c r="AP390" s="1"/>
      <c r="AQ390" s="1"/>
      <c r="AR390" s="1"/>
      <c r="AS390" s="1"/>
      <c r="AT390" s="1"/>
      <c r="AU390" s="1"/>
      <c r="AV390" s="1"/>
      <c r="AW390" s="1"/>
      <c r="AX390" s="1"/>
      <c r="AY390" s="1"/>
    </row>
    <row r="391" spans="1:68" ht="19.95" customHeight="1">
      <c r="A391" s="199"/>
      <c r="B391" s="24"/>
      <c r="C391" s="24"/>
      <c r="D391" s="24"/>
      <c r="E391" s="1277"/>
      <c r="F391" s="1277"/>
      <c r="G391" s="1277"/>
      <c r="H391" s="1277"/>
      <c r="I391" s="1277"/>
      <c r="J391" s="1277"/>
      <c r="K391" s="1277"/>
      <c r="L391" s="1277"/>
      <c r="M391" s="1277"/>
      <c r="N391" s="200"/>
      <c r="O391" s="199"/>
      <c r="P391" s="24"/>
      <c r="Q391" s="24"/>
      <c r="R391" s="398"/>
      <c r="S391" s="398"/>
      <c r="T391" s="398"/>
      <c r="U391" s="398"/>
      <c r="V391" s="398"/>
      <c r="W391" s="398"/>
      <c r="X391" s="398"/>
      <c r="Y391" s="398"/>
      <c r="Z391" s="398"/>
      <c r="AA391" s="398"/>
      <c r="AB391" s="200"/>
      <c r="AC391" s="1"/>
      <c r="AD391" s="1"/>
      <c r="AE391" s="1"/>
      <c r="AF391" s="1"/>
      <c r="AG391" s="1"/>
      <c r="AH391" s="1"/>
      <c r="AI391" s="1"/>
      <c r="AJ391" s="1"/>
      <c r="AK391" s="1"/>
      <c r="AL391" s="1"/>
      <c r="AM391" s="1"/>
      <c r="AN391" s="1"/>
      <c r="AO391" s="1"/>
      <c r="AP391" s="1"/>
      <c r="AQ391" s="1"/>
      <c r="AR391" s="1"/>
      <c r="AS391" s="1"/>
      <c r="AT391" s="1"/>
      <c r="AU391" s="1"/>
      <c r="AV391" s="1"/>
      <c r="AW391" s="1"/>
      <c r="AX391" s="1"/>
      <c r="AY391" s="1"/>
    </row>
    <row r="392" spans="1:68" ht="19.95" customHeight="1">
      <c r="A392" s="199"/>
      <c r="B392" s="24"/>
      <c r="C392" s="24"/>
      <c r="D392" s="24"/>
      <c r="E392" s="1277"/>
      <c r="F392" s="1277"/>
      <c r="G392" s="1277"/>
      <c r="H392" s="1277"/>
      <c r="I392" s="1277"/>
      <c r="J392" s="1277"/>
      <c r="K392" s="1277"/>
      <c r="L392" s="1277"/>
      <c r="M392" s="1277"/>
      <c r="N392" s="200"/>
      <c r="O392" s="199"/>
      <c r="P392" s="24"/>
      <c r="Q392" s="24"/>
      <c r="R392" s="398"/>
      <c r="S392" s="398"/>
      <c r="T392" s="398"/>
      <c r="U392" s="398"/>
      <c r="V392" s="398"/>
      <c r="W392" s="398"/>
      <c r="X392" s="398"/>
      <c r="Y392" s="398"/>
      <c r="Z392" s="398"/>
      <c r="AA392" s="398"/>
      <c r="AB392" s="200"/>
      <c r="AC392" s="1"/>
      <c r="AD392" s="1"/>
      <c r="AE392" s="1"/>
      <c r="AF392" s="1"/>
      <c r="AG392" s="1"/>
      <c r="AH392" s="1"/>
      <c r="AI392" s="1"/>
      <c r="AJ392" s="1"/>
      <c r="AK392" s="1"/>
      <c r="AL392" s="1"/>
      <c r="AM392" s="1"/>
      <c r="AN392" s="1"/>
      <c r="AO392" s="1"/>
      <c r="AP392" s="1"/>
      <c r="AQ392" s="1"/>
      <c r="AR392" s="1"/>
      <c r="AS392" s="1"/>
      <c r="AT392" s="1"/>
      <c r="AU392" s="1"/>
      <c r="AV392" s="1"/>
      <c r="AW392" s="1"/>
      <c r="AX392" s="1"/>
      <c r="AY392" s="1"/>
    </row>
    <row r="393" spans="1:68" ht="19.95" customHeight="1">
      <c r="A393" s="199"/>
      <c r="B393" s="24"/>
      <c r="C393" s="24"/>
      <c r="D393" s="24"/>
      <c r="E393" s="1277"/>
      <c r="F393" s="1277"/>
      <c r="G393" s="1277"/>
      <c r="H393" s="1277"/>
      <c r="I393" s="1277"/>
      <c r="J393" s="1277"/>
      <c r="K393" s="1277"/>
      <c r="L393" s="1277"/>
      <c r="M393" s="1277"/>
      <c r="N393" s="200"/>
      <c r="O393" s="199"/>
      <c r="P393" s="24"/>
      <c r="Q393" s="24"/>
      <c r="R393" s="398"/>
      <c r="S393" s="398"/>
      <c r="T393" s="398"/>
      <c r="U393" s="398"/>
      <c r="V393" s="398"/>
      <c r="W393" s="398"/>
      <c r="X393" s="398"/>
      <c r="Y393" s="398"/>
      <c r="Z393" s="398"/>
      <c r="AA393" s="398"/>
      <c r="AB393" s="200"/>
      <c r="AC393" s="1"/>
      <c r="AD393" s="1"/>
      <c r="AE393" s="1"/>
      <c r="AF393" s="1"/>
      <c r="AG393" s="1"/>
      <c r="AH393" s="1"/>
      <c r="AI393" s="1"/>
      <c r="AJ393" s="1"/>
      <c r="AK393" s="1"/>
      <c r="AL393" s="1"/>
      <c r="AM393" s="1"/>
      <c r="AN393" s="1"/>
      <c r="AO393" s="1"/>
      <c r="AP393" s="1"/>
      <c r="AQ393" s="1"/>
      <c r="AR393" s="1"/>
      <c r="AS393" s="1"/>
      <c r="AT393" s="1"/>
      <c r="AU393" s="1"/>
      <c r="AV393" s="1"/>
      <c r="AW393" s="1"/>
      <c r="AX393" s="1"/>
      <c r="AY393" s="1"/>
    </row>
    <row r="394" spans="1:68" ht="19.95" customHeight="1">
      <c r="A394" s="199"/>
      <c r="B394" s="24"/>
      <c r="C394" s="24"/>
      <c r="D394" s="24"/>
      <c r="E394" s="1277"/>
      <c r="F394" s="1277"/>
      <c r="G394" s="1277"/>
      <c r="H394" s="1277"/>
      <c r="I394" s="1277"/>
      <c r="J394" s="1277"/>
      <c r="K394" s="1277"/>
      <c r="L394" s="1277"/>
      <c r="M394" s="1277"/>
      <c r="N394" s="200"/>
      <c r="O394" s="199"/>
      <c r="P394" s="24"/>
      <c r="Q394" s="24"/>
      <c r="R394" s="398"/>
      <c r="S394" s="398"/>
      <c r="T394" s="398"/>
      <c r="U394" s="398"/>
      <c r="V394" s="398"/>
      <c r="W394" s="398"/>
      <c r="X394" s="398"/>
      <c r="Y394" s="398"/>
      <c r="Z394" s="398"/>
      <c r="AA394" s="398"/>
      <c r="AB394" s="200"/>
      <c r="AC394" s="1"/>
      <c r="AD394" s="1"/>
      <c r="AE394" s="1"/>
      <c r="AF394" s="1"/>
      <c r="AG394" s="1"/>
      <c r="AH394" s="1"/>
      <c r="AI394" s="1"/>
      <c r="AJ394" s="1"/>
      <c r="AK394" s="1"/>
      <c r="AL394" s="1"/>
      <c r="AM394" s="1"/>
      <c r="AN394" s="1"/>
      <c r="AO394" s="1"/>
      <c r="AP394" s="1"/>
      <c r="AQ394" s="1"/>
      <c r="AR394" s="1"/>
      <c r="AS394" s="1"/>
      <c r="AT394" s="1"/>
      <c r="AU394" s="1"/>
      <c r="AV394" s="1"/>
      <c r="AW394" s="1"/>
      <c r="AX394" s="1"/>
      <c r="AY394" s="1"/>
    </row>
    <row r="395" spans="1:68" ht="19.95" customHeight="1">
      <c r="A395" s="199"/>
      <c r="B395" s="24"/>
      <c r="C395" s="24"/>
      <c r="D395" s="24"/>
      <c r="E395" s="1277"/>
      <c r="F395" s="1277"/>
      <c r="G395" s="1277"/>
      <c r="H395" s="1277"/>
      <c r="I395" s="1277"/>
      <c r="J395" s="1277"/>
      <c r="K395" s="1277"/>
      <c r="L395" s="1277"/>
      <c r="M395" s="1277"/>
      <c r="N395" s="200"/>
      <c r="O395" s="199"/>
      <c r="P395" s="24"/>
      <c r="Q395" s="24"/>
      <c r="R395" s="398"/>
      <c r="S395" s="398"/>
      <c r="T395" s="398"/>
      <c r="U395" s="398"/>
      <c r="V395" s="398"/>
      <c r="W395" s="398"/>
      <c r="X395" s="398"/>
      <c r="Y395" s="398"/>
      <c r="Z395" s="398"/>
      <c r="AA395" s="398"/>
      <c r="AB395" s="200"/>
      <c r="AC395" s="1"/>
      <c r="AD395" s="1"/>
      <c r="AE395" s="1"/>
      <c r="AF395" s="1"/>
      <c r="AG395" s="1"/>
      <c r="AH395" s="1"/>
      <c r="AI395" s="1"/>
      <c r="AJ395" s="1"/>
      <c r="AK395" s="1"/>
      <c r="AL395" s="1"/>
      <c r="AM395" s="1"/>
      <c r="AN395" s="1"/>
      <c r="AO395" s="1"/>
      <c r="AP395" s="1"/>
      <c r="AQ395" s="1"/>
      <c r="AR395" s="1"/>
      <c r="AS395" s="1"/>
      <c r="AT395" s="1"/>
      <c r="AU395" s="1"/>
      <c r="AV395" s="1"/>
      <c r="AW395" s="1"/>
      <c r="AX395" s="1"/>
      <c r="AY395" s="1"/>
    </row>
    <row r="396" spans="1:68" ht="19.95" customHeight="1">
      <c r="A396" s="199"/>
      <c r="B396" s="24"/>
      <c r="C396" s="24"/>
      <c r="D396" s="24"/>
      <c r="E396" s="1277"/>
      <c r="F396" s="1277"/>
      <c r="G396" s="1277"/>
      <c r="H396" s="1277"/>
      <c r="I396" s="1277"/>
      <c r="J396" s="1277"/>
      <c r="K396" s="1277"/>
      <c r="L396" s="1277"/>
      <c r="M396" s="1277"/>
      <c r="N396" s="200"/>
      <c r="O396" s="199"/>
      <c r="P396" s="24"/>
      <c r="Q396" s="24"/>
      <c r="R396" s="398"/>
      <c r="S396" s="398"/>
      <c r="T396" s="398"/>
      <c r="U396" s="398"/>
      <c r="V396" s="398"/>
      <c r="W396" s="398"/>
      <c r="X396" s="398"/>
      <c r="Y396" s="398"/>
      <c r="Z396" s="398"/>
      <c r="AA396" s="398"/>
      <c r="AB396" s="200"/>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BF396" s="459" t="str">
        <f>IF(OR($I$1094=0,$I$1096=0,$B$1124=""),BH396,BF398)</f>
        <v>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help all immigrants than to vulnerably admit they struggle with alienation and loneliness over immigration.</v>
      </c>
      <c r="BH396" s="465" t="s">
        <v>1824</v>
      </c>
    </row>
    <row r="397" spans="1:68" ht="4.95" customHeight="1">
      <c r="A397" s="199"/>
      <c r="B397" s="24"/>
      <c r="C397" s="24"/>
      <c r="D397" s="24"/>
      <c r="E397" s="24"/>
      <c r="F397" s="24"/>
      <c r="G397" s="24"/>
      <c r="H397" s="24"/>
      <c r="I397" s="24"/>
      <c r="J397" s="24"/>
      <c r="K397" s="24"/>
      <c r="L397" s="24"/>
      <c r="M397" s="24"/>
      <c r="N397" s="200"/>
      <c r="O397" s="199"/>
      <c r="P397" s="24"/>
      <c r="Q397" s="24"/>
      <c r="R397" s="398"/>
      <c r="S397" s="398"/>
      <c r="T397" s="398"/>
      <c r="U397" s="398"/>
      <c r="V397" s="398"/>
      <c r="W397" s="398"/>
      <c r="X397" s="398"/>
      <c r="Y397" s="398"/>
      <c r="Z397" s="398"/>
      <c r="AA397" s="398"/>
      <c r="AB397" s="200"/>
      <c r="AC397" s="1"/>
      <c r="AD397" s="1"/>
      <c r="AE397" s="1"/>
      <c r="AF397" s="1"/>
      <c r="AG397" s="1"/>
      <c r="AH397" s="1"/>
      <c r="AI397" s="1"/>
      <c r="AJ397" s="1"/>
      <c r="AK397" s="1"/>
      <c r="AL397" s="1"/>
      <c r="AM397" s="1"/>
      <c r="AN397" s="1"/>
      <c r="AO397" s="1"/>
      <c r="AP397" s="1"/>
      <c r="AQ397" s="1"/>
      <c r="AR397" s="1"/>
      <c r="AS397" s="1"/>
      <c r="AT397" s="1"/>
      <c r="AU397" s="1"/>
      <c r="AV397" s="1"/>
      <c r="AW397" s="1"/>
      <c r="AX397" s="1"/>
      <c r="AY397" s="1"/>
    </row>
    <row r="398" spans="1:68" ht="19.05" customHeight="1">
      <c r="A398" s="199"/>
      <c r="B398" s="1277" t="str">
        <f>BF396</f>
        <v>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help all immigrants than to vulnerably admit they struggle with alienation and loneliness over immigration.</v>
      </c>
      <c r="C398" s="1277"/>
      <c r="D398" s="1277"/>
      <c r="E398" s="1277"/>
      <c r="F398" s="1277"/>
      <c r="G398" s="1277"/>
      <c r="H398" s="1277"/>
      <c r="I398" s="1277"/>
      <c r="J398" s="1277"/>
      <c r="K398" s="1277"/>
      <c r="L398" s="1277"/>
      <c r="M398" s="1277"/>
      <c r="N398" s="200"/>
      <c r="O398" s="199"/>
      <c r="P398" s="24"/>
      <c r="Q398" s="24"/>
      <c r="R398" s="398"/>
      <c r="S398" s="398"/>
      <c r="T398" s="398"/>
      <c r="U398" s="398"/>
      <c r="V398" s="398"/>
      <c r="W398" s="398"/>
      <c r="X398" s="398"/>
      <c r="Y398" s="398"/>
      <c r="Z398" s="398"/>
      <c r="AA398" s="398"/>
      <c r="AB398" s="200"/>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BF398" s="459" t="str">
        <f>CONCATENATE(BH398,BI398,BJ398,BK398,BL398,BM398,BN398,BO398,BP398)</f>
        <v>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help all immigrants than to vulnerably admit they struggle with alienation and loneliness over immigration.</v>
      </c>
      <c r="BH398" s="409" t="s">
        <v>1655</v>
      </c>
      <c r="BI398" s="2" t="str">
        <f>R1122</f>
        <v>help all immigrants</v>
      </c>
      <c r="BJ398" s="409" t="s">
        <v>1656</v>
      </c>
      <c r="BK398" s="2" t="str">
        <f>X1122</f>
        <v>alienation</v>
      </c>
      <c r="BL398" s="409" t="s">
        <v>1378</v>
      </c>
      <c r="BM398" s="2" t="str">
        <f>Z1122</f>
        <v>loneliness</v>
      </c>
      <c r="BN398" s="409" t="s">
        <v>1692</v>
      </c>
      <c r="BO398" s="2" t="str">
        <f>D1124</f>
        <v>immigration</v>
      </c>
      <c r="BP398" s="409" t="s">
        <v>706</v>
      </c>
    </row>
    <row r="399" spans="1:68" ht="19.05" customHeight="1">
      <c r="A399" s="199"/>
      <c r="B399" s="1277"/>
      <c r="C399" s="1277"/>
      <c r="D399" s="1277"/>
      <c r="E399" s="1277"/>
      <c r="F399" s="1277"/>
      <c r="G399" s="1277"/>
      <c r="H399" s="1277"/>
      <c r="I399" s="1277"/>
      <c r="J399" s="1277"/>
      <c r="K399" s="1277"/>
      <c r="L399" s="1277"/>
      <c r="M399" s="1277"/>
      <c r="N399" s="200"/>
      <c r="O399" s="199"/>
      <c r="P399" s="24"/>
      <c r="Q399" s="24"/>
      <c r="R399" s="398"/>
      <c r="S399" s="398"/>
      <c r="T399" s="398"/>
      <c r="U399" s="398"/>
      <c r="V399" s="398"/>
      <c r="W399" s="398"/>
      <c r="X399" s="398"/>
      <c r="Y399" s="398"/>
      <c r="Z399" s="398"/>
      <c r="AA399" s="398"/>
      <c r="AB399" s="200"/>
      <c r="AC399" s="1"/>
      <c r="AD399" s="1"/>
      <c r="AE399" s="1"/>
      <c r="AF399" s="1"/>
      <c r="AG399" s="1"/>
      <c r="AH399" s="1"/>
      <c r="AI399" s="1"/>
      <c r="AJ399" s="1"/>
      <c r="AK399" s="1"/>
      <c r="AL399" s="1"/>
      <c r="AM399" s="1"/>
      <c r="AN399" s="1"/>
      <c r="AO399" s="1"/>
      <c r="AP399" s="1"/>
      <c r="AQ399" s="1"/>
      <c r="AR399" s="1"/>
      <c r="AS399" s="1"/>
      <c r="AT399" s="1"/>
      <c r="AU399" s="1"/>
      <c r="AV399" s="1"/>
      <c r="AW399" s="1"/>
      <c r="AX399" s="1"/>
      <c r="AY399" s="1"/>
    </row>
    <row r="400" spans="1:68" ht="19.05" customHeight="1">
      <c r="A400" s="199"/>
      <c r="B400" s="1277"/>
      <c r="C400" s="1277"/>
      <c r="D400" s="1277"/>
      <c r="E400" s="1277"/>
      <c r="F400" s="1277"/>
      <c r="G400" s="1277"/>
      <c r="H400" s="1277"/>
      <c r="I400" s="1277"/>
      <c r="J400" s="1277"/>
      <c r="K400" s="1277"/>
      <c r="L400" s="1277"/>
      <c r="M400" s="1277"/>
      <c r="N400" s="200"/>
      <c r="O400" s="199"/>
      <c r="P400" s="24"/>
      <c r="Q400" s="24"/>
      <c r="R400" s="398"/>
      <c r="S400" s="398"/>
      <c r="T400" s="398"/>
      <c r="U400" s="398"/>
      <c r="V400" s="398"/>
      <c r="W400" s="398"/>
      <c r="X400" s="398"/>
      <c r="Y400" s="398"/>
      <c r="Z400" s="398"/>
      <c r="AA400" s="398"/>
      <c r="AB400" s="200"/>
      <c r="AC400" s="1"/>
      <c r="AD400" s="1"/>
      <c r="AE400" s="1"/>
      <c r="AF400" s="1"/>
      <c r="AG400" s="1"/>
      <c r="AH400" s="1"/>
      <c r="AI400" s="1"/>
      <c r="AJ400" s="1"/>
      <c r="AK400" s="1"/>
      <c r="AL400" s="1"/>
      <c r="AM400" s="1"/>
      <c r="AN400" s="1"/>
      <c r="AO400" s="1"/>
      <c r="AP400" s="1"/>
      <c r="AQ400" s="1"/>
      <c r="AR400" s="1"/>
      <c r="AS400" s="1"/>
      <c r="AT400" s="1"/>
      <c r="AU400" s="1"/>
      <c r="AV400" s="1"/>
      <c r="AW400" s="1"/>
      <c r="AX400" s="1"/>
      <c r="AY400" s="1"/>
    </row>
    <row r="401" spans="1:67" ht="19.05" customHeight="1">
      <c r="A401" s="199"/>
      <c r="B401" s="1277"/>
      <c r="C401" s="1277"/>
      <c r="D401" s="1277"/>
      <c r="E401" s="1277"/>
      <c r="F401" s="1277"/>
      <c r="G401" s="1277"/>
      <c r="H401" s="1277"/>
      <c r="I401" s="1277"/>
      <c r="J401" s="1277"/>
      <c r="K401" s="1277"/>
      <c r="L401" s="1277"/>
      <c r="M401" s="1277"/>
      <c r="N401" s="200"/>
      <c r="O401" s="199"/>
      <c r="P401" s="24"/>
      <c r="Q401" s="24"/>
      <c r="R401" s="398"/>
      <c r="S401" s="398"/>
      <c r="T401" s="398"/>
      <c r="U401" s="398"/>
      <c r="V401" s="398"/>
      <c r="W401" s="398"/>
      <c r="X401" s="398"/>
      <c r="Y401" s="398"/>
      <c r="Z401" s="398"/>
      <c r="AA401" s="398"/>
      <c r="AB401" s="200"/>
      <c r="AC401" s="1"/>
      <c r="AD401" s="1"/>
      <c r="AE401" s="1"/>
      <c r="AF401" s="1"/>
      <c r="AG401" s="1"/>
      <c r="AH401" s="1"/>
      <c r="AI401" s="1"/>
      <c r="AJ401" s="1"/>
      <c r="AK401" s="1"/>
      <c r="AL401" s="1"/>
      <c r="AM401" s="1"/>
      <c r="AN401" s="1"/>
      <c r="AO401" s="1"/>
      <c r="AP401" s="1"/>
      <c r="AQ401" s="1"/>
      <c r="AR401" s="1"/>
      <c r="AS401" s="1"/>
      <c r="AT401" s="1"/>
      <c r="AU401" s="1"/>
      <c r="AV401" s="1"/>
      <c r="AW401" s="1"/>
      <c r="AX401" s="1"/>
      <c r="AY401" s="1"/>
    </row>
    <row r="402" spans="1:67" ht="19.05" customHeight="1">
      <c r="A402" s="199"/>
      <c r="B402" s="1277"/>
      <c r="C402" s="1277"/>
      <c r="D402" s="1277"/>
      <c r="E402" s="1277"/>
      <c r="F402" s="1277"/>
      <c r="G402" s="1277"/>
      <c r="H402" s="1277"/>
      <c r="I402" s="1277"/>
      <c r="J402" s="1277"/>
      <c r="K402" s="1277"/>
      <c r="L402" s="1277"/>
      <c r="M402" s="1277"/>
      <c r="N402" s="200"/>
      <c r="O402" s="199"/>
      <c r="P402" s="24"/>
      <c r="Q402" s="24"/>
      <c r="R402" s="398"/>
      <c r="S402" s="398"/>
      <c r="T402" s="398"/>
      <c r="U402" s="398"/>
      <c r="V402" s="398"/>
      <c r="W402" s="398"/>
      <c r="X402" s="398"/>
      <c r="Y402" s="398"/>
      <c r="Z402" s="398"/>
      <c r="AA402" s="398"/>
      <c r="AB402" s="200"/>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BF402" s="459" t="str">
        <f>IF(OR($I$1094=0,$I$1096=0,$B$1124=""),BH402,BF404)</f>
        <v xml:space="preserve">It generally is easier for them to change their expressed views than alter their politically charged feelings. They personally cannot do much about the issue of immigration, but they can feel supported by those who agree with their soft borders stance. Their feeling of alienation and loneliness express the vulnerability of their publicly affected needs. They cannot change those feelings or their vulnerable needs for full inclusion and self-determination as easily as they can alter their immigration views to fit a friendly or hostile audience. </v>
      </c>
      <c r="BH402" s="465" t="s">
        <v>1825</v>
      </c>
    </row>
    <row r="403" spans="1:67" ht="4.95" customHeight="1">
      <c r="A403" s="199"/>
      <c r="B403" s="24"/>
      <c r="C403" s="24"/>
      <c r="D403" s="24"/>
      <c r="E403" s="24"/>
      <c r="F403" s="24"/>
      <c r="G403" s="24"/>
      <c r="H403" s="24"/>
      <c r="I403" s="24"/>
      <c r="J403" s="24"/>
      <c r="K403" s="24"/>
      <c r="L403" s="24"/>
      <c r="M403" s="24"/>
      <c r="N403" s="200"/>
      <c r="O403" s="199"/>
      <c r="P403" s="24"/>
      <c r="Q403" s="24"/>
      <c r="R403" s="398"/>
      <c r="S403" s="398"/>
      <c r="T403" s="398"/>
      <c r="U403" s="398"/>
      <c r="V403" s="398"/>
      <c r="W403" s="398"/>
      <c r="X403" s="398"/>
      <c r="Y403" s="398"/>
      <c r="Z403" s="398"/>
      <c r="AA403" s="398"/>
      <c r="AB403" s="200"/>
      <c r="AC403" s="1"/>
      <c r="AD403" s="1"/>
      <c r="AE403" s="1"/>
      <c r="AF403" s="1"/>
      <c r="AG403" s="1"/>
      <c r="AH403" s="1"/>
      <c r="AI403" s="1"/>
      <c r="AJ403" s="1"/>
      <c r="AK403" s="1"/>
      <c r="AL403" s="1"/>
      <c r="AM403" s="1"/>
      <c r="AN403" s="1"/>
      <c r="AO403" s="1"/>
      <c r="AP403" s="1"/>
      <c r="AQ403" s="1"/>
      <c r="AR403" s="1"/>
      <c r="AS403" s="1"/>
      <c r="AT403" s="1"/>
      <c r="AU403" s="1"/>
      <c r="AV403" s="1"/>
      <c r="AW403" s="1"/>
      <c r="AX403" s="1"/>
      <c r="AY403" s="1"/>
    </row>
    <row r="404" spans="1:67" ht="19.05" customHeight="1">
      <c r="A404" s="199"/>
      <c r="B404" s="1277" t="str">
        <f>BF402</f>
        <v xml:space="preserve">It generally is easier for them to change their expressed views than alter their politically charged feelings. They personally cannot do much about the issue of immigration, but they can feel supported by those who agree with their soft borders stance. Their feeling of alienation and loneliness express the vulnerability of their publicly affected needs. They cannot change those feelings or their vulnerable needs for full inclusion and self-determination as easily as they can alter their immigration views to fit a friendly or hostile audience. </v>
      </c>
      <c r="C404" s="1277"/>
      <c r="D404" s="1277"/>
      <c r="E404" s="1277"/>
      <c r="F404" s="1277"/>
      <c r="G404" s="1277"/>
      <c r="H404" s="1277"/>
      <c r="I404" s="1277"/>
      <c r="J404" s="1277"/>
      <c r="K404" s="1277"/>
      <c r="L404" s="1277"/>
      <c r="M404" s="1277"/>
      <c r="N404" s="200"/>
      <c r="O404" s="199"/>
      <c r="P404" s="24"/>
      <c r="Q404" s="24"/>
      <c r="R404" s="398"/>
      <c r="S404" s="398"/>
      <c r="T404" s="398"/>
      <c r="U404" s="398"/>
      <c r="V404" s="398"/>
      <c r="W404" s="398"/>
      <c r="X404" s="398"/>
      <c r="Y404" s="398"/>
      <c r="Z404" s="398"/>
      <c r="AA404" s="398"/>
      <c r="AB404" s="200"/>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BF404" s="459" t="str">
        <f>CONCATENATE(BH404,BI404,BJ404,BK404,BL404,BM404,BN404,BO404,BH405,BI405,BJ405,BK405,BL405,BM405,BN405)</f>
        <v xml:space="preserve">It generally is easier for them to change their expressed views than alter their politically charged feelings. They personally cannot do much about the issue of immigration, but they can feel supported by those who agree with their soft borders stance. Their feeling of alienation and loneliness express the vulnerability of their publicly affected needs. They cannot change those feelings or their vulnerable needs for full inclusion and self-determination as easily as they can alter their immigration views to fit a friendly or hostile audience. </v>
      </c>
      <c r="BH404" s="409" t="s">
        <v>1657</v>
      </c>
      <c r="BI404" s="2" t="str">
        <f>D1124</f>
        <v>immigration</v>
      </c>
      <c r="BJ404" s="409" t="s">
        <v>1658</v>
      </c>
      <c r="BK404" s="2" t="str">
        <f>H1122</f>
        <v>soft borders</v>
      </c>
      <c r="BL404" s="409" t="s">
        <v>1659</v>
      </c>
      <c r="BM404" s="2" t="str">
        <f>X1122</f>
        <v>alienation</v>
      </c>
      <c r="BN404" s="409" t="s">
        <v>1378</v>
      </c>
      <c r="BO404" s="2" t="str">
        <f>Z1122</f>
        <v>loneliness</v>
      </c>
    </row>
    <row r="405" spans="1:67" ht="19.05" customHeight="1">
      <c r="A405" s="199"/>
      <c r="B405" s="1277"/>
      <c r="C405" s="1277"/>
      <c r="D405" s="1277"/>
      <c r="E405" s="1277"/>
      <c r="F405" s="1277"/>
      <c r="G405" s="1277"/>
      <c r="H405" s="1277"/>
      <c r="I405" s="1277"/>
      <c r="J405" s="1277"/>
      <c r="K405" s="1277"/>
      <c r="L405" s="1277"/>
      <c r="M405" s="1277"/>
      <c r="N405" s="200"/>
      <c r="O405" s="199"/>
      <c r="P405" s="24"/>
      <c r="Q405" s="24"/>
      <c r="R405" s="398"/>
      <c r="S405" s="398"/>
      <c r="T405" s="398"/>
      <c r="U405" s="398"/>
      <c r="V405" s="398"/>
      <c r="W405" s="398"/>
      <c r="X405" s="398"/>
      <c r="Y405" s="398"/>
      <c r="Z405" s="398"/>
      <c r="AA405" s="398"/>
      <c r="AB405" s="200"/>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BH405" s="409" t="s">
        <v>1660</v>
      </c>
      <c r="BI405" s="2" t="str">
        <f>BG1122</f>
        <v>full inclusion</v>
      </c>
      <c r="BJ405" s="409" t="s">
        <v>1378</v>
      </c>
      <c r="BK405" s="2" t="str">
        <f>BI1122</f>
        <v>self-determination</v>
      </c>
      <c r="BL405" s="409" t="s">
        <v>1661</v>
      </c>
      <c r="BM405" s="2" t="str">
        <f>BI404</f>
        <v>immigration</v>
      </c>
      <c r="BN405" s="465" t="s">
        <v>1662</v>
      </c>
    </row>
    <row r="406" spans="1:67" ht="19.05" customHeight="1">
      <c r="A406" s="199"/>
      <c r="B406" s="1277"/>
      <c r="C406" s="1277"/>
      <c r="D406" s="1277"/>
      <c r="E406" s="1277"/>
      <c r="F406" s="1277"/>
      <c r="G406" s="1277"/>
      <c r="H406" s="1277"/>
      <c r="I406" s="1277"/>
      <c r="J406" s="1277"/>
      <c r="K406" s="1277"/>
      <c r="L406" s="1277"/>
      <c r="M406" s="1277"/>
      <c r="N406" s="200"/>
      <c r="O406" s="199"/>
      <c r="P406" s="24"/>
      <c r="Q406" s="24"/>
      <c r="R406" s="398"/>
      <c r="S406" s="398"/>
      <c r="T406" s="398"/>
      <c r="U406" s="398"/>
      <c r="V406" s="398"/>
      <c r="W406" s="398"/>
      <c r="X406" s="398"/>
      <c r="Y406" s="398"/>
      <c r="Z406" s="398"/>
      <c r="AA406" s="398"/>
      <c r="AB406" s="200"/>
      <c r="AC406" s="1"/>
      <c r="AD406" s="1"/>
      <c r="AE406" s="1"/>
      <c r="AF406" s="1"/>
      <c r="AG406" s="1"/>
      <c r="AH406" s="1"/>
      <c r="AI406" s="1"/>
      <c r="AJ406" s="1"/>
      <c r="AK406" s="1"/>
      <c r="AL406" s="1"/>
      <c r="AM406" s="1"/>
      <c r="AN406" s="1"/>
      <c r="AO406" s="1"/>
      <c r="AP406" s="1"/>
      <c r="AQ406" s="1"/>
      <c r="AR406" s="1"/>
      <c r="AS406" s="1"/>
      <c r="AT406" s="1"/>
      <c r="AU406" s="1"/>
      <c r="AV406" s="1"/>
      <c r="AW406" s="1"/>
      <c r="AX406" s="1"/>
      <c r="AY406" s="1"/>
    </row>
    <row r="407" spans="1:67" ht="19.05" customHeight="1">
      <c r="A407" s="199"/>
      <c r="B407" s="1277"/>
      <c r="C407" s="1277"/>
      <c r="D407" s="1277"/>
      <c r="E407" s="1277"/>
      <c r="F407" s="1277"/>
      <c r="G407" s="1277"/>
      <c r="H407" s="1277"/>
      <c r="I407" s="1277"/>
      <c r="J407" s="1277"/>
      <c r="K407" s="1277"/>
      <c r="L407" s="1277"/>
      <c r="M407" s="1277"/>
      <c r="N407" s="200"/>
      <c r="O407" s="199"/>
      <c r="P407" s="24"/>
      <c r="Q407" s="24"/>
      <c r="R407" s="398"/>
      <c r="S407" s="398"/>
      <c r="T407" s="398"/>
      <c r="U407" s="398"/>
      <c r="V407" s="398"/>
      <c r="W407" s="398"/>
      <c r="X407" s="398"/>
      <c r="Y407" s="398"/>
      <c r="Z407" s="398"/>
      <c r="AA407" s="398"/>
      <c r="AB407" s="200"/>
      <c r="AC407" s="1"/>
      <c r="AD407" s="1"/>
      <c r="AE407" s="1"/>
      <c r="AF407" s="1"/>
      <c r="AG407" s="1"/>
      <c r="AH407" s="1"/>
      <c r="AI407" s="1"/>
      <c r="AJ407" s="1"/>
      <c r="AK407" s="1"/>
      <c r="AL407" s="1"/>
      <c r="AM407" s="1"/>
      <c r="AN407" s="1"/>
      <c r="AO407" s="1"/>
      <c r="AP407" s="1"/>
      <c r="AQ407" s="1"/>
      <c r="AR407" s="1"/>
      <c r="AS407" s="1"/>
      <c r="AT407" s="1"/>
      <c r="AU407" s="1"/>
      <c r="AV407" s="1"/>
      <c r="AW407" s="1"/>
      <c r="AX407" s="1"/>
      <c r="AY407" s="1"/>
    </row>
    <row r="408" spans="1:67" ht="19.05" customHeight="1">
      <c r="A408" s="199"/>
      <c r="B408" s="1277"/>
      <c r="C408" s="1277"/>
      <c r="D408" s="1277"/>
      <c r="E408" s="1277"/>
      <c r="F408" s="1277"/>
      <c r="G408" s="1277"/>
      <c r="H408" s="1277"/>
      <c r="I408" s="1277"/>
      <c r="J408" s="1277"/>
      <c r="K408" s="1277"/>
      <c r="L408" s="1277"/>
      <c r="M408" s="1277"/>
      <c r="N408" s="200"/>
      <c r="O408" s="199"/>
      <c r="P408" s="24"/>
      <c r="Q408" s="24"/>
      <c r="R408" s="398"/>
      <c r="S408" s="398"/>
      <c r="T408" s="398"/>
      <c r="U408" s="398"/>
      <c r="V408" s="398"/>
      <c r="W408" s="398"/>
      <c r="X408" s="398"/>
      <c r="Y408" s="398"/>
      <c r="Z408" s="398"/>
      <c r="AA408" s="398"/>
      <c r="AB408" s="200"/>
      <c r="AC408" s="1"/>
      <c r="AD408" s="1"/>
      <c r="AE408" s="1"/>
      <c r="AF408" s="1"/>
      <c r="AG408" s="1"/>
      <c r="AH408" s="1"/>
      <c r="AI408" s="1"/>
      <c r="AJ408" s="1"/>
      <c r="AK408" s="1"/>
      <c r="AL408" s="1"/>
      <c r="AM408" s="1"/>
      <c r="AN408" s="1"/>
      <c r="AO408" s="1"/>
      <c r="AP408" s="1"/>
      <c r="AQ408" s="1"/>
      <c r="AR408" s="1"/>
      <c r="AS408" s="1"/>
      <c r="AT408" s="1"/>
      <c r="AU408" s="1"/>
      <c r="AV408" s="1"/>
      <c r="AW408" s="1"/>
      <c r="AX408" s="1"/>
      <c r="AY408" s="1"/>
    </row>
    <row r="409" spans="1:67" ht="19.05" customHeight="1">
      <c r="A409" s="199"/>
      <c r="B409" s="1277"/>
      <c r="C409" s="1277"/>
      <c r="D409" s="1277"/>
      <c r="E409" s="1277"/>
      <c r="F409" s="1277"/>
      <c r="G409" s="1277"/>
      <c r="H409" s="1277"/>
      <c r="I409" s="1277"/>
      <c r="J409" s="1277"/>
      <c r="K409" s="1277"/>
      <c r="L409" s="1277"/>
      <c r="M409" s="1277"/>
      <c r="N409" s="200"/>
      <c r="O409" s="199"/>
      <c r="P409" s="24"/>
      <c r="Q409" s="24"/>
      <c r="R409" s="398"/>
      <c r="S409" s="398"/>
      <c r="T409" s="398"/>
      <c r="U409" s="398"/>
      <c r="V409" s="398"/>
      <c r="W409" s="398"/>
      <c r="X409" s="398"/>
      <c r="Y409" s="398"/>
      <c r="Z409" s="398"/>
      <c r="AA409" s="398"/>
      <c r="AB409" s="200"/>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BF409" s="595" t="str">
        <f>IF(OR($I$1094=0,$I$1096=0,$B$1124=""),BH409,BF411)</f>
        <v>You peal back their layers of protected alienation to help resolve their deeper needs. Harmony Politics helps you reverse engineer their emotionally charged immigration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immigration could undermine this intimate journey into greater self-awareness.</v>
      </c>
      <c r="BH409" s="465"/>
    </row>
    <row r="410" spans="1:67" ht="4.95" customHeight="1">
      <c r="A410" s="199"/>
      <c r="B410" s="24"/>
      <c r="C410" s="24"/>
      <c r="D410" s="24"/>
      <c r="E410" s="24"/>
      <c r="F410" s="24"/>
      <c r="G410" s="24"/>
      <c r="H410" s="24"/>
      <c r="I410" s="24"/>
      <c r="J410" s="24"/>
      <c r="K410" s="24"/>
      <c r="L410" s="24"/>
      <c r="M410" s="24"/>
      <c r="N410" s="200"/>
      <c r="O410" s="199"/>
      <c r="P410" s="24"/>
      <c r="Q410" s="24"/>
      <c r="R410" s="398"/>
      <c r="S410" s="398"/>
      <c r="T410" s="398"/>
      <c r="U410" s="398"/>
      <c r="V410" s="398"/>
      <c r="W410" s="398"/>
      <c r="X410" s="398"/>
      <c r="Y410" s="398"/>
      <c r="Z410" s="398"/>
      <c r="AA410" s="398"/>
      <c r="AB410" s="200"/>
      <c r="AC410" s="1"/>
      <c r="AD410" s="1"/>
      <c r="AE410" s="1"/>
      <c r="AF410" s="1"/>
      <c r="AG410" s="1"/>
      <c r="AH410" s="1"/>
      <c r="AI410" s="1"/>
      <c r="AJ410" s="1"/>
      <c r="AK410" s="1"/>
      <c r="AL410" s="1"/>
      <c r="AM410" s="1"/>
      <c r="AN410" s="1"/>
      <c r="AO410" s="1"/>
      <c r="AP410" s="1"/>
      <c r="AQ410" s="1"/>
      <c r="AR410" s="1"/>
      <c r="AS410" s="1"/>
      <c r="AT410" s="1"/>
      <c r="AU410" s="1"/>
      <c r="AV410" s="1"/>
      <c r="AW410" s="1"/>
      <c r="AX410" s="1"/>
      <c r="AY410" s="1"/>
    </row>
    <row r="411" spans="1:67" ht="19.95" customHeight="1">
      <c r="A411" s="199"/>
      <c r="B411" s="1277" t="str">
        <f>BF411</f>
        <v>You peal back their layers of protected alienation to help resolve their deeper needs. Harmony Politics helps you reverse engineer their emotionally charged immigration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immigration could undermine this intimate journey into greater self-awareness.</v>
      </c>
      <c r="C411" s="1277"/>
      <c r="D411" s="1277"/>
      <c r="E411" s="1277"/>
      <c r="F411" s="1277"/>
      <c r="G411" s="1277"/>
      <c r="H411" s="1277"/>
      <c r="I411" s="1277"/>
      <c r="J411" s="1277"/>
      <c r="K411" s="1277"/>
      <c r="L411" s="1277"/>
      <c r="M411" s="1277"/>
      <c r="N411" s="200"/>
      <c r="O411" s="199"/>
      <c r="P411" s="24"/>
      <c r="Q411" s="24"/>
      <c r="R411" s="398"/>
      <c r="S411" s="398"/>
      <c r="T411" s="398"/>
      <c r="U411" s="398"/>
      <c r="V411" s="398"/>
      <c r="W411" s="398"/>
      <c r="X411" s="398"/>
      <c r="Y411" s="398"/>
      <c r="Z411" s="398"/>
      <c r="AA411" s="398"/>
      <c r="AB411" s="200"/>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BF411" s="459" t="str">
        <f>CONCATENATE(BH411,BI411,BJ411,BK411,BL411,BM411,BN411,BO411)</f>
        <v>You peal back their layers of protected alienation to help resolve their deeper needs. Harmony Politics helps you reverse engineer their emotionally charged immigration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immigration could undermine this intimate journey into greater self-awareness.</v>
      </c>
      <c r="BH411" s="409" t="s">
        <v>1663</v>
      </c>
      <c r="BI411" s="2" t="str">
        <f>IF($D$1124="","political",$D$1124)</f>
        <v>immigration</v>
      </c>
      <c r="BJ411" s="409" t="s">
        <v>1828</v>
      </c>
      <c r="BK411" s="2" t="str">
        <f>IF($D$1124="","this political issue",$D$1124)</f>
        <v>immigration</v>
      </c>
      <c r="BL411" s="465" t="s">
        <v>1664</v>
      </c>
    </row>
    <row r="412" spans="1:67" ht="19.95" customHeight="1">
      <c r="A412" s="199"/>
      <c r="B412" s="1277"/>
      <c r="C412" s="1277"/>
      <c r="D412" s="1277"/>
      <c r="E412" s="1277"/>
      <c r="F412" s="1277"/>
      <c r="G412" s="1277"/>
      <c r="H412" s="1277"/>
      <c r="I412" s="1277"/>
      <c r="J412" s="1277"/>
      <c r="K412" s="1277"/>
      <c r="L412" s="1277"/>
      <c r="M412" s="1277"/>
      <c r="N412" s="200"/>
      <c r="O412" s="199"/>
      <c r="P412" s="24"/>
      <c r="Q412" s="24"/>
      <c r="R412" s="398"/>
      <c r="S412" s="398"/>
      <c r="T412" s="398"/>
      <c r="U412" s="398"/>
      <c r="V412" s="398"/>
      <c r="W412" s="398"/>
      <c r="X412" s="398"/>
      <c r="Y412" s="398"/>
      <c r="Z412" s="398"/>
      <c r="AA412" s="398"/>
      <c r="AB412" s="200"/>
      <c r="AC412" s="1"/>
      <c r="AD412" s="1"/>
      <c r="AE412" s="1"/>
      <c r="AF412" s="1"/>
      <c r="AG412" s="1"/>
      <c r="AH412" s="1"/>
      <c r="AI412" s="1"/>
      <c r="AJ412" s="1"/>
      <c r="AK412" s="1"/>
      <c r="AL412" s="1"/>
      <c r="AM412" s="1"/>
      <c r="AN412" s="1"/>
      <c r="AO412" s="1"/>
      <c r="AP412" s="1"/>
      <c r="AQ412" s="1"/>
      <c r="AR412" s="1"/>
      <c r="AS412" s="1"/>
      <c r="AT412" s="1"/>
      <c r="AU412" s="1"/>
      <c r="AV412" s="1"/>
      <c r="AW412" s="1"/>
      <c r="AX412" s="1"/>
      <c r="AY412" s="1"/>
    </row>
    <row r="413" spans="1:67" ht="19.95" customHeight="1">
      <c r="A413" s="199"/>
      <c r="B413" s="1277"/>
      <c r="C413" s="1277"/>
      <c r="D413" s="1277"/>
      <c r="E413" s="1277"/>
      <c r="F413" s="1277"/>
      <c r="G413" s="1277"/>
      <c r="H413" s="1277"/>
      <c r="I413" s="1277"/>
      <c r="J413" s="1277"/>
      <c r="K413" s="1277"/>
      <c r="L413" s="1277"/>
      <c r="M413" s="1277"/>
      <c r="N413" s="200"/>
      <c r="O413" s="199"/>
      <c r="P413" s="24"/>
      <c r="Q413" s="24"/>
      <c r="R413" s="398"/>
      <c r="S413" s="398"/>
      <c r="T413" s="398"/>
      <c r="U413" s="398"/>
      <c r="V413" s="398"/>
      <c r="W413" s="398"/>
      <c r="X413" s="398"/>
      <c r="Y413" s="398"/>
      <c r="Z413" s="398"/>
      <c r="AA413" s="398"/>
      <c r="AB413" s="200"/>
      <c r="AC413" s="1"/>
      <c r="AD413" s="1"/>
      <c r="AE413" s="1"/>
      <c r="AF413" s="1"/>
      <c r="AG413" s="1"/>
      <c r="AH413" s="1"/>
      <c r="AI413" s="1"/>
      <c r="AJ413" s="1"/>
      <c r="AK413" s="1"/>
      <c r="AL413" s="1"/>
      <c r="AM413" s="1"/>
      <c r="AN413" s="1"/>
      <c r="AO413" s="1"/>
      <c r="AP413" s="1"/>
      <c r="AQ413" s="1"/>
      <c r="AR413" s="1"/>
      <c r="AS413" s="1"/>
      <c r="AT413" s="1"/>
      <c r="AU413" s="1"/>
      <c r="AV413" s="1"/>
      <c r="AW413" s="1"/>
      <c r="AX413" s="1"/>
      <c r="AY413" s="1"/>
    </row>
    <row r="414" spans="1:67" ht="19.95" customHeight="1">
      <c r="A414" s="199"/>
      <c r="B414" s="1277"/>
      <c r="C414" s="1277"/>
      <c r="D414" s="1277"/>
      <c r="E414" s="1277"/>
      <c r="F414" s="1277"/>
      <c r="G414" s="1277"/>
      <c r="H414" s="1277"/>
      <c r="I414" s="1277"/>
      <c r="J414" s="1277"/>
      <c r="K414" s="1277"/>
      <c r="L414" s="1277"/>
      <c r="M414" s="1277"/>
      <c r="N414" s="200"/>
      <c r="O414" s="199"/>
      <c r="P414" s="24"/>
      <c r="Q414" s="24"/>
      <c r="R414" s="398"/>
      <c r="S414" s="398"/>
      <c r="T414" s="398"/>
      <c r="U414" s="398"/>
      <c r="V414" s="398"/>
      <c r="W414" s="398"/>
      <c r="X414" s="398"/>
      <c r="Y414" s="398"/>
      <c r="Z414" s="398"/>
      <c r="AA414" s="398"/>
      <c r="AB414" s="200"/>
      <c r="AC414" s="1"/>
      <c r="AD414" s="1"/>
      <c r="AE414" s="1"/>
      <c r="AF414" s="1"/>
      <c r="AG414" s="1"/>
      <c r="AH414" s="1"/>
      <c r="AI414" s="1"/>
      <c r="AJ414" s="1"/>
      <c r="AK414" s="1"/>
      <c r="AL414" s="1"/>
      <c r="AM414" s="1"/>
      <c r="AN414" s="1"/>
      <c r="AO414" s="1"/>
      <c r="AP414" s="1"/>
      <c r="AQ414" s="1"/>
      <c r="AR414" s="1"/>
      <c r="AS414" s="1"/>
      <c r="AT414" s="1"/>
      <c r="AU414" s="1"/>
      <c r="AV414" s="1"/>
      <c r="AW414" s="1"/>
      <c r="AX414" s="1"/>
      <c r="AY414" s="1"/>
    </row>
    <row r="415" spans="1:67" ht="19.95" customHeight="1">
      <c r="A415" s="199"/>
      <c r="B415" s="1277"/>
      <c r="C415" s="1277"/>
      <c r="D415" s="1277"/>
      <c r="E415" s="1277"/>
      <c r="F415" s="1277"/>
      <c r="G415" s="1277"/>
      <c r="H415" s="1277"/>
      <c r="I415" s="1277"/>
      <c r="J415" s="1277"/>
      <c r="K415" s="1277"/>
      <c r="L415" s="1277"/>
      <c r="M415" s="1277"/>
      <c r="N415" s="200"/>
      <c r="O415" s="199"/>
      <c r="P415" s="24"/>
      <c r="Q415" s="24"/>
      <c r="R415" s="398"/>
      <c r="S415" s="398"/>
      <c r="T415" s="398"/>
      <c r="U415" s="398"/>
      <c r="V415" s="398"/>
      <c r="W415" s="398"/>
      <c r="X415" s="398"/>
      <c r="Y415" s="398"/>
      <c r="Z415" s="398"/>
      <c r="AA415" s="398"/>
      <c r="AB415" s="200"/>
      <c r="AC415" s="1"/>
      <c r="AD415" s="1"/>
      <c r="AE415" s="1"/>
      <c r="AF415" s="1"/>
      <c r="AG415" s="1"/>
      <c r="AH415" s="1"/>
      <c r="AI415" s="1"/>
      <c r="AJ415" s="1"/>
      <c r="AK415" s="1"/>
      <c r="AL415" s="1"/>
      <c r="AM415" s="1"/>
      <c r="AN415" s="1"/>
      <c r="AO415" s="1"/>
      <c r="AP415" s="1"/>
      <c r="AQ415" s="1"/>
      <c r="AR415" s="1"/>
      <c r="AS415" s="1"/>
      <c r="AT415" s="1"/>
      <c r="AU415" s="1"/>
      <c r="AV415" s="1"/>
      <c r="AW415" s="1"/>
      <c r="AX415" s="1"/>
      <c r="AY415" s="1"/>
    </row>
    <row r="416" spans="1:67" ht="19.95" customHeight="1">
      <c r="A416" s="199"/>
      <c r="B416" s="1277"/>
      <c r="C416" s="1277"/>
      <c r="D416" s="1277"/>
      <c r="E416" s="1277"/>
      <c r="F416" s="1277"/>
      <c r="G416" s="1277"/>
      <c r="H416" s="1277"/>
      <c r="I416" s="1277"/>
      <c r="J416" s="1277"/>
      <c r="K416" s="1277"/>
      <c r="L416" s="1277"/>
      <c r="M416" s="1277"/>
      <c r="N416" s="200"/>
      <c r="O416" s="199"/>
      <c r="P416" s="24"/>
      <c r="Q416" s="24"/>
      <c r="R416" s="398"/>
      <c r="S416" s="398"/>
      <c r="T416" s="398"/>
      <c r="U416" s="398"/>
      <c r="V416" s="398"/>
      <c r="W416" s="398"/>
      <c r="X416" s="398"/>
      <c r="Y416" s="398"/>
      <c r="Z416" s="398"/>
      <c r="AA416" s="398"/>
      <c r="AB416" s="200"/>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BF416" s="459" t="str">
        <f>IF(OR($I$1094=0,$B$1124=""),BH416,BF418)</f>
        <v>Your client can feel alienated from you when you stay at the popularly expected level of agreement-disagreement. They likely expect you to disagree with their soft borders stance on immigration. If you miss this opportunity to connect beyond their immigration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v>
      </c>
      <c r="BH416" s="465" t="s">
        <v>1827</v>
      </c>
    </row>
    <row r="417" spans="1:68" ht="4.95" customHeight="1">
      <c r="A417" s="199"/>
      <c r="B417" s="24"/>
      <c r="C417" s="24"/>
      <c r="D417" s="24"/>
      <c r="E417" s="24"/>
      <c r="F417" s="24"/>
      <c r="G417" s="24"/>
      <c r="H417" s="24"/>
      <c r="I417" s="24"/>
      <c r="J417" s="24"/>
      <c r="K417" s="24"/>
      <c r="L417" s="24"/>
      <c r="M417" s="24"/>
      <c r="N417" s="200"/>
      <c r="O417" s="199"/>
      <c r="P417" s="24"/>
      <c r="Q417" s="24"/>
      <c r="R417" s="398"/>
      <c r="S417" s="398"/>
      <c r="T417" s="398"/>
      <c r="U417" s="398"/>
      <c r="V417" s="398"/>
      <c r="W417" s="398"/>
      <c r="X417" s="398"/>
      <c r="Y417" s="398"/>
      <c r="Z417" s="398"/>
      <c r="AA417" s="398"/>
      <c r="AB417" s="200"/>
      <c r="AC417" s="1"/>
      <c r="AD417" s="1"/>
      <c r="AE417" s="1"/>
      <c r="AF417" s="1"/>
      <c r="AG417" s="1"/>
      <c r="AH417" s="1"/>
      <c r="AI417" s="1"/>
      <c r="AJ417" s="1"/>
      <c r="AK417" s="1"/>
      <c r="AL417" s="1"/>
      <c r="AM417" s="1"/>
      <c r="AN417" s="1"/>
      <c r="AO417" s="1"/>
      <c r="AP417" s="1"/>
      <c r="AQ417" s="1"/>
      <c r="AR417" s="1"/>
      <c r="AS417" s="1"/>
      <c r="AT417" s="1"/>
      <c r="AU417" s="1"/>
      <c r="AV417" s="1"/>
      <c r="AW417" s="1"/>
      <c r="AX417" s="1"/>
      <c r="AY417" s="1"/>
    </row>
    <row r="418" spans="1:68" ht="19.95" customHeight="1">
      <c r="A418" s="199"/>
      <c r="B418" s="1277" t="str">
        <f>BF416</f>
        <v>Your client can feel alienated from you when you stay at the popularly expected level of agreement-disagreement. They likely expect you to disagree with their soft borders stance on immigration. If you miss this opportunity to connect beyond their immigration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v>
      </c>
      <c r="C418" s="1277"/>
      <c r="D418" s="1277"/>
      <c r="E418" s="1277"/>
      <c r="F418" s="1277"/>
      <c r="G418" s="1277"/>
      <c r="H418" s="1277"/>
      <c r="I418" s="1277"/>
      <c r="J418" s="1277"/>
      <c r="K418" s="1277"/>
      <c r="L418" s="1277"/>
      <c r="M418" s="1277"/>
      <c r="N418" s="200"/>
      <c r="O418" s="199"/>
      <c r="P418" s="24"/>
      <c r="Q418" s="24"/>
      <c r="R418" s="398"/>
      <c r="S418" s="398"/>
      <c r="T418" s="398"/>
      <c r="U418" s="398"/>
      <c r="V418" s="398"/>
      <c r="W418" s="398"/>
      <c r="X418" s="398"/>
      <c r="Y418" s="398"/>
      <c r="Z418" s="398"/>
      <c r="AA418" s="398"/>
      <c r="AB418" s="200"/>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BF418" s="459" t="str">
        <f>CONCATENATE(BH418,BI418,BJ418,BK418,BL418,BM418,BN418,BO418,BP418)</f>
        <v>Your client can feel alienated from you when you stay at the popularly expected level of agreement-disagreement. They likely expect you to disagree with their soft borders stance on immigration. If you miss this opportunity to connect beyond their immigration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v>
      </c>
      <c r="BH418" s="409" t="s">
        <v>1826</v>
      </c>
      <c r="BI418" s="405" t="str">
        <f>IF(AND($E$1094=$B$1105,E1096=B1112),BI420,IF(AND($E$1094=$B$1112,E1096=B1105),BI420,IF(AND(E1094=B1105,E1096=B1105),BI419,IF(AND(E1094=B1112,E1096=B115),BI419,BI420))))</f>
        <v>disagree</v>
      </c>
      <c r="BJ418" s="409" t="s">
        <v>1665</v>
      </c>
      <c r="BK418" s="2" t="str">
        <f>H1122</f>
        <v>soft borders</v>
      </c>
      <c r="BL418" s="409" t="s">
        <v>1667</v>
      </c>
      <c r="BM418" s="2" t="str">
        <f>D1124</f>
        <v>immigration</v>
      </c>
      <c r="BN418" s="409" t="s">
        <v>1666</v>
      </c>
      <c r="BO418" s="2" t="str">
        <f>BM418</f>
        <v>immigration</v>
      </c>
      <c r="BP418" s="465" t="s">
        <v>1961</v>
      </c>
    </row>
    <row r="419" spans="1:68" ht="19.95" customHeight="1">
      <c r="A419" s="199"/>
      <c r="B419" s="1277"/>
      <c r="C419" s="1277"/>
      <c r="D419" s="1277"/>
      <c r="E419" s="1277"/>
      <c r="F419" s="1277"/>
      <c r="G419" s="1277"/>
      <c r="H419" s="1277"/>
      <c r="I419" s="1277"/>
      <c r="J419" s="1277"/>
      <c r="K419" s="1277"/>
      <c r="L419" s="1277"/>
      <c r="M419" s="1277"/>
      <c r="N419" s="200"/>
      <c r="O419" s="199"/>
      <c r="P419" s="24"/>
      <c r="Q419" s="24"/>
      <c r="R419" s="398"/>
      <c r="S419" s="398"/>
      <c r="T419" s="398"/>
      <c r="U419" s="398"/>
      <c r="V419" s="398"/>
      <c r="W419" s="398"/>
      <c r="X419" s="398"/>
      <c r="Y419" s="398"/>
      <c r="Z419" s="398"/>
      <c r="AA419" s="398"/>
      <c r="AB419" s="200"/>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BI419" s="2" t="s">
        <v>1653</v>
      </c>
    </row>
    <row r="420" spans="1:68" ht="19.95" customHeight="1">
      <c r="A420" s="199"/>
      <c r="B420" s="1277"/>
      <c r="C420" s="1277"/>
      <c r="D420" s="1277"/>
      <c r="E420" s="1277"/>
      <c r="F420" s="1277"/>
      <c r="G420" s="1277"/>
      <c r="H420" s="1277"/>
      <c r="I420" s="1277"/>
      <c r="J420" s="1277"/>
      <c r="K420" s="1277"/>
      <c r="L420" s="1277"/>
      <c r="M420" s="1277"/>
      <c r="N420" s="200"/>
      <c r="O420" s="199"/>
      <c r="P420" s="24"/>
      <c r="Q420" s="24"/>
      <c r="R420" s="398"/>
      <c r="S420" s="398"/>
      <c r="T420" s="398"/>
      <c r="U420" s="398"/>
      <c r="V420" s="398"/>
      <c r="W420" s="398"/>
      <c r="X420" s="398"/>
      <c r="Y420" s="398"/>
      <c r="Z420" s="398"/>
      <c r="AA420" s="398"/>
      <c r="AB420" s="200"/>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BI420" s="2" t="s">
        <v>1654</v>
      </c>
    </row>
    <row r="421" spans="1:68" ht="19.95" customHeight="1">
      <c r="A421" s="199"/>
      <c r="B421" s="1277"/>
      <c r="C421" s="1277"/>
      <c r="D421" s="1277"/>
      <c r="E421" s="1277"/>
      <c r="F421" s="1277"/>
      <c r="G421" s="1277"/>
      <c r="H421" s="1277"/>
      <c r="I421" s="1277"/>
      <c r="J421" s="1277"/>
      <c r="K421" s="1277"/>
      <c r="L421" s="1277"/>
      <c r="M421" s="1277"/>
      <c r="N421" s="200"/>
      <c r="O421" s="199"/>
      <c r="P421" s="24"/>
      <c r="Q421" s="24"/>
      <c r="R421" s="398"/>
      <c r="S421" s="398"/>
      <c r="T421" s="398"/>
      <c r="U421" s="398"/>
      <c r="V421" s="398"/>
      <c r="W421" s="398"/>
      <c r="X421" s="398"/>
      <c r="Y421" s="398"/>
      <c r="Z421" s="398"/>
      <c r="AA421" s="398"/>
      <c r="AB421" s="200"/>
      <c r="AC421" s="1"/>
      <c r="AD421" s="1"/>
      <c r="AE421" s="1"/>
      <c r="AF421" s="1"/>
      <c r="AG421" s="1"/>
      <c r="AH421" s="1"/>
      <c r="AI421" s="1"/>
      <c r="AJ421" s="1"/>
      <c r="AK421" s="1"/>
      <c r="AL421" s="1"/>
      <c r="AM421" s="1"/>
      <c r="AN421" s="1"/>
      <c r="AO421" s="1"/>
      <c r="AP421" s="1"/>
      <c r="AQ421" s="1"/>
      <c r="AR421" s="1"/>
      <c r="AS421" s="1"/>
      <c r="AT421" s="1"/>
      <c r="AU421" s="1"/>
      <c r="AV421" s="1"/>
      <c r="AW421" s="1"/>
      <c r="AX421" s="1"/>
      <c r="AY421" s="1"/>
    </row>
    <row r="422" spans="1:68" ht="19.95" customHeight="1">
      <c r="A422" s="199"/>
      <c r="B422" s="1277"/>
      <c r="C422" s="1277"/>
      <c r="D422" s="1277"/>
      <c r="E422" s="1277"/>
      <c r="F422" s="1277"/>
      <c r="G422" s="1277"/>
      <c r="H422" s="1277"/>
      <c r="I422" s="1277"/>
      <c r="J422" s="1277"/>
      <c r="K422" s="1277"/>
      <c r="L422" s="1277"/>
      <c r="M422" s="1277"/>
      <c r="N422" s="200"/>
      <c r="O422" s="199"/>
      <c r="P422" s="24"/>
      <c r="Q422" s="24"/>
      <c r="R422" s="398"/>
      <c r="S422" s="398"/>
      <c r="T422" s="398"/>
      <c r="U422" s="398"/>
      <c r="V422" s="398"/>
      <c r="W422" s="398"/>
      <c r="X422" s="398"/>
      <c r="Y422" s="398"/>
      <c r="Z422" s="398"/>
      <c r="AA422" s="398"/>
      <c r="AB422" s="200"/>
      <c r="AC422" s="1"/>
      <c r="AD422" s="1"/>
      <c r="AE422" s="1"/>
      <c r="AF422" s="1"/>
      <c r="AG422" s="1"/>
      <c r="AH422" s="1"/>
      <c r="AI422" s="1"/>
      <c r="AJ422" s="1"/>
      <c r="AK422" s="1"/>
      <c r="AL422" s="1"/>
      <c r="AM422" s="1"/>
      <c r="AN422" s="1"/>
      <c r="AO422" s="1"/>
      <c r="AP422" s="1"/>
      <c r="AQ422" s="1"/>
      <c r="AR422" s="1"/>
      <c r="AS422" s="1"/>
      <c r="AT422" s="1"/>
      <c r="AU422" s="1"/>
      <c r="AV422" s="1"/>
      <c r="AW422" s="1"/>
      <c r="AX422" s="1"/>
      <c r="AY422" s="1"/>
    </row>
    <row r="423" spans="1:68" ht="19.95" customHeight="1">
      <c r="A423" s="199"/>
      <c r="B423" s="1277"/>
      <c r="C423" s="1277"/>
      <c r="D423" s="1277"/>
      <c r="E423" s="1277"/>
      <c r="F423" s="1277"/>
      <c r="G423" s="1277"/>
      <c r="H423" s="1277"/>
      <c r="I423" s="1277"/>
      <c r="J423" s="1277"/>
      <c r="K423" s="1277"/>
      <c r="L423" s="1277"/>
      <c r="M423" s="1277"/>
      <c r="N423" s="200"/>
      <c r="O423" s="199"/>
      <c r="P423" s="24"/>
      <c r="Q423" s="24"/>
      <c r="R423" s="398"/>
      <c r="S423" s="398"/>
      <c r="T423" s="398"/>
      <c r="U423" s="398"/>
      <c r="V423" s="398"/>
      <c r="W423" s="398"/>
      <c r="X423" s="398"/>
      <c r="Y423" s="398"/>
      <c r="Z423" s="398"/>
      <c r="AA423" s="398"/>
      <c r="AB423" s="200"/>
      <c r="AC423" s="1"/>
      <c r="AD423" s="1"/>
      <c r="AE423" s="1"/>
      <c r="AF423" s="1"/>
      <c r="AG423" s="1"/>
      <c r="AH423" s="1"/>
      <c r="AI423" s="1"/>
      <c r="AJ423" s="1"/>
      <c r="AK423" s="1"/>
      <c r="AL423" s="1"/>
      <c r="AM423" s="1"/>
      <c r="AN423" s="1"/>
      <c r="AO423" s="1"/>
      <c r="AP423" s="1"/>
      <c r="AQ423" s="1"/>
      <c r="AR423" s="1"/>
      <c r="AS423" s="1"/>
      <c r="AT423" s="1"/>
      <c r="AU423" s="1"/>
      <c r="AV423" s="1"/>
      <c r="AW423" s="1"/>
      <c r="AX423" s="1"/>
      <c r="AY423" s="1"/>
    </row>
    <row r="424" spans="1:68" ht="4.95" customHeight="1">
      <c r="A424" s="199"/>
      <c r="B424" s="24"/>
      <c r="C424" s="24"/>
      <c r="D424" s="24"/>
      <c r="E424" s="24"/>
      <c r="F424" s="24"/>
      <c r="G424" s="24"/>
      <c r="H424" s="24"/>
      <c r="I424" s="24"/>
      <c r="J424" s="24"/>
      <c r="K424" s="24"/>
      <c r="L424" s="24"/>
      <c r="M424" s="24"/>
      <c r="N424" s="200"/>
      <c r="O424" s="199"/>
      <c r="P424" s="24"/>
      <c r="Q424" s="24"/>
      <c r="R424" s="398"/>
      <c r="S424" s="398"/>
      <c r="T424" s="398"/>
      <c r="U424" s="398"/>
      <c r="V424" s="398"/>
      <c r="W424" s="398"/>
      <c r="X424" s="398"/>
      <c r="Y424" s="398"/>
      <c r="Z424" s="398"/>
      <c r="AA424" s="398"/>
      <c r="AB424" s="200"/>
      <c r="AC424" s="1"/>
      <c r="AD424" s="1"/>
      <c r="AE424" s="1"/>
      <c r="AF424" s="1"/>
      <c r="AG424" s="1"/>
      <c r="AH424" s="1"/>
      <c r="AI424" s="1"/>
      <c r="AJ424" s="1"/>
      <c r="AK424" s="1"/>
      <c r="AL424" s="1"/>
      <c r="AM424" s="1"/>
      <c r="AN424" s="1"/>
      <c r="AO424" s="1"/>
      <c r="AP424" s="1"/>
      <c r="AQ424" s="1"/>
      <c r="AR424" s="1"/>
      <c r="AS424" s="1"/>
      <c r="AT424" s="1"/>
      <c r="AU424" s="1"/>
      <c r="AV424" s="1"/>
      <c r="AW424" s="1"/>
      <c r="AX424" s="1"/>
      <c r="AY424" s="1"/>
    </row>
    <row r="425" spans="1:68" ht="30" customHeight="1">
      <c r="A425" s="210" t="s">
        <v>1148</v>
      </c>
      <c r="B425" s="579" t="s">
        <v>1648</v>
      </c>
      <c r="C425" s="582"/>
      <c r="D425" s="582"/>
      <c r="E425" s="375"/>
      <c r="F425" s="374"/>
      <c r="G425" s="373"/>
      <c r="H425" s="373"/>
      <c r="I425" s="373"/>
      <c r="J425" s="373"/>
      <c r="K425" s="373"/>
      <c r="L425" s="373"/>
      <c r="M425" s="373"/>
      <c r="N425" s="211" t="s">
        <v>1149</v>
      </c>
      <c r="O425" s="372"/>
      <c r="P425" s="374"/>
      <c r="Q425" s="373"/>
      <c r="R425" s="373"/>
      <c r="S425" s="373"/>
      <c r="T425" s="373"/>
      <c r="U425" s="373"/>
      <c r="V425" s="373"/>
      <c r="W425" s="373"/>
      <c r="X425" s="373"/>
      <c r="Y425" s="373"/>
      <c r="Z425" s="373"/>
      <c r="AA425" s="373"/>
      <c r="AB425" s="211" t="s">
        <v>1149</v>
      </c>
      <c r="AC425" s="577"/>
      <c r="AD425" s="577"/>
      <c r="AE425" s="577"/>
      <c r="AF425" s="577"/>
      <c r="AG425" s="577"/>
      <c r="AH425" s="577"/>
      <c r="AI425" s="577"/>
      <c r="AJ425" s="577"/>
      <c r="AK425" s="577"/>
      <c r="AL425" s="577"/>
      <c r="AM425" s="577"/>
      <c r="AN425" s="577"/>
      <c r="AO425" s="577"/>
      <c r="AP425" s="577"/>
      <c r="AQ425" s="577"/>
      <c r="AR425" s="577"/>
      <c r="AS425" s="577"/>
      <c r="AT425" s="577"/>
      <c r="AU425" s="577"/>
      <c r="AV425" s="577"/>
      <c r="AW425" s="577"/>
      <c r="AX425" s="577"/>
      <c r="AY425" s="577"/>
    </row>
    <row r="426" spans="1:68" ht="10.050000000000001" customHeight="1">
      <c r="A426" s="199"/>
      <c r="B426" s="24"/>
      <c r="C426" s="24"/>
      <c r="D426" s="24"/>
      <c r="E426" s="24"/>
      <c r="F426" s="24"/>
      <c r="G426" s="24"/>
      <c r="H426" s="24"/>
      <c r="I426" s="24"/>
      <c r="J426" s="24"/>
      <c r="K426" s="24"/>
      <c r="L426" s="24"/>
      <c r="M426" s="24"/>
      <c r="N426" s="200"/>
      <c r="O426" s="199"/>
      <c r="P426" s="24"/>
      <c r="Q426" s="24"/>
      <c r="R426" s="398"/>
      <c r="S426" s="398"/>
      <c r="T426" s="398"/>
      <c r="U426" s="398"/>
      <c r="V426" s="398"/>
      <c r="W426" s="398"/>
      <c r="X426" s="398"/>
      <c r="Y426" s="398"/>
      <c r="Z426" s="398"/>
      <c r="AA426" s="398"/>
      <c r="AB426" s="200"/>
      <c r="AC426" s="1"/>
      <c r="AD426" s="1"/>
      <c r="AE426" s="1"/>
      <c r="AF426" s="1"/>
      <c r="AG426" s="1"/>
      <c r="AH426" s="1"/>
      <c r="AI426" s="1"/>
      <c r="AJ426" s="1"/>
      <c r="AK426" s="1"/>
      <c r="AL426" s="1"/>
      <c r="AM426" s="1"/>
      <c r="AN426" s="1"/>
      <c r="AO426" s="1"/>
      <c r="AP426" s="1"/>
      <c r="AQ426" s="1"/>
      <c r="AR426" s="1"/>
      <c r="AS426" s="1"/>
      <c r="AT426" s="1"/>
      <c r="AU426" s="1"/>
      <c r="AV426" s="1"/>
      <c r="AW426" s="1"/>
      <c r="AX426" s="1"/>
      <c r="AY426" s="1"/>
    </row>
    <row r="427" spans="1:68" ht="19.95" customHeight="1">
      <c r="A427" s="199"/>
      <c r="B427" s="588" t="s">
        <v>1647</v>
      </c>
      <c r="C427" s="24"/>
      <c r="D427" s="24"/>
      <c r="E427" s="24"/>
      <c r="F427" s="24"/>
      <c r="G427" s="24"/>
      <c r="H427" s="24"/>
      <c r="I427" s="24"/>
      <c r="J427" s="24"/>
      <c r="K427" s="24"/>
      <c r="L427" s="24"/>
      <c r="M427" s="24"/>
      <c r="N427" s="200"/>
      <c r="O427" s="199"/>
      <c r="P427" s="24"/>
      <c r="Q427" s="24"/>
      <c r="R427" s="398"/>
      <c r="S427" s="398"/>
      <c r="T427" s="398"/>
      <c r="U427" s="398"/>
      <c r="V427" s="398"/>
      <c r="W427" s="398"/>
      <c r="X427" s="398"/>
      <c r="Y427" s="398"/>
      <c r="Z427" s="398"/>
      <c r="AA427" s="398"/>
      <c r="AB427" s="200"/>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BF427" s="459" t="str">
        <f>IF(OR($I$1094=0,$B$1124=""),BH427,BF429)</f>
        <v xml:space="preserve">Popular politics entices you and your client to stay shallow and alienated. You both are given a generalization to agree or disagree, with little room for nuance. If your client agrees it is good to help all immigrants, it may ease their alienation and loneliness. Since this pain-relief does not resolve the needs provoking such pain, your client's immigration-related pain persists. Your client risks staying shallow and alienated to cope with unending pain of their unresolved needs. Shift from that overgeneralizing binary to deeper understanding of your client's immigration-impacted needs.
</v>
      </c>
      <c r="BH427" s="465" t="s">
        <v>1829</v>
      </c>
    </row>
    <row r="428" spans="1:68" ht="10.050000000000001" customHeight="1">
      <c r="A428" s="199"/>
      <c r="B428" s="24"/>
      <c r="C428" s="24"/>
      <c r="D428" s="24"/>
      <c r="E428" s="24"/>
      <c r="F428" s="24"/>
      <c r="G428" s="24"/>
      <c r="H428" s="24"/>
      <c r="I428" s="24"/>
      <c r="J428" s="24"/>
      <c r="K428" s="24"/>
      <c r="L428" s="24"/>
      <c r="M428" s="24"/>
      <c r="N428" s="200"/>
      <c r="O428" s="199"/>
      <c r="P428" s="24"/>
      <c r="Q428" s="24"/>
      <c r="R428" s="398"/>
      <c r="S428" s="398"/>
      <c r="T428" s="398"/>
      <c r="U428" s="398"/>
      <c r="V428" s="398"/>
      <c r="W428" s="398"/>
      <c r="X428" s="398"/>
      <c r="Y428" s="398"/>
      <c r="Z428" s="398"/>
      <c r="AA428" s="398"/>
      <c r="AB428" s="200"/>
      <c r="AC428" s="1"/>
      <c r="AD428" s="1"/>
      <c r="AE428" s="1"/>
      <c r="AF428" s="1"/>
      <c r="AG428" s="1"/>
      <c r="AH428" s="1"/>
      <c r="AI428" s="1"/>
      <c r="AJ428" s="1"/>
      <c r="AK428" s="1"/>
      <c r="AL428" s="1"/>
      <c r="AM428" s="1"/>
      <c r="AN428" s="1"/>
      <c r="AO428" s="1"/>
      <c r="AP428" s="1"/>
      <c r="AQ428" s="1"/>
      <c r="AR428" s="1"/>
      <c r="AS428" s="1"/>
      <c r="AT428" s="1"/>
      <c r="AU428" s="1"/>
      <c r="AV428" s="1"/>
      <c r="AW428" s="1"/>
      <c r="AX428" s="1"/>
      <c r="AY428" s="1"/>
    </row>
    <row r="429" spans="1:68" ht="22.05" customHeight="1">
      <c r="A429" s="199"/>
      <c r="B429" s="1299" t="str">
        <f>BF427</f>
        <v xml:space="preserve">Popular politics entices you and your client to stay shallow and alienated. You both are given a generalization to agree or disagree, with little room for nuance. If your client agrees it is good to help all immigrants, it may ease their alienation and loneliness. Since this pain-relief does not resolve the needs provoking such pain, your client's immigration-related pain persists. Your client risks staying shallow and alienated to cope with unending pain of their unresolved needs. Shift from that overgeneralizing binary to deeper understanding of your client's immigration-impacted needs.
</v>
      </c>
      <c r="C429" s="1299"/>
      <c r="D429" s="1299"/>
      <c r="E429" s="1299"/>
      <c r="F429" s="1299"/>
      <c r="G429" s="1299"/>
      <c r="H429" s="1299"/>
      <c r="I429" s="1299"/>
      <c r="J429" s="1299"/>
      <c r="K429" s="1299"/>
      <c r="L429" s="1299"/>
      <c r="M429" s="1299"/>
      <c r="N429" s="200"/>
      <c r="O429" s="199"/>
      <c r="P429" s="24"/>
      <c r="Q429" s="24"/>
      <c r="R429" s="398"/>
      <c r="S429" s="398"/>
      <c r="T429" s="398"/>
      <c r="U429" s="398"/>
      <c r="V429" s="398"/>
      <c r="W429" s="398"/>
      <c r="X429" s="398"/>
      <c r="Y429" s="398"/>
      <c r="Z429" s="398"/>
      <c r="AA429" s="398"/>
      <c r="AB429" s="200"/>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BF429" s="459" t="str">
        <f>CONCATENATE(BH429,BI429,BJ429,BK429,BL429,BM429,BN429,BK430,BL430,BM430,BN430)</f>
        <v xml:space="preserve">Popular politics entices you and your client to stay shallow and alienated. You both are given a generalization to agree or disagree, with little room for nuance. If your client agrees it is good to help all immigrants, it may ease their alienation and loneliness. Since this pain-relief does not resolve the needs provoking such pain, your client's immigration-related pain persists. Your client risks staying shallow and alienated to cope with unending pain of their unresolved needs. Shift from that overgeneralizing binary to deeper understanding of your client's immigration-impacted needs.
</v>
      </c>
      <c r="BH429" s="465" t="s">
        <v>1963</v>
      </c>
      <c r="BI429" s="2" t="str">
        <f>R1122</f>
        <v>help all immigrants</v>
      </c>
      <c r="BJ429" s="465" t="s">
        <v>1962</v>
      </c>
      <c r="BK429" s="2" t="str">
        <f>X1122</f>
        <v>alienation</v>
      </c>
      <c r="BL429" s="465" t="s">
        <v>1378</v>
      </c>
      <c r="BM429" s="2" t="str">
        <f>Z1122</f>
        <v>loneliness</v>
      </c>
      <c r="BN429" s="465" t="s">
        <v>1686</v>
      </c>
    </row>
    <row r="430" spans="1:68" ht="22.05" customHeight="1">
      <c r="A430" s="199"/>
      <c r="B430" s="1299"/>
      <c r="C430" s="1299"/>
      <c r="D430" s="1299"/>
      <c r="E430" s="1299"/>
      <c r="F430" s="1299"/>
      <c r="G430" s="1299"/>
      <c r="H430" s="1299"/>
      <c r="I430" s="1299"/>
      <c r="J430" s="1299"/>
      <c r="K430" s="1299"/>
      <c r="L430" s="1299"/>
      <c r="M430" s="1299"/>
      <c r="N430" s="200"/>
      <c r="O430" s="199"/>
      <c r="P430" s="24"/>
      <c r="Q430" s="24"/>
      <c r="R430" s="398"/>
      <c r="S430" s="398"/>
      <c r="T430" s="398"/>
      <c r="U430" s="398"/>
      <c r="V430" s="398"/>
      <c r="W430" s="398"/>
      <c r="X430" s="398"/>
      <c r="Y430" s="398"/>
      <c r="Z430" s="398"/>
      <c r="AA430" s="398"/>
      <c r="AB430" s="200"/>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BK430" s="2" t="str">
        <f>D1124</f>
        <v>immigration</v>
      </c>
      <c r="BL430" s="466" t="s">
        <v>1687</v>
      </c>
      <c r="BM430" s="2" t="str">
        <f>D1124</f>
        <v>immigration</v>
      </c>
      <c r="BN430" s="466" t="s">
        <v>1688</v>
      </c>
    </row>
    <row r="431" spans="1:68" ht="22.05" customHeight="1">
      <c r="A431" s="199"/>
      <c r="B431" s="1299"/>
      <c r="C431" s="1299"/>
      <c r="D431" s="1299"/>
      <c r="E431" s="1299"/>
      <c r="F431" s="1299"/>
      <c r="G431" s="1299"/>
      <c r="H431" s="1299"/>
      <c r="I431" s="1299"/>
      <c r="J431" s="1299"/>
      <c r="K431" s="1299"/>
      <c r="L431" s="1299"/>
      <c r="M431" s="1299"/>
      <c r="N431" s="200"/>
      <c r="O431" s="199"/>
      <c r="P431" s="24"/>
      <c r="Q431" s="24"/>
      <c r="R431" s="398"/>
      <c r="S431" s="398"/>
      <c r="T431" s="398"/>
      <c r="U431" s="398"/>
      <c r="V431" s="398"/>
      <c r="W431" s="398"/>
      <c r="X431" s="398"/>
      <c r="Y431" s="398"/>
      <c r="Z431" s="398"/>
      <c r="AA431" s="398"/>
      <c r="AB431" s="200"/>
      <c r="AC431" s="1"/>
      <c r="AD431" s="1"/>
      <c r="AE431" s="1"/>
      <c r="AF431" s="1"/>
      <c r="AG431" s="1"/>
      <c r="AH431" s="1"/>
      <c r="AI431" s="1"/>
      <c r="AJ431" s="1"/>
      <c r="AK431" s="1"/>
      <c r="AL431" s="1"/>
      <c r="AM431" s="1"/>
      <c r="AN431" s="1"/>
      <c r="AO431" s="1"/>
      <c r="AP431" s="1"/>
      <c r="AQ431" s="1"/>
      <c r="AR431" s="1"/>
      <c r="AS431" s="1"/>
      <c r="AT431" s="1"/>
      <c r="AU431" s="1"/>
      <c r="AV431" s="1"/>
      <c r="AW431" s="1"/>
      <c r="AX431" s="1"/>
      <c r="AY431" s="1"/>
    </row>
    <row r="432" spans="1:68" ht="22.05" customHeight="1">
      <c r="A432" s="199"/>
      <c r="B432" s="1299"/>
      <c r="C432" s="1299"/>
      <c r="D432" s="1299"/>
      <c r="E432" s="1299"/>
      <c r="F432" s="1299"/>
      <c r="G432" s="1299"/>
      <c r="H432" s="1299"/>
      <c r="I432" s="1299"/>
      <c r="J432" s="1299"/>
      <c r="K432" s="1299"/>
      <c r="L432" s="1299"/>
      <c r="M432" s="1299"/>
      <c r="N432" s="200"/>
      <c r="O432" s="199"/>
      <c r="P432" s="24"/>
      <c r="Q432" s="24"/>
      <c r="R432" s="398"/>
      <c r="S432" s="398"/>
      <c r="T432" s="398"/>
      <c r="U432" s="398"/>
      <c r="V432" s="398"/>
      <c r="W432" s="398"/>
      <c r="X432" s="398"/>
      <c r="Y432" s="398"/>
      <c r="Z432" s="398"/>
      <c r="AA432" s="398"/>
      <c r="AB432" s="200"/>
      <c r="AC432" s="1"/>
      <c r="AD432" s="1"/>
      <c r="AE432" s="1"/>
      <c r="AF432" s="1"/>
      <c r="AG432" s="1"/>
      <c r="AH432" s="1"/>
      <c r="AI432" s="1"/>
      <c r="AJ432" s="1"/>
      <c r="AK432" s="1"/>
      <c r="AL432" s="1"/>
      <c r="AM432" s="1"/>
      <c r="AN432" s="1"/>
      <c r="AO432" s="1"/>
      <c r="AP432" s="1"/>
      <c r="AQ432" s="1"/>
      <c r="AR432" s="1"/>
      <c r="AS432" s="1"/>
      <c r="AT432" s="1"/>
      <c r="AU432" s="1"/>
      <c r="AV432" s="1"/>
      <c r="AW432" s="1"/>
      <c r="AX432" s="1"/>
      <c r="AY432" s="1"/>
    </row>
    <row r="433" spans="1:65" ht="22.05" customHeight="1">
      <c r="A433" s="199"/>
      <c r="B433" s="1299"/>
      <c r="C433" s="1299"/>
      <c r="D433" s="1299"/>
      <c r="E433" s="1299"/>
      <c r="F433" s="1299"/>
      <c r="G433" s="1299"/>
      <c r="H433" s="1299"/>
      <c r="I433" s="1299"/>
      <c r="J433" s="1299"/>
      <c r="K433" s="1299"/>
      <c r="L433" s="1299"/>
      <c r="M433" s="1299"/>
      <c r="N433" s="200"/>
      <c r="O433" s="199"/>
      <c r="P433" s="24"/>
      <c r="Q433" s="24"/>
      <c r="R433" s="398"/>
      <c r="S433" s="398"/>
      <c r="T433" s="398"/>
      <c r="U433" s="398"/>
      <c r="V433" s="398"/>
      <c r="W433" s="398"/>
      <c r="X433" s="398"/>
      <c r="Y433" s="398"/>
      <c r="Z433" s="398"/>
      <c r="AA433" s="398"/>
      <c r="AB433" s="200"/>
      <c r="AC433" s="1"/>
      <c r="AD433" s="1"/>
      <c r="AE433" s="1"/>
      <c r="AF433" s="1"/>
      <c r="AG433" s="1"/>
      <c r="AH433" s="1"/>
      <c r="AI433" s="1"/>
      <c r="AJ433" s="1"/>
      <c r="AK433" s="1"/>
      <c r="AL433" s="1"/>
      <c r="AM433" s="1"/>
      <c r="AN433" s="1"/>
      <c r="AO433" s="1"/>
      <c r="AP433" s="1"/>
      <c r="AQ433" s="1"/>
      <c r="AR433" s="1"/>
      <c r="AS433" s="1"/>
      <c r="AT433" s="1"/>
      <c r="AU433" s="1"/>
      <c r="AV433" s="1"/>
      <c r="AW433" s="1"/>
      <c r="AX433" s="1"/>
      <c r="AY433" s="1"/>
    </row>
    <row r="434" spans="1:65" ht="22.05" customHeight="1">
      <c r="A434" s="199"/>
      <c r="B434" s="1299"/>
      <c r="C434" s="1299"/>
      <c r="D434" s="1299"/>
      <c r="E434" s="1299"/>
      <c r="F434" s="1299"/>
      <c r="G434" s="1299"/>
      <c r="H434" s="1299"/>
      <c r="I434" s="1299"/>
      <c r="J434" s="1299"/>
      <c r="K434" s="1299"/>
      <c r="L434" s="1299"/>
      <c r="M434" s="1299"/>
      <c r="N434" s="200"/>
      <c r="O434" s="199"/>
      <c r="P434" s="24"/>
      <c r="Q434" s="24"/>
      <c r="R434" s="398"/>
      <c r="S434" s="398"/>
      <c r="T434" s="398"/>
      <c r="U434" s="398"/>
      <c r="V434" s="398"/>
      <c r="W434" s="398"/>
      <c r="X434" s="398"/>
      <c r="Y434" s="398"/>
      <c r="Z434" s="398"/>
      <c r="AA434" s="398"/>
      <c r="AB434" s="200"/>
      <c r="AC434" s="1"/>
      <c r="AD434" s="1"/>
      <c r="AE434" s="1"/>
      <c r="AF434" s="1"/>
      <c r="AG434" s="1"/>
      <c r="AH434" s="1"/>
      <c r="AI434" s="1"/>
      <c r="AJ434" s="1"/>
      <c r="AK434" s="1"/>
      <c r="AL434" s="1"/>
      <c r="AM434" s="1"/>
      <c r="AN434" s="1"/>
      <c r="AO434" s="1"/>
      <c r="AP434" s="1"/>
      <c r="AQ434" s="1"/>
      <c r="AR434" s="1"/>
      <c r="AS434" s="1"/>
      <c r="AT434" s="1"/>
      <c r="AU434" s="1"/>
      <c r="AV434" s="1"/>
      <c r="AW434" s="1"/>
      <c r="AX434" s="1"/>
      <c r="AY434" s="1"/>
    </row>
    <row r="435" spans="1:65" ht="4.95" customHeight="1">
      <c r="A435" s="199"/>
      <c r="B435" s="468"/>
      <c r="C435" s="468"/>
      <c r="D435" s="468"/>
      <c r="E435" s="468"/>
      <c r="F435" s="468"/>
      <c r="G435" s="468"/>
      <c r="H435" s="468"/>
      <c r="I435" s="468"/>
      <c r="J435" s="468"/>
      <c r="K435" s="468"/>
      <c r="L435" s="468"/>
      <c r="M435" s="468"/>
      <c r="N435" s="200"/>
      <c r="O435" s="199"/>
      <c r="P435" s="24"/>
      <c r="Q435" s="24"/>
      <c r="R435" s="398"/>
      <c r="S435" s="398"/>
      <c r="T435" s="398"/>
      <c r="U435" s="398"/>
      <c r="V435" s="398"/>
      <c r="W435" s="398"/>
      <c r="X435" s="398"/>
      <c r="Y435" s="398"/>
      <c r="Z435" s="398"/>
      <c r="AA435" s="398"/>
      <c r="AB435" s="200"/>
      <c r="AC435" s="1"/>
      <c r="AD435" s="1"/>
      <c r="AE435" s="1"/>
      <c r="AF435" s="1"/>
      <c r="AG435" s="1"/>
      <c r="AH435" s="1"/>
      <c r="AI435" s="1"/>
      <c r="AJ435" s="1"/>
      <c r="AK435" s="1"/>
      <c r="AL435" s="1"/>
      <c r="AM435" s="1"/>
      <c r="AN435" s="1"/>
      <c r="AO435" s="1"/>
      <c r="AP435" s="1"/>
      <c r="AQ435" s="1"/>
      <c r="AR435" s="1"/>
      <c r="AS435" s="1"/>
      <c r="AT435" s="1"/>
      <c r="AU435" s="1"/>
      <c r="AV435" s="1"/>
      <c r="AW435" s="1"/>
      <c r="AX435" s="1"/>
      <c r="AY435" s="1"/>
    </row>
    <row r="436" spans="1:65" ht="18" customHeight="1">
      <c r="A436" s="199"/>
      <c r="B436" s="24"/>
      <c r="C436" s="24"/>
      <c r="D436" s="24"/>
      <c r="E436" s="24"/>
      <c r="F436" s="24"/>
      <c r="G436" s="24"/>
      <c r="H436" s="24"/>
      <c r="I436" s="24"/>
      <c r="J436" s="24"/>
      <c r="K436" s="24"/>
      <c r="L436" s="24"/>
      <c r="M436" s="24"/>
      <c r="N436" s="200"/>
      <c r="O436" s="199"/>
      <c r="P436" s="24"/>
      <c r="Q436" s="24"/>
      <c r="R436" s="398"/>
      <c r="S436" s="398"/>
      <c r="T436" s="398"/>
      <c r="U436" s="398"/>
      <c r="V436" s="398"/>
      <c r="W436" s="398"/>
      <c r="X436" s="398"/>
      <c r="Y436" s="398"/>
      <c r="Z436" s="398"/>
      <c r="AA436" s="398"/>
      <c r="AB436" s="200"/>
      <c r="AC436" s="1"/>
      <c r="AD436" s="1"/>
      <c r="AE436" s="1"/>
      <c r="AF436" s="1"/>
      <c r="AG436" s="1"/>
      <c r="AH436" s="1"/>
      <c r="AI436" s="1"/>
      <c r="AJ436" s="1"/>
      <c r="AK436" s="1"/>
      <c r="AL436" s="1"/>
      <c r="AM436" s="1"/>
      <c r="AN436" s="1"/>
      <c r="AO436" s="1"/>
      <c r="AP436" s="1"/>
      <c r="AQ436" s="1"/>
      <c r="AR436" s="1"/>
      <c r="AS436" s="1"/>
      <c r="AT436" s="1"/>
      <c r="AU436" s="1"/>
      <c r="AV436" s="1"/>
      <c r="AW436" s="1"/>
      <c r="AX436" s="1"/>
      <c r="AY436" s="1"/>
    </row>
    <row r="437" spans="1:65" ht="18" customHeight="1">
      <c r="A437" s="199"/>
      <c r="B437" s="24"/>
      <c r="C437" s="24"/>
      <c r="D437" s="24"/>
      <c r="E437" s="24"/>
      <c r="F437" s="24"/>
      <c r="G437" s="24"/>
      <c r="H437" s="24"/>
      <c r="I437" s="24"/>
      <c r="J437" s="24"/>
      <c r="K437" s="24"/>
      <c r="L437" s="24"/>
      <c r="M437" s="24"/>
      <c r="N437" s="200"/>
      <c r="O437" s="199"/>
      <c r="P437" s="24"/>
      <c r="Q437" s="24"/>
      <c r="R437" s="398"/>
      <c r="S437" s="398"/>
      <c r="T437" s="398"/>
      <c r="U437" s="398"/>
      <c r="V437" s="398"/>
      <c r="W437" s="398"/>
      <c r="X437" s="398"/>
      <c r="Y437" s="398"/>
      <c r="Z437" s="398"/>
      <c r="AA437" s="398"/>
      <c r="AB437" s="200"/>
      <c r="AC437" s="1"/>
      <c r="AD437" s="1"/>
      <c r="AE437" s="1"/>
      <c r="AF437" s="1"/>
      <c r="AG437" s="1"/>
      <c r="AH437" s="1"/>
      <c r="AI437" s="1"/>
      <c r="AJ437" s="1"/>
      <c r="AK437" s="1"/>
      <c r="AL437" s="1"/>
      <c r="AM437" s="1"/>
      <c r="AN437" s="1"/>
      <c r="AO437" s="1"/>
      <c r="AP437" s="1"/>
      <c r="AQ437" s="1"/>
      <c r="AR437" s="1"/>
      <c r="AS437" s="1"/>
      <c r="AT437" s="1"/>
      <c r="AU437" s="1"/>
      <c r="AV437" s="1"/>
      <c r="AW437" s="1"/>
      <c r="AX437" s="1"/>
      <c r="AY437" s="1"/>
    </row>
    <row r="438" spans="1:65" ht="18" customHeight="1">
      <c r="A438" s="199"/>
      <c r="B438" s="24"/>
      <c r="C438" s="24"/>
      <c r="D438" s="24"/>
      <c r="E438" s="24"/>
      <c r="F438" s="24"/>
      <c r="G438" s="24"/>
      <c r="H438" s="24"/>
      <c r="I438" s="24"/>
      <c r="J438" s="24"/>
      <c r="K438" s="24"/>
      <c r="L438" s="24"/>
      <c r="M438" s="24"/>
      <c r="N438" s="200"/>
      <c r="O438" s="199"/>
      <c r="P438" s="24"/>
      <c r="Q438" s="24"/>
      <c r="R438" s="398"/>
      <c r="S438" s="398"/>
      <c r="T438" s="398"/>
      <c r="U438" s="398"/>
      <c r="V438" s="398"/>
      <c r="W438" s="398"/>
      <c r="X438" s="398"/>
      <c r="Y438" s="398"/>
      <c r="Z438" s="398"/>
      <c r="AA438" s="398"/>
      <c r="AB438" s="200"/>
      <c r="AC438" s="1"/>
      <c r="AD438" s="1"/>
      <c r="AE438" s="1"/>
      <c r="AF438" s="1"/>
      <c r="AG438" s="1"/>
      <c r="AH438" s="1"/>
      <c r="AI438" s="1"/>
      <c r="AJ438" s="1"/>
      <c r="AK438" s="1"/>
      <c r="AL438" s="1"/>
      <c r="AM438" s="1"/>
      <c r="AN438" s="1"/>
      <c r="AO438" s="1"/>
      <c r="AP438" s="1"/>
      <c r="AQ438" s="1"/>
      <c r="AR438" s="1"/>
      <c r="AS438" s="1"/>
      <c r="AT438" s="1"/>
      <c r="AU438" s="1"/>
      <c r="AV438" s="1"/>
      <c r="AW438" s="1"/>
      <c r="AX438" s="1"/>
      <c r="AY438" s="1"/>
    </row>
    <row r="439" spans="1:65" ht="18" customHeight="1">
      <c r="A439" s="199"/>
      <c r="B439" s="24"/>
      <c r="C439" s="24"/>
      <c r="D439" s="24"/>
      <c r="E439" s="24"/>
      <c r="F439" s="24"/>
      <c r="G439" s="24"/>
      <c r="H439" s="24"/>
      <c r="I439" s="24"/>
      <c r="J439" s="24"/>
      <c r="K439" s="24"/>
      <c r="L439" s="24"/>
      <c r="M439" s="24"/>
      <c r="N439" s="200"/>
      <c r="O439" s="199"/>
      <c r="P439" s="24"/>
      <c r="Q439" s="24"/>
      <c r="R439" s="398"/>
      <c r="S439" s="398"/>
      <c r="T439" s="398"/>
      <c r="U439" s="398"/>
      <c r="V439" s="398"/>
      <c r="W439" s="398"/>
      <c r="X439" s="398"/>
      <c r="Y439" s="398"/>
      <c r="Z439" s="398"/>
      <c r="AA439" s="398"/>
      <c r="AB439" s="200"/>
      <c r="AC439" s="1"/>
      <c r="AD439" s="1"/>
      <c r="AE439" s="1"/>
      <c r="AF439" s="1"/>
      <c r="AG439" s="1"/>
      <c r="AH439" s="1"/>
      <c r="AI439" s="1"/>
      <c r="AJ439" s="1"/>
      <c r="AK439" s="1"/>
      <c r="AL439" s="1"/>
      <c r="AM439" s="1"/>
      <c r="AN439" s="1"/>
      <c r="AO439" s="1"/>
      <c r="AP439" s="1"/>
      <c r="AQ439" s="1"/>
      <c r="AR439" s="1"/>
      <c r="AS439" s="1"/>
      <c r="AT439" s="1"/>
      <c r="AU439" s="1"/>
      <c r="AV439" s="1"/>
      <c r="AW439" s="1"/>
      <c r="AX439" s="1"/>
      <c r="AY439" s="1"/>
    </row>
    <row r="440" spans="1:65" ht="18" customHeight="1">
      <c r="A440" s="199"/>
      <c r="B440" s="24"/>
      <c r="C440" s="24"/>
      <c r="D440" s="24"/>
      <c r="E440" s="24"/>
      <c r="F440" s="24"/>
      <c r="G440" s="24"/>
      <c r="H440" s="24"/>
      <c r="I440" s="24"/>
      <c r="J440" s="24"/>
      <c r="K440" s="24"/>
      <c r="L440" s="24"/>
      <c r="M440" s="24"/>
      <c r="N440" s="200"/>
      <c r="O440" s="199"/>
      <c r="P440" s="24"/>
      <c r="Q440" s="24"/>
      <c r="R440" s="398"/>
      <c r="S440" s="398"/>
      <c r="T440" s="398"/>
      <c r="U440" s="398"/>
      <c r="V440" s="398"/>
      <c r="W440" s="398"/>
      <c r="X440" s="398"/>
      <c r="Y440" s="398"/>
      <c r="Z440" s="398"/>
      <c r="AA440" s="398"/>
      <c r="AB440" s="200"/>
      <c r="AC440" s="1"/>
      <c r="AD440" s="1"/>
      <c r="AE440" s="1"/>
      <c r="AF440" s="1"/>
      <c r="AG440" s="1"/>
      <c r="AH440" s="1"/>
      <c r="AI440" s="1"/>
      <c r="AJ440" s="1"/>
      <c r="AK440" s="1"/>
      <c r="AL440" s="1"/>
      <c r="AM440" s="1"/>
      <c r="AN440" s="1"/>
      <c r="AO440" s="1"/>
      <c r="AP440" s="1"/>
      <c r="AQ440" s="1"/>
      <c r="AR440" s="1"/>
      <c r="AS440" s="1"/>
      <c r="AT440" s="1"/>
      <c r="AU440" s="1"/>
      <c r="AV440" s="1"/>
      <c r="AW440" s="1"/>
      <c r="AX440" s="1"/>
      <c r="AY440" s="1"/>
    </row>
    <row r="441" spans="1:65" ht="18" customHeight="1">
      <c r="A441" s="199"/>
      <c r="B441" s="24"/>
      <c r="C441" s="24"/>
      <c r="D441" s="24"/>
      <c r="E441" s="24"/>
      <c r="F441" s="24"/>
      <c r="G441" s="24"/>
      <c r="H441" s="24"/>
      <c r="I441" s="24"/>
      <c r="J441" s="24"/>
      <c r="K441" s="24"/>
      <c r="L441" s="24"/>
      <c r="M441" s="24"/>
      <c r="N441" s="200"/>
      <c r="O441" s="199"/>
      <c r="P441" s="24"/>
      <c r="Q441" s="24"/>
      <c r="R441" s="398"/>
      <c r="S441" s="398"/>
      <c r="T441" s="398"/>
      <c r="U441" s="398"/>
      <c r="V441" s="398"/>
      <c r="W441" s="398"/>
      <c r="X441" s="398"/>
      <c r="Y441" s="398"/>
      <c r="Z441" s="398"/>
      <c r="AA441" s="398"/>
      <c r="AB441" s="200"/>
      <c r="AC441" s="1"/>
      <c r="AD441" s="1"/>
      <c r="AE441" s="1"/>
      <c r="AF441" s="1"/>
      <c r="AG441" s="1"/>
      <c r="AH441" s="1"/>
      <c r="AI441" s="1"/>
      <c r="AJ441" s="1"/>
      <c r="AK441" s="1"/>
      <c r="AL441" s="1"/>
      <c r="AM441" s="1"/>
      <c r="AN441" s="1"/>
      <c r="AO441" s="1"/>
      <c r="AP441" s="1"/>
      <c r="AQ441" s="1"/>
      <c r="AR441" s="1"/>
      <c r="AS441" s="1"/>
      <c r="AT441" s="1"/>
      <c r="AU441" s="1"/>
      <c r="AV441" s="1"/>
      <c r="AW441" s="1"/>
      <c r="AX441" s="1"/>
      <c r="AY441" s="1"/>
    </row>
    <row r="442" spans="1:65" ht="18" customHeight="1">
      <c r="A442" s="199"/>
      <c r="B442" s="24"/>
      <c r="C442" s="24"/>
      <c r="D442" s="24"/>
      <c r="E442" s="24"/>
      <c r="F442" s="24"/>
      <c r="G442" s="24"/>
      <c r="H442" s="24"/>
      <c r="I442" s="24"/>
      <c r="J442" s="24"/>
      <c r="K442" s="24"/>
      <c r="L442" s="24"/>
      <c r="M442" s="24"/>
      <c r="N442" s="200"/>
      <c r="O442" s="199"/>
      <c r="P442" s="24"/>
      <c r="Q442" s="24"/>
      <c r="R442" s="398"/>
      <c r="S442" s="398"/>
      <c r="T442" s="398"/>
      <c r="U442" s="398"/>
      <c r="V442" s="398"/>
      <c r="W442" s="398"/>
      <c r="X442" s="398"/>
      <c r="Y442" s="398"/>
      <c r="Z442" s="398"/>
      <c r="AA442" s="398"/>
      <c r="AB442" s="200"/>
      <c r="AC442" s="1"/>
      <c r="AD442" s="1"/>
      <c r="AE442" s="1"/>
      <c r="AF442" s="1"/>
      <c r="AG442" s="1"/>
      <c r="AH442" s="1"/>
      <c r="AI442" s="1"/>
      <c r="AJ442" s="1"/>
      <c r="AK442" s="1"/>
      <c r="AL442" s="1"/>
      <c r="AM442" s="1"/>
      <c r="AN442" s="1"/>
      <c r="AO442" s="1"/>
      <c r="AP442" s="1"/>
      <c r="AQ442" s="1"/>
      <c r="AR442" s="1"/>
      <c r="AS442" s="1"/>
      <c r="AT442" s="1"/>
      <c r="AU442" s="1"/>
      <c r="AV442" s="1"/>
      <c r="AW442" s="1"/>
      <c r="AX442" s="1"/>
      <c r="AY442" s="1"/>
    </row>
    <row r="443" spans="1:65" ht="18" customHeight="1">
      <c r="A443" s="199"/>
      <c r="B443" s="24"/>
      <c r="C443" s="24"/>
      <c r="D443" s="24"/>
      <c r="E443" s="24"/>
      <c r="F443" s="24"/>
      <c r="G443" s="24"/>
      <c r="H443" s="24"/>
      <c r="I443" s="24"/>
      <c r="J443" s="24"/>
      <c r="K443" s="24"/>
      <c r="L443" s="24"/>
      <c r="M443" s="24"/>
      <c r="N443" s="200"/>
      <c r="O443" s="199"/>
      <c r="P443" s="24"/>
      <c r="Q443" s="24"/>
      <c r="R443" s="398"/>
      <c r="S443" s="398"/>
      <c r="T443" s="398"/>
      <c r="U443" s="398"/>
      <c r="V443" s="398"/>
      <c r="W443" s="398"/>
      <c r="X443" s="398"/>
      <c r="Y443" s="398"/>
      <c r="Z443" s="398"/>
      <c r="AA443" s="398"/>
      <c r="AB443" s="200"/>
      <c r="AC443" s="1"/>
      <c r="AD443" s="1"/>
      <c r="AE443" s="1"/>
      <c r="AF443" s="1"/>
      <c r="AG443" s="1"/>
      <c r="AH443" s="1"/>
      <c r="AI443" s="1"/>
      <c r="AJ443" s="1"/>
      <c r="AK443" s="1"/>
      <c r="AL443" s="1"/>
      <c r="AM443" s="1"/>
      <c r="AN443" s="1"/>
      <c r="AO443" s="1"/>
      <c r="AP443" s="1"/>
      <c r="AQ443" s="1"/>
      <c r="AR443" s="1"/>
      <c r="AS443" s="1"/>
      <c r="AT443" s="1"/>
      <c r="AU443" s="1"/>
      <c r="AV443" s="1"/>
      <c r="AW443" s="1"/>
      <c r="AX443" s="1"/>
      <c r="AY443" s="1"/>
    </row>
    <row r="444" spans="1:65" ht="18" customHeight="1">
      <c r="A444" s="199"/>
      <c r="B444" s="24"/>
      <c r="C444" s="24"/>
      <c r="D444" s="24"/>
      <c r="E444" s="24"/>
      <c r="F444" s="24"/>
      <c r="G444" s="24"/>
      <c r="H444" s="24"/>
      <c r="I444" s="24"/>
      <c r="J444" s="24"/>
      <c r="K444" s="24"/>
      <c r="L444" s="24"/>
      <c r="M444" s="24"/>
      <c r="N444" s="200"/>
      <c r="O444" s="199"/>
      <c r="P444" s="24"/>
      <c r="Q444" s="24"/>
      <c r="R444" s="398"/>
      <c r="S444" s="398"/>
      <c r="T444" s="398"/>
      <c r="U444" s="398"/>
      <c r="V444" s="398"/>
      <c r="W444" s="398"/>
      <c r="X444" s="398"/>
      <c r="Y444" s="398"/>
      <c r="Z444" s="398"/>
      <c r="AA444" s="398"/>
      <c r="AB444" s="200"/>
      <c r="AC444" s="1"/>
      <c r="AD444" s="1"/>
      <c r="AE444" s="1"/>
      <c r="AF444" s="1"/>
      <c r="AG444" s="1"/>
      <c r="AH444" s="1"/>
      <c r="AI444" s="1"/>
      <c r="AJ444" s="1"/>
      <c r="AK444" s="1"/>
      <c r="AL444" s="1"/>
      <c r="AM444" s="1"/>
      <c r="AN444" s="1"/>
      <c r="AO444" s="1"/>
      <c r="AP444" s="1"/>
      <c r="AQ444" s="1"/>
      <c r="AR444" s="1"/>
      <c r="AS444" s="1"/>
      <c r="AT444" s="1"/>
      <c r="AU444" s="1"/>
      <c r="AV444" s="1"/>
      <c r="AW444" s="1"/>
      <c r="AX444" s="1"/>
      <c r="AY444" s="1"/>
    </row>
    <row r="445" spans="1:65" ht="16.95" customHeight="1">
      <c r="A445" s="199"/>
      <c r="B445" s="24"/>
      <c r="C445" s="24"/>
      <c r="D445" s="24"/>
      <c r="E445" s="24"/>
      <c r="F445" s="24"/>
      <c r="G445" s="24"/>
      <c r="H445" s="24"/>
      <c r="I445" s="24"/>
      <c r="J445" s="24"/>
      <c r="K445" s="24"/>
      <c r="L445" s="24"/>
      <c r="M445" s="24"/>
      <c r="N445" s="200"/>
      <c r="O445" s="199"/>
      <c r="P445" s="24"/>
      <c r="Q445" s="24"/>
      <c r="R445" s="398"/>
      <c r="S445" s="398"/>
      <c r="T445" s="398"/>
      <c r="U445" s="398"/>
      <c r="V445" s="398"/>
      <c r="W445" s="398"/>
      <c r="X445" s="398"/>
      <c r="Y445" s="398"/>
      <c r="Z445" s="398"/>
      <c r="AA445" s="398"/>
      <c r="AB445" s="200"/>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BF445" s="459" t="str">
        <f>IF(OR($I$1094=0,$I$1096=0,$B$1124=""),BH445,BF447)</f>
        <v>Harmony Politics encourages you to go deep and connect with your client's and anyone's political views. Instead of arguing a stance for easy entry or against vetted entry, or some similar generalization for relief, you help them identify and express their specific immigration-affected needs. You guide them to see how their unique situation prompts them to help all immigrants over attempts to build a wall. After seeing why each side prioritizes their particular needs, your client can appreciate politics is relative to needs. Then they can go deep and connect with political others, just as you went deep and connected with them. They can empathize with an opposing priority of needs, in the name of love.</v>
      </c>
      <c r="BH445" s="465" t="s">
        <v>1830</v>
      </c>
    </row>
    <row r="446" spans="1:65" ht="4.95" customHeight="1">
      <c r="A446" s="199"/>
      <c r="B446" s="24"/>
      <c r="C446" s="24"/>
      <c r="D446" s="24"/>
      <c r="E446" s="24"/>
      <c r="F446" s="24"/>
      <c r="G446" s="24"/>
      <c r="H446" s="24"/>
      <c r="I446" s="24"/>
      <c r="J446" s="24"/>
      <c r="K446" s="24"/>
      <c r="L446" s="24"/>
      <c r="M446" s="24"/>
      <c r="N446" s="200"/>
      <c r="O446" s="199"/>
      <c r="P446" s="24"/>
      <c r="Q446" s="24"/>
      <c r="R446" s="398"/>
      <c r="S446" s="398"/>
      <c r="T446" s="398"/>
      <c r="U446" s="398"/>
      <c r="V446" s="398"/>
      <c r="W446" s="398"/>
      <c r="X446" s="398"/>
      <c r="Y446" s="398"/>
      <c r="Z446" s="398"/>
      <c r="AA446" s="398"/>
      <c r="AB446" s="200"/>
      <c r="AC446" s="1"/>
      <c r="AD446" s="1"/>
      <c r="AE446" s="1"/>
      <c r="AF446" s="1"/>
      <c r="AG446" s="1"/>
      <c r="AH446" s="1"/>
      <c r="AI446" s="1"/>
      <c r="AJ446" s="1"/>
      <c r="AK446" s="1"/>
      <c r="AL446" s="1"/>
      <c r="AM446" s="1"/>
      <c r="AN446" s="1"/>
      <c r="AO446" s="1"/>
      <c r="AP446" s="1"/>
      <c r="AQ446" s="1"/>
      <c r="AR446" s="1"/>
      <c r="AS446" s="1"/>
      <c r="AT446" s="1"/>
      <c r="AU446" s="1"/>
      <c r="AV446" s="1"/>
      <c r="AW446" s="1"/>
      <c r="AX446" s="1"/>
      <c r="AY446" s="1"/>
    </row>
    <row r="447" spans="1:65" ht="25.05" customHeight="1">
      <c r="A447" s="199"/>
      <c r="B447" s="1277" t="str">
        <f>BF445</f>
        <v>Harmony Politics encourages you to go deep and connect with your client's and anyone's political views. Instead of arguing a stance for easy entry or against vetted entry, or some similar generalization for relief, you help them identify and express their specific immigration-affected needs. You guide them to see how their unique situation prompts them to help all immigrants over attempts to build a wall. After seeing why each side prioritizes their particular needs, your client can appreciate politics is relative to needs. Then they can go deep and connect with political others, just as you went deep and connected with them. They can empathize with an opposing priority of needs, in the name of love.</v>
      </c>
      <c r="C447" s="1277"/>
      <c r="D447" s="1277"/>
      <c r="E447" s="1277"/>
      <c r="F447" s="1277"/>
      <c r="G447" s="1277"/>
      <c r="H447" s="1277"/>
      <c r="I447" s="1277"/>
      <c r="J447" s="1277"/>
      <c r="K447" s="1277"/>
      <c r="L447" s="1277"/>
      <c r="M447" s="1277"/>
      <c r="N447" s="200"/>
      <c r="O447" s="199"/>
      <c r="P447" s="24"/>
      <c r="Q447" s="24"/>
      <c r="R447" s="398"/>
      <c r="S447" s="398"/>
      <c r="T447" s="398"/>
      <c r="U447" s="398"/>
      <c r="V447" s="398"/>
      <c r="W447" s="398"/>
      <c r="X447" s="398"/>
      <c r="Y447" s="398"/>
      <c r="Z447" s="398"/>
      <c r="AA447" s="398"/>
      <c r="AB447" s="200"/>
      <c r="AC447" s="1"/>
      <c r="AD447" s="1"/>
      <c r="AE447" s="1"/>
      <c r="AF447" s="1"/>
      <c r="AG447" s="1"/>
      <c r="AH447" s="1"/>
      <c r="AI447" s="1"/>
      <c r="AJ447" s="1"/>
      <c r="AK447" s="1"/>
      <c r="AL447" s="1"/>
      <c r="AM447" s="1"/>
      <c r="AN447" s="1"/>
      <c r="AO447" s="1"/>
      <c r="AP447" s="1"/>
      <c r="AQ447" s="1"/>
      <c r="AR447" s="1"/>
      <c r="AS447" s="1"/>
      <c r="AT447" s="1"/>
      <c r="AU447" s="1"/>
      <c r="AV447" s="1"/>
      <c r="AW447" s="1"/>
      <c r="AX447" s="1"/>
      <c r="AY447" s="1"/>
      <c r="BF447" s="459" t="str">
        <f>CONCATENATE(BH447,BI447,BJ447,BK447,BL447,BM447,BH448,BI448,BJ448,BK448,BL448,BM448,BT447)</f>
        <v>Harmony Politics encourages you to go deep and connect with your client's and anyone's political views. Instead of arguing a stance for easy entry or against vetted entry, or some similar generalization for relief, you help them identify and express their specific immigration-affected needs. You guide them to see how their unique situation prompts them to help all immigrants over attempts to build a wall. After seeing why each side prioritizes their particular needs, your client can appreciate politics is relative to needs. Then they can go deep and connect with political others, just as you went deep and connected with them. They can empathize with an opposing priority of needs, in the name of love.</v>
      </c>
      <c r="BH447" s="409" t="s">
        <v>1964</v>
      </c>
      <c r="BI447" s="2" t="str">
        <f>L1122</f>
        <v>easy entry</v>
      </c>
      <c r="BJ447" s="409" t="s">
        <v>1689</v>
      </c>
      <c r="BK447" s="2" t="str">
        <f>M1122</f>
        <v>vetted entry</v>
      </c>
      <c r="BL447" s="409" t="s">
        <v>1690</v>
      </c>
      <c r="BM447" s="2" t="str">
        <f>D1124</f>
        <v>immigration</v>
      </c>
    </row>
    <row r="448" spans="1:65" ht="25.05" customHeight="1">
      <c r="A448" s="199"/>
      <c r="B448" s="1277"/>
      <c r="C448" s="1277"/>
      <c r="D448" s="1277"/>
      <c r="E448" s="1277"/>
      <c r="F448" s="1277"/>
      <c r="G448" s="1277"/>
      <c r="H448" s="1277"/>
      <c r="I448" s="1277"/>
      <c r="J448" s="1277"/>
      <c r="K448" s="1277"/>
      <c r="L448" s="1277"/>
      <c r="M448" s="1277"/>
      <c r="N448" s="200"/>
      <c r="O448" s="199"/>
      <c r="P448" s="24"/>
      <c r="Q448" s="24"/>
      <c r="R448" s="398"/>
      <c r="S448" s="398"/>
      <c r="T448" s="398"/>
      <c r="U448" s="398"/>
      <c r="V448" s="398"/>
      <c r="W448" s="398"/>
      <c r="X448" s="398"/>
      <c r="Y448" s="398"/>
      <c r="Z448" s="398"/>
      <c r="AA448" s="398"/>
      <c r="AB448" s="200"/>
      <c r="AC448" s="1"/>
      <c r="AD448" s="1"/>
      <c r="AE448" s="1"/>
      <c r="AF448" s="1"/>
      <c r="AG448" s="1"/>
      <c r="AH448" s="1"/>
      <c r="AI448" s="1"/>
      <c r="AJ448" s="1"/>
      <c r="AK448" s="1"/>
      <c r="AL448" s="1"/>
      <c r="AM448" s="1"/>
      <c r="AN448" s="1"/>
      <c r="AO448" s="1"/>
      <c r="AP448" s="1"/>
      <c r="AQ448" s="1"/>
      <c r="AR448" s="1"/>
      <c r="AS448" s="1"/>
      <c r="AT448" s="1"/>
      <c r="AU448" s="1"/>
      <c r="AV448" s="1"/>
      <c r="AW448" s="1"/>
      <c r="AX448" s="1"/>
      <c r="AY448" s="1"/>
      <c r="BH448" s="410" t="s">
        <v>1691</v>
      </c>
      <c r="BI448" s="2" t="str">
        <f>R1122</f>
        <v>help all immigrants</v>
      </c>
      <c r="BJ448" s="409" t="s">
        <v>1958</v>
      </c>
      <c r="BK448" s="2" t="str">
        <f>S1122</f>
        <v>build a wall</v>
      </c>
      <c r="BL448" s="409" t="s">
        <v>1970</v>
      </c>
      <c r="BM448" s="465" t="s">
        <v>1969</v>
      </c>
    </row>
    <row r="449" spans="1:60" ht="25.05" customHeight="1">
      <c r="A449" s="199"/>
      <c r="B449" s="1277"/>
      <c r="C449" s="1277"/>
      <c r="D449" s="1277"/>
      <c r="E449" s="1277"/>
      <c r="F449" s="1277"/>
      <c r="G449" s="1277"/>
      <c r="H449" s="1277"/>
      <c r="I449" s="1277"/>
      <c r="J449" s="1277"/>
      <c r="K449" s="1277"/>
      <c r="L449" s="1277"/>
      <c r="M449" s="1277"/>
      <c r="N449" s="200"/>
      <c r="O449" s="199"/>
      <c r="P449" s="24"/>
      <c r="Q449" s="24"/>
      <c r="R449" s="398"/>
      <c r="S449" s="398"/>
      <c r="T449" s="398"/>
      <c r="U449" s="398"/>
      <c r="V449" s="398"/>
      <c r="W449" s="398"/>
      <c r="X449" s="398"/>
      <c r="Y449" s="398"/>
      <c r="Z449" s="398"/>
      <c r="AA449" s="398"/>
      <c r="AB449" s="200"/>
      <c r="AC449" s="1"/>
      <c r="AD449" s="1"/>
      <c r="AE449" s="1"/>
      <c r="AF449" s="1"/>
      <c r="AG449" s="1"/>
      <c r="AH449" s="1"/>
      <c r="AI449" s="1"/>
      <c r="AJ449" s="1"/>
      <c r="AK449" s="1"/>
      <c r="AL449" s="1"/>
      <c r="AM449" s="1"/>
      <c r="AN449" s="1"/>
      <c r="AO449" s="1"/>
      <c r="AP449" s="1"/>
      <c r="AQ449" s="1"/>
      <c r="AR449" s="1"/>
      <c r="AS449" s="1"/>
      <c r="AT449" s="1"/>
      <c r="AU449" s="1"/>
      <c r="AV449" s="1"/>
      <c r="AW449" s="1"/>
      <c r="AX449" s="1"/>
      <c r="AY449" s="1"/>
    </row>
    <row r="450" spans="1:60" ht="25.05" customHeight="1">
      <c r="A450" s="199"/>
      <c r="B450" s="1277"/>
      <c r="C450" s="1277"/>
      <c r="D450" s="1277"/>
      <c r="E450" s="1277"/>
      <c r="F450" s="1277"/>
      <c r="G450" s="1277"/>
      <c r="H450" s="1277"/>
      <c r="I450" s="1277"/>
      <c r="J450" s="1277"/>
      <c r="K450" s="1277"/>
      <c r="L450" s="1277"/>
      <c r="M450" s="1277"/>
      <c r="N450" s="200"/>
      <c r="O450" s="199"/>
      <c r="P450" s="24"/>
      <c r="Q450" s="24"/>
      <c r="R450" s="398"/>
      <c r="S450" s="398"/>
      <c r="T450" s="398"/>
      <c r="U450" s="398"/>
      <c r="V450" s="398"/>
      <c r="W450" s="398"/>
      <c r="X450" s="398"/>
      <c r="Y450" s="398"/>
      <c r="Z450" s="398"/>
      <c r="AA450" s="398"/>
      <c r="AB450" s="200"/>
      <c r="AC450" s="1"/>
      <c r="AD450" s="1"/>
      <c r="AE450" s="1"/>
      <c r="AF450" s="1"/>
      <c r="AG450" s="1"/>
      <c r="AH450" s="1"/>
      <c r="AI450" s="1"/>
      <c r="AJ450" s="1"/>
      <c r="AK450" s="1"/>
      <c r="AL450" s="1"/>
      <c r="AM450" s="1"/>
      <c r="AN450" s="1"/>
      <c r="AO450" s="1"/>
      <c r="AP450" s="1"/>
      <c r="AQ450" s="1"/>
      <c r="AR450" s="1"/>
      <c r="AS450" s="1"/>
      <c r="AT450" s="1"/>
      <c r="AU450" s="1"/>
      <c r="AV450" s="1"/>
      <c r="AW450" s="1"/>
      <c r="AX450" s="1"/>
      <c r="AY450" s="1"/>
    </row>
    <row r="451" spans="1:60" ht="25.05" customHeight="1">
      <c r="A451" s="199"/>
      <c r="B451" s="1277"/>
      <c r="C451" s="1277"/>
      <c r="D451" s="1277"/>
      <c r="E451" s="1277"/>
      <c r="F451" s="1277"/>
      <c r="G451" s="1277"/>
      <c r="H451" s="1277"/>
      <c r="I451" s="1277"/>
      <c r="J451" s="1277"/>
      <c r="K451" s="1277"/>
      <c r="L451" s="1277"/>
      <c r="M451" s="1277"/>
      <c r="N451" s="200"/>
      <c r="O451" s="199"/>
      <c r="P451" s="24"/>
      <c r="Q451" s="24"/>
      <c r="R451" s="398"/>
      <c r="S451" s="398"/>
      <c r="T451" s="398"/>
      <c r="U451" s="398"/>
      <c r="V451" s="398"/>
      <c r="W451" s="398"/>
      <c r="X451" s="398"/>
      <c r="Y451" s="398"/>
      <c r="Z451" s="398"/>
      <c r="AA451" s="398"/>
      <c r="AB451" s="200"/>
      <c r="AC451" s="1"/>
      <c r="AD451" s="1"/>
      <c r="AE451" s="1"/>
      <c r="AF451" s="1"/>
      <c r="AG451" s="1"/>
      <c r="AH451" s="1"/>
      <c r="AI451" s="1"/>
      <c r="AJ451" s="1"/>
      <c r="AK451" s="1"/>
      <c r="AL451" s="1"/>
      <c r="AM451" s="1"/>
      <c r="AN451" s="1"/>
      <c r="AO451" s="1"/>
      <c r="AP451" s="1"/>
      <c r="AQ451" s="1"/>
      <c r="AR451" s="1"/>
      <c r="AS451" s="1"/>
      <c r="AT451" s="1"/>
      <c r="AU451" s="1"/>
      <c r="AV451" s="1"/>
      <c r="AW451" s="1"/>
      <c r="AX451" s="1"/>
      <c r="AY451" s="1"/>
    </row>
    <row r="452" spans="1:60" ht="25.05" customHeight="1">
      <c r="A452" s="199"/>
      <c r="B452" s="1277"/>
      <c r="C452" s="1277"/>
      <c r="D452" s="1277"/>
      <c r="E452" s="1277"/>
      <c r="F452" s="1277"/>
      <c r="G452" s="1277"/>
      <c r="H452" s="1277"/>
      <c r="I452" s="1277"/>
      <c r="J452" s="1277"/>
      <c r="K452" s="1277"/>
      <c r="L452" s="1277"/>
      <c r="M452" s="1277"/>
      <c r="N452" s="200"/>
      <c r="O452" s="199"/>
      <c r="P452" s="24"/>
      <c r="Q452" s="24"/>
      <c r="R452" s="398"/>
      <c r="S452" s="398"/>
      <c r="T452" s="398"/>
      <c r="U452" s="398"/>
      <c r="V452" s="398"/>
      <c r="W452" s="398"/>
      <c r="X452" s="398"/>
      <c r="Y452" s="398"/>
      <c r="Z452" s="398"/>
      <c r="AA452" s="398"/>
      <c r="AB452" s="200"/>
      <c r="AC452" s="1"/>
      <c r="AD452" s="1"/>
      <c r="AE452" s="1"/>
      <c r="AF452" s="1"/>
      <c r="AG452" s="1"/>
      <c r="AH452" s="1"/>
      <c r="AI452" s="1"/>
      <c r="AJ452" s="1"/>
      <c r="AK452" s="1"/>
      <c r="AL452" s="1"/>
      <c r="AM452" s="1"/>
      <c r="AN452" s="1"/>
      <c r="AO452" s="1"/>
      <c r="AP452" s="1"/>
      <c r="AQ452" s="1"/>
      <c r="AR452" s="1"/>
      <c r="AS452" s="1"/>
      <c r="AT452" s="1"/>
      <c r="AU452" s="1"/>
      <c r="AV452" s="1"/>
      <c r="AW452" s="1"/>
      <c r="AX452" s="1"/>
      <c r="AY452" s="1"/>
    </row>
    <row r="453" spans="1:60" ht="4.95" customHeight="1">
      <c r="A453" s="199"/>
      <c r="B453" s="24"/>
      <c r="C453" s="24"/>
      <c r="D453" s="24"/>
      <c r="E453" s="24"/>
      <c r="F453" s="24"/>
      <c r="G453" s="24"/>
      <c r="H453" s="24"/>
      <c r="I453" s="24"/>
      <c r="J453" s="24"/>
      <c r="K453" s="24"/>
      <c r="L453" s="24"/>
      <c r="M453" s="24"/>
      <c r="N453" s="200"/>
      <c r="O453" s="199"/>
      <c r="P453" s="24"/>
      <c r="Q453" s="24"/>
      <c r="R453" s="398"/>
      <c r="S453" s="398"/>
      <c r="T453" s="398"/>
      <c r="U453" s="398"/>
      <c r="V453" s="398"/>
      <c r="W453" s="398"/>
      <c r="X453" s="398"/>
      <c r="Y453" s="398"/>
      <c r="Z453" s="398"/>
      <c r="AA453" s="398"/>
      <c r="AB453" s="200"/>
      <c r="AC453" s="1"/>
      <c r="AD453" s="1"/>
      <c r="AE453" s="1"/>
      <c r="AF453" s="1"/>
      <c r="AG453" s="1"/>
      <c r="AH453" s="1"/>
      <c r="AI453" s="1"/>
      <c r="AJ453" s="1"/>
      <c r="AK453" s="1"/>
      <c r="AL453" s="1"/>
      <c r="AM453" s="1"/>
      <c r="AN453" s="1"/>
      <c r="AO453" s="1"/>
      <c r="AP453" s="1"/>
      <c r="AQ453" s="1"/>
      <c r="AR453" s="1"/>
      <c r="AS453" s="1"/>
      <c r="AT453" s="1"/>
      <c r="AU453" s="1"/>
      <c r="AV453" s="1"/>
      <c r="AW453" s="1"/>
      <c r="AX453" s="1"/>
      <c r="AY453" s="1"/>
    </row>
    <row r="454" spans="1:60" ht="19.95" customHeight="1">
      <c r="A454" s="199"/>
      <c r="B454" s="1299" t="s">
        <v>1693</v>
      </c>
      <c r="C454" s="1299"/>
      <c r="D454" s="1299"/>
      <c r="E454" s="1299"/>
      <c r="F454" s="1299"/>
      <c r="G454" s="1299"/>
      <c r="H454" s="1299"/>
      <c r="I454" s="1299"/>
      <c r="J454" s="1299"/>
      <c r="K454" s="1299"/>
      <c r="L454" s="1299"/>
      <c r="M454" s="1299"/>
      <c r="N454" s="200"/>
      <c r="O454" s="199"/>
      <c r="P454" s="24"/>
      <c r="Q454" s="24"/>
      <c r="R454" s="398"/>
      <c r="S454" s="398"/>
      <c r="T454" s="398"/>
      <c r="U454" s="398"/>
      <c r="V454" s="398"/>
      <c r="W454" s="398"/>
      <c r="X454" s="398"/>
      <c r="Y454" s="398"/>
      <c r="Z454" s="398"/>
      <c r="AA454" s="398"/>
      <c r="AB454" s="200"/>
      <c r="AC454" s="1"/>
      <c r="AD454" s="1"/>
      <c r="AE454" s="1"/>
      <c r="AF454" s="1"/>
      <c r="AG454" s="1"/>
      <c r="AH454" s="1"/>
      <c r="AI454" s="1"/>
      <c r="AJ454" s="1"/>
      <c r="AK454" s="1"/>
      <c r="AL454" s="1"/>
      <c r="AM454" s="1"/>
      <c r="AN454" s="1"/>
      <c r="AO454" s="1"/>
      <c r="AP454" s="1"/>
      <c r="AQ454" s="1"/>
      <c r="AR454" s="1"/>
      <c r="AS454" s="1"/>
      <c r="AT454" s="1"/>
      <c r="AU454" s="1"/>
      <c r="AV454" s="1"/>
      <c r="AW454" s="1"/>
      <c r="AX454" s="1"/>
      <c r="AY454" s="1"/>
      <c r="BF454" s="459" t="str">
        <f>CONCATENATE(BH454,BI454,BJ454,BK454,BL454,BM454,BN454,BO454)</f>
        <v/>
      </c>
      <c r="BH454" s="409"/>
    </row>
    <row r="455" spans="1:60" ht="19.95" customHeight="1">
      <c r="A455" s="199"/>
      <c r="B455" s="1299"/>
      <c r="C455" s="1299"/>
      <c r="D455" s="1299"/>
      <c r="E455" s="1299"/>
      <c r="F455" s="1299"/>
      <c r="G455" s="1299"/>
      <c r="H455" s="1299"/>
      <c r="I455" s="1299"/>
      <c r="J455" s="1299"/>
      <c r="K455" s="1299"/>
      <c r="L455" s="1299"/>
      <c r="M455" s="1299"/>
      <c r="N455" s="200"/>
      <c r="O455" s="199"/>
      <c r="P455" s="24"/>
      <c r="Q455" s="24"/>
      <c r="R455" s="398"/>
      <c r="S455" s="398"/>
      <c r="T455" s="398"/>
      <c r="U455" s="398"/>
      <c r="V455" s="398"/>
      <c r="W455" s="398"/>
      <c r="X455" s="398"/>
      <c r="Y455" s="398"/>
      <c r="Z455" s="398"/>
      <c r="AA455" s="398"/>
      <c r="AB455" s="200"/>
      <c r="AC455" s="1"/>
      <c r="AD455" s="1"/>
      <c r="AE455" s="1"/>
      <c r="AF455" s="1"/>
      <c r="AG455" s="1"/>
      <c r="AH455" s="1"/>
      <c r="AI455" s="1"/>
      <c r="AJ455" s="1"/>
      <c r="AK455" s="1"/>
      <c r="AL455" s="1"/>
      <c r="AM455" s="1"/>
      <c r="AN455" s="1"/>
      <c r="AO455" s="1"/>
      <c r="AP455" s="1"/>
      <c r="AQ455" s="1"/>
      <c r="AR455" s="1"/>
      <c r="AS455" s="1"/>
      <c r="AT455" s="1"/>
      <c r="AU455" s="1"/>
      <c r="AV455" s="1"/>
      <c r="AW455" s="1"/>
      <c r="AX455" s="1"/>
      <c r="AY455" s="1"/>
    </row>
    <row r="456" spans="1:60" ht="19.95" customHeight="1">
      <c r="A456" s="199"/>
      <c r="B456" s="1299"/>
      <c r="C456" s="1299"/>
      <c r="D456" s="1299"/>
      <c r="E456" s="1299"/>
      <c r="F456" s="1299"/>
      <c r="G456" s="1299"/>
      <c r="H456" s="1299"/>
      <c r="I456" s="1299"/>
      <c r="J456" s="1299"/>
      <c r="K456" s="1299"/>
      <c r="L456" s="1299"/>
      <c r="M456" s="1299"/>
      <c r="N456" s="200"/>
      <c r="O456" s="199"/>
      <c r="P456" s="24"/>
      <c r="Q456" s="24"/>
      <c r="R456" s="398"/>
      <c r="S456" s="398"/>
      <c r="T456" s="398"/>
      <c r="U456" s="398"/>
      <c r="V456" s="398"/>
      <c r="W456" s="398"/>
      <c r="X456" s="398"/>
      <c r="Y456" s="398"/>
      <c r="Z456" s="398"/>
      <c r="AA456" s="398"/>
      <c r="AB456" s="200"/>
      <c r="AC456" s="1"/>
      <c r="AD456" s="1"/>
      <c r="AE456" s="1"/>
      <c r="AF456" s="1"/>
      <c r="AG456" s="1"/>
      <c r="AH456" s="1"/>
      <c r="AI456" s="1"/>
      <c r="AJ456" s="1"/>
      <c r="AK456" s="1"/>
      <c r="AL456" s="1"/>
      <c r="AM456" s="1"/>
      <c r="AN456" s="1"/>
      <c r="AO456" s="1"/>
      <c r="AP456" s="1"/>
      <c r="AQ456" s="1"/>
      <c r="AR456" s="1"/>
      <c r="AS456" s="1"/>
      <c r="AT456" s="1"/>
      <c r="AU456" s="1"/>
      <c r="AV456" s="1"/>
      <c r="AW456" s="1"/>
      <c r="AX456" s="1"/>
      <c r="AY456" s="1"/>
    </row>
    <row r="457" spans="1:60" ht="19.95" customHeight="1">
      <c r="A457" s="199"/>
      <c r="B457" s="1299"/>
      <c r="C457" s="1299"/>
      <c r="D457" s="1299"/>
      <c r="E457" s="1299"/>
      <c r="F457" s="1299"/>
      <c r="G457" s="1299"/>
      <c r="H457" s="1299"/>
      <c r="I457" s="1299"/>
      <c r="J457" s="1299"/>
      <c r="K457" s="1299"/>
      <c r="L457" s="1299"/>
      <c r="M457" s="1299"/>
      <c r="N457" s="200"/>
      <c r="O457" s="199"/>
      <c r="P457" s="24"/>
      <c r="Q457" s="24"/>
      <c r="R457" s="398"/>
      <c r="S457" s="398"/>
      <c r="T457" s="398"/>
      <c r="U457" s="398"/>
      <c r="V457" s="398"/>
      <c r="W457" s="398"/>
      <c r="X457" s="398"/>
      <c r="Y457" s="398"/>
      <c r="Z457" s="398"/>
      <c r="AA457" s="398"/>
      <c r="AB457" s="200"/>
      <c r="AC457" s="1"/>
      <c r="AD457" s="1"/>
      <c r="AE457" s="1"/>
      <c r="AF457" s="1"/>
      <c r="AG457" s="1"/>
      <c r="AH457" s="1"/>
      <c r="AI457" s="1"/>
      <c r="AJ457" s="1"/>
      <c r="AK457" s="1"/>
      <c r="AL457" s="1"/>
      <c r="AM457" s="1"/>
      <c r="AN457" s="1"/>
      <c r="AO457" s="1"/>
      <c r="AP457" s="1"/>
      <c r="AQ457" s="1"/>
      <c r="AR457" s="1"/>
      <c r="AS457" s="1"/>
      <c r="AT457" s="1"/>
      <c r="AU457" s="1"/>
      <c r="AV457" s="1"/>
      <c r="AW457" s="1"/>
      <c r="AX457" s="1"/>
      <c r="AY457" s="1"/>
    </row>
    <row r="458" spans="1:60" ht="19.95" customHeight="1">
      <c r="A458" s="199"/>
      <c r="B458" s="1299"/>
      <c r="C458" s="1299"/>
      <c r="D458" s="1299"/>
      <c r="E458" s="1299"/>
      <c r="F458" s="1299"/>
      <c r="G458" s="1299"/>
      <c r="H458" s="1299"/>
      <c r="I458" s="1299"/>
      <c r="J458" s="1299"/>
      <c r="K458" s="1299"/>
      <c r="L458" s="1299"/>
      <c r="M458" s="1299"/>
      <c r="N458" s="200"/>
      <c r="O458" s="199"/>
      <c r="P458" s="24"/>
      <c r="Q458" s="24"/>
      <c r="R458" s="398"/>
      <c r="S458" s="398"/>
      <c r="T458" s="398"/>
      <c r="U458" s="398"/>
      <c r="V458" s="398"/>
      <c r="W458" s="398"/>
      <c r="X458" s="398"/>
      <c r="Y458" s="398"/>
      <c r="Z458" s="398"/>
      <c r="AA458" s="398"/>
      <c r="AB458" s="200"/>
      <c r="AC458" s="1"/>
      <c r="AD458" s="1"/>
      <c r="AE458" s="1"/>
      <c r="AF458" s="1"/>
      <c r="AG458" s="1"/>
      <c r="AH458" s="1"/>
      <c r="AI458" s="1"/>
      <c r="AJ458" s="1"/>
      <c r="AK458" s="1"/>
      <c r="AL458" s="1"/>
      <c r="AM458" s="1"/>
      <c r="AN458" s="1"/>
      <c r="AO458" s="1"/>
      <c r="AP458" s="1"/>
      <c r="AQ458" s="1"/>
      <c r="AR458" s="1"/>
      <c r="AS458" s="1"/>
      <c r="AT458" s="1"/>
      <c r="AU458" s="1"/>
      <c r="AV458" s="1"/>
      <c r="AW458" s="1"/>
      <c r="AX458" s="1"/>
      <c r="AY458" s="1"/>
    </row>
    <row r="459" spans="1:60" ht="19.95" customHeight="1">
      <c r="A459" s="199"/>
      <c r="B459" s="1299"/>
      <c r="C459" s="1299"/>
      <c r="D459" s="1299"/>
      <c r="E459" s="1299"/>
      <c r="F459" s="1299"/>
      <c r="G459" s="1299"/>
      <c r="H459" s="1299"/>
      <c r="I459" s="1299"/>
      <c r="J459" s="1299"/>
      <c r="K459" s="1299"/>
      <c r="L459" s="1299"/>
      <c r="M459" s="1299"/>
      <c r="N459" s="200"/>
      <c r="O459" s="199"/>
      <c r="P459" s="24"/>
      <c r="Q459" s="24"/>
      <c r="R459" s="398"/>
      <c r="S459" s="398"/>
      <c r="T459" s="398"/>
      <c r="U459" s="398"/>
      <c r="V459" s="398"/>
      <c r="W459" s="398"/>
      <c r="X459" s="398"/>
      <c r="Y459" s="398"/>
      <c r="Z459" s="398"/>
      <c r="AA459" s="398"/>
      <c r="AB459" s="200"/>
      <c r="AC459" s="1"/>
      <c r="AD459" s="1"/>
      <c r="AE459" s="1"/>
      <c r="AF459" s="1"/>
      <c r="AG459" s="1"/>
      <c r="AH459" s="1"/>
      <c r="AI459" s="1"/>
      <c r="AJ459" s="1"/>
      <c r="AK459" s="1"/>
      <c r="AL459" s="1"/>
      <c r="AM459" s="1"/>
      <c r="AN459" s="1"/>
      <c r="AO459" s="1"/>
      <c r="AP459" s="1"/>
      <c r="AQ459" s="1"/>
      <c r="AR459" s="1"/>
      <c r="AS459" s="1"/>
      <c r="AT459" s="1"/>
      <c r="AU459" s="1"/>
      <c r="AV459" s="1"/>
      <c r="AW459" s="1"/>
      <c r="AX459" s="1"/>
      <c r="AY459" s="1"/>
    </row>
    <row r="460" spans="1:60" ht="4.95" customHeight="1">
      <c r="A460" s="199"/>
      <c r="B460" s="24"/>
      <c r="C460" s="24"/>
      <c r="D460" s="24"/>
      <c r="E460" s="24"/>
      <c r="F460" s="24"/>
      <c r="G460" s="24"/>
      <c r="H460" s="24"/>
      <c r="I460" s="24"/>
      <c r="J460" s="24"/>
      <c r="K460" s="24"/>
      <c r="L460" s="24"/>
      <c r="M460" s="24"/>
      <c r="N460" s="200"/>
      <c r="O460" s="199"/>
      <c r="P460" s="24"/>
      <c r="Q460" s="24"/>
      <c r="R460" s="398"/>
      <c r="S460" s="398"/>
      <c r="T460" s="398"/>
      <c r="U460" s="398"/>
      <c r="V460" s="398"/>
      <c r="W460" s="398"/>
      <c r="X460" s="398"/>
      <c r="Y460" s="398"/>
      <c r="Z460" s="398"/>
      <c r="AA460" s="398"/>
      <c r="AB460" s="200"/>
      <c r="AC460" s="1"/>
      <c r="AD460" s="1"/>
      <c r="AE460" s="1"/>
      <c r="AF460" s="1"/>
      <c r="AG460" s="1"/>
      <c r="AH460" s="1"/>
      <c r="AI460" s="1"/>
      <c r="AJ460" s="1"/>
      <c r="AK460" s="1"/>
      <c r="AL460" s="1"/>
      <c r="AM460" s="1"/>
      <c r="AN460" s="1"/>
      <c r="AO460" s="1"/>
      <c r="AP460" s="1"/>
      <c r="AQ460" s="1"/>
      <c r="AR460" s="1"/>
      <c r="AS460" s="1"/>
      <c r="AT460" s="1"/>
      <c r="AU460" s="1"/>
      <c r="AV460" s="1"/>
      <c r="AW460" s="1"/>
      <c r="AX460" s="1"/>
      <c r="AY460" s="1"/>
    </row>
    <row r="461" spans="1:60" ht="30" customHeight="1">
      <c r="A461" s="210" t="s">
        <v>1148</v>
      </c>
      <c r="B461" s="399" t="s">
        <v>1282</v>
      </c>
      <c r="C461" s="582"/>
      <c r="D461" s="582"/>
      <c r="E461" s="583"/>
      <c r="F461" s="584"/>
      <c r="G461" s="582"/>
      <c r="H461" s="582"/>
      <c r="I461" s="582"/>
      <c r="J461" s="582"/>
      <c r="K461" s="582"/>
      <c r="L461" s="373"/>
      <c r="M461" s="373"/>
      <c r="N461" s="211" t="s">
        <v>1149</v>
      </c>
      <c r="O461" s="372"/>
      <c r="P461" s="374"/>
      <c r="Q461" s="373"/>
      <c r="R461" s="373"/>
      <c r="S461" s="373"/>
      <c r="T461" s="373"/>
      <c r="U461" s="373"/>
      <c r="V461" s="373"/>
      <c r="W461" s="373"/>
      <c r="X461" s="373"/>
      <c r="Y461" s="373"/>
      <c r="Z461" s="373"/>
      <c r="AA461" s="373"/>
      <c r="AB461" s="211" t="s">
        <v>1149</v>
      </c>
      <c r="AC461" s="577"/>
      <c r="AD461" s="577"/>
      <c r="AE461" s="577"/>
      <c r="AF461" s="577"/>
      <c r="AG461" s="577"/>
      <c r="AH461" s="577"/>
      <c r="AI461" s="577"/>
      <c r="AJ461" s="577"/>
      <c r="AK461" s="577"/>
      <c r="AL461" s="577"/>
      <c r="AM461" s="577"/>
      <c r="AN461" s="577"/>
      <c r="AO461" s="577"/>
      <c r="AP461" s="577"/>
      <c r="AQ461" s="577"/>
      <c r="AR461" s="577"/>
      <c r="AS461" s="577"/>
      <c r="AT461" s="577"/>
      <c r="AU461" s="577"/>
      <c r="AV461" s="577"/>
      <c r="AW461" s="577"/>
      <c r="AX461" s="577"/>
      <c r="AY461" s="577"/>
    </row>
    <row r="462" spans="1:60" ht="10.050000000000001" customHeight="1">
      <c r="A462" s="199"/>
      <c r="B462" s="24"/>
      <c r="C462" s="24"/>
      <c r="D462" s="24"/>
      <c r="E462" s="24"/>
      <c r="F462" s="24"/>
      <c r="G462" s="24"/>
      <c r="H462" s="24"/>
      <c r="I462" s="24"/>
      <c r="J462" s="24"/>
      <c r="K462" s="24"/>
      <c r="L462" s="24"/>
      <c r="M462" s="24"/>
      <c r="N462" s="200"/>
      <c r="O462" s="199"/>
      <c r="P462" s="24"/>
      <c r="Q462" s="24"/>
      <c r="R462" s="398"/>
      <c r="S462" s="398"/>
      <c r="T462" s="398"/>
      <c r="U462" s="398"/>
      <c r="V462" s="398"/>
      <c r="W462" s="398"/>
      <c r="X462" s="398"/>
      <c r="Y462" s="398"/>
      <c r="Z462" s="398"/>
      <c r="AA462" s="398"/>
      <c r="AB462" s="200"/>
      <c r="AC462" s="1"/>
      <c r="AD462" s="1"/>
      <c r="AE462" s="1"/>
      <c r="AF462" s="1"/>
      <c r="AG462" s="1"/>
      <c r="AH462" s="1"/>
      <c r="AI462" s="1"/>
      <c r="AJ462" s="1"/>
      <c r="AK462" s="1"/>
      <c r="AL462" s="1"/>
      <c r="AM462" s="1"/>
      <c r="AN462" s="1"/>
      <c r="AO462" s="1"/>
      <c r="AP462" s="1"/>
      <c r="AQ462" s="1"/>
      <c r="AR462" s="1"/>
      <c r="AS462" s="1"/>
      <c r="AT462" s="1"/>
      <c r="AU462" s="1"/>
      <c r="AV462" s="1"/>
      <c r="AW462" s="1"/>
      <c r="AX462" s="1"/>
      <c r="AY462" s="1"/>
    </row>
    <row r="463" spans="1:60" ht="19.95" customHeight="1">
      <c r="A463" s="199"/>
      <c r="B463" s="588" t="s">
        <v>1669</v>
      </c>
      <c r="C463" s="24"/>
      <c r="D463" s="24"/>
      <c r="E463" s="24"/>
      <c r="F463" s="24"/>
      <c r="G463" s="24"/>
      <c r="H463" s="24"/>
      <c r="I463" s="24"/>
      <c r="J463" s="24"/>
      <c r="K463" s="24"/>
      <c r="L463" s="24"/>
      <c r="M463" s="24"/>
      <c r="N463" s="200"/>
      <c r="O463" s="199"/>
      <c r="P463" s="24"/>
      <c r="Q463" s="24"/>
      <c r="R463" s="398"/>
      <c r="S463" s="398"/>
      <c r="T463" s="398"/>
      <c r="U463" s="398"/>
      <c r="V463" s="398"/>
      <c r="W463" s="398"/>
      <c r="X463" s="398"/>
      <c r="Y463" s="398"/>
      <c r="Z463" s="398"/>
      <c r="AA463" s="398"/>
      <c r="AB463" s="200"/>
      <c r="AC463" s="1"/>
      <c r="AD463" s="1"/>
      <c r="AE463" s="1"/>
      <c r="AF463" s="1"/>
      <c r="AG463" s="1"/>
      <c r="AH463" s="1"/>
      <c r="AI463" s="1"/>
      <c r="AJ463" s="1"/>
      <c r="AK463" s="1"/>
      <c r="AL463" s="1"/>
      <c r="AM463" s="1"/>
      <c r="AN463" s="1"/>
      <c r="AO463" s="1"/>
      <c r="AP463" s="1"/>
      <c r="AQ463" s="1"/>
      <c r="AR463" s="1"/>
      <c r="AS463" s="1"/>
      <c r="AT463" s="1"/>
      <c r="AU463" s="1"/>
      <c r="AV463" s="1"/>
      <c r="AW463" s="1"/>
      <c r="AX463" s="1"/>
      <c r="AY463" s="1"/>
      <c r="BF463" s="459" t="str">
        <f>CONCATENATE(BH463,BI463,BJ463,BK463,BL463,BM463,BN463,BO463)</f>
        <v/>
      </c>
      <c r="BH463" s="409"/>
    </row>
    <row r="464" spans="1:60" ht="10.050000000000001" customHeight="1">
      <c r="A464" s="199"/>
      <c r="B464" s="24"/>
      <c r="C464" s="24"/>
      <c r="D464" s="24"/>
      <c r="E464" s="24"/>
      <c r="F464" s="24"/>
      <c r="G464" s="24"/>
      <c r="H464" s="24"/>
      <c r="I464" s="24"/>
      <c r="J464" s="24"/>
      <c r="K464" s="24"/>
      <c r="L464" s="24"/>
      <c r="M464" s="24"/>
      <c r="N464" s="200"/>
      <c r="O464" s="199"/>
      <c r="P464" s="24"/>
      <c r="Q464" s="24"/>
      <c r="R464" s="398"/>
      <c r="S464" s="398"/>
      <c r="T464" s="398"/>
      <c r="U464" s="398"/>
      <c r="V464" s="398"/>
      <c r="W464" s="398"/>
      <c r="X464" s="398"/>
      <c r="Y464" s="398"/>
      <c r="Z464" s="398"/>
      <c r="AA464" s="398"/>
      <c r="AB464" s="200"/>
      <c r="AC464" s="1"/>
      <c r="AD464" s="1"/>
      <c r="AE464" s="1"/>
      <c r="AF464" s="1"/>
      <c r="AG464" s="1"/>
      <c r="AH464" s="1"/>
      <c r="AI464" s="1"/>
      <c r="AJ464" s="1"/>
      <c r="AK464" s="1"/>
      <c r="AL464" s="1"/>
      <c r="AM464" s="1"/>
      <c r="AN464" s="1"/>
      <c r="AO464" s="1"/>
      <c r="AP464" s="1"/>
      <c r="AQ464" s="1"/>
      <c r="AR464" s="1"/>
      <c r="AS464" s="1"/>
      <c r="AT464" s="1"/>
      <c r="AU464" s="1"/>
      <c r="AV464" s="1"/>
      <c r="AW464" s="1"/>
      <c r="AX464" s="1"/>
      <c r="AY464" s="1"/>
    </row>
    <row r="465" spans="1:74" ht="19.05" customHeight="1">
      <c r="A465" s="199"/>
      <c r="B465" s="24"/>
      <c r="C465" s="24"/>
      <c r="D465" s="24"/>
      <c r="E465" s="1277" t="s">
        <v>1670</v>
      </c>
      <c r="F465" s="1277"/>
      <c r="G465" s="1277"/>
      <c r="H465" s="1277"/>
      <c r="I465" s="1277"/>
      <c r="J465" s="1277"/>
      <c r="K465" s="1277"/>
      <c r="L465" s="1277"/>
      <c r="M465" s="1277"/>
      <c r="N465" s="200"/>
      <c r="O465" s="199"/>
      <c r="P465" s="24"/>
      <c r="Q465" s="24"/>
      <c r="R465" s="398"/>
      <c r="S465" s="398"/>
      <c r="T465" s="398"/>
      <c r="U465" s="398"/>
      <c r="V465" s="398"/>
      <c r="W465" s="398"/>
      <c r="X465" s="398"/>
      <c r="Y465" s="398"/>
      <c r="Z465" s="398"/>
      <c r="AA465" s="398"/>
      <c r="AB465" s="200"/>
      <c r="AC465" s="1"/>
      <c r="AD465" s="1"/>
      <c r="AE465" s="1"/>
      <c r="AF465" s="1"/>
      <c r="AG465" s="1"/>
      <c r="AH465" s="1"/>
      <c r="AI465" s="1"/>
      <c r="AJ465" s="1"/>
      <c r="AK465" s="1"/>
      <c r="AL465" s="1"/>
      <c r="AM465" s="1"/>
      <c r="AN465" s="1"/>
      <c r="AO465" s="1"/>
      <c r="AP465" s="1"/>
      <c r="AQ465" s="1"/>
      <c r="AR465" s="1"/>
      <c r="AS465" s="1"/>
      <c r="AT465" s="1"/>
      <c r="AU465" s="1"/>
      <c r="AV465" s="1"/>
      <c r="AW465" s="1"/>
      <c r="AX465" s="1"/>
      <c r="AY465" s="1"/>
    </row>
    <row r="466" spans="1:74" ht="19.05" customHeight="1">
      <c r="A466" s="199"/>
      <c r="B466" s="24"/>
      <c r="C466" s="24"/>
      <c r="D466" s="24"/>
      <c r="E466" s="1277"/>
      <c r="F466" s="1277"/>
      <c r="G466" s="1277"/>
      <c r="H466" s="1277"/>
      <c r="I466" s="1277"/>
      <c r="J466" s="1277"/>
      <c r="K466" s="1277"/>
      <c r="L466" s="1277"/>
      <c r="M466" s="1277"/>
      <c r="N466" s="200"/>
      <c r="O466" s="199"/>
      <c r="P466" s="24"/>
      <c r="Q466" s="24"/>
      <c r="R466" s="398"/>
      <c r="S466" s="398"/>
      <c r="T466" s="398"/>
      <c r="U466" s="398"/>
      <c r="V466" s="398"/>
      <c r="W466" s="398"/>
      <c r="X466" s="398"/>
      <c r="Y466" s="398"/>
      <c r="Z466" s="398"/>
      <c r="AA466" s="398"/>
      <c r="AB466" s="200"/>
      <c r="AC466" s="1"/>
      <c r="AD466" s="1"/>
      <c r="AE466" s="1"/>
      <c r="AF466" s="1"/>
      <c r="AG466" s="1"/>
      <c r="AH466" s="1"/>
      <c r="AI466" s="1"/>
      <c r="AJ466" s="1"/>
      <c r="AK466" s="1"/>
      <c r="AL466" s="1"/>
      <c r="AM466" s="1"/>
      <c r="AN466" s="1"/>
      <c r="AO466" s="1"/>
      <c r="AP466" s="1"/>
      <c r="AQ466" s="1"/>
      <c r="AR466" s="1"/>
      <c r="AS466" s="1"/>
      <c r="AT466" s="1"/>
      <c r="AU466" s="1"/>
      <c r="AV466" s="1"/>
      <c r="AW466" s="1"/>
      <c r="AX466" s="1"/>
      <c r="AY466" s="1"/>
    </row>
    <row r="467" spans="1:74" ht="19.05" customHeight="1">
      <c r="A467" s="199"/>
      <c r="B467" s="24"/>
      <c r="C467" s="24"/>
      <c r="D467" s="24"/>
      <c r="E467" s="1277"/>
      <c r="F467" s="1277"/>
      <c r="G467" s="1277"/>
      <c r="H467" s="1277"/>
      <c r="I467" s="1277"/>
      <c r="J467" s="1277"/>
      <c r="K467" s="1277"/>
      <c r="L467" s="1277"/>
      <c r="M467" s="1277"/>
      <c r="N467" s="200"/>
      <c r="O467" s="199"/>
      <c r="P467" s="24"/>
      <c r="Q467" s="24"/>
      <c r="R467" s="398"/>
      <c r="S467" s="398"/>
      <c r="T467" s="398"/>
      <c r="U467" s="398"/>
      <c r="V467" s="398"/>
      <c r="W467" s="398"/>
      <c r="X467" s="398"/>
      <c r="Y467" s="398"/>
      <c r="Z467" s="398"/>
      <c r="AA467" s="398"/>
      <c r="AB467" s="200"/>
      <c r="AC467" s="1"/>
      <c r="AD467" s="1"/>
      <c r="AE467" s="1"/>
      <c r="AF467" s="1"/>
      <c r="AG467" s="1"/>
      <c r="AH467" s="1"/>
      <c r="AI467" s="1"/>
      <c r="AJ467" s="1"/>
      <c r="AK467" s="1"/>
      <c r="AL467" s="1"/>
      <c r="AM467" s="1"/>
      <c r="AN467" s="1"/>
      <c r="AO467" s="1"/>
      <c r="AP467" s="1"/>
      <c r="AQ467" s="1"/>
      <c r="AR467" s="1"/>
      <c r="AS467" s="1"/>
      <c r="AT467" s="1"/>
      <c r="AU467" s="1"/>
      <c r="AV467" s="1"/>
      <c r="AW467" s="1"/>
      <c r="AX467" s="1"/>
      <c r="AY467" s="1"/>
    </row>
    <row r="468" spans="1:74" ht="19.05" customHeight="1">
      <c r="A468" s="199"/>
      <c r="B468" s="24"/>
      <c r="C468" s="24"/>
      <c r="D468" s="24"/>
      <c r="E468" s="1277"/>
      <c r="F468" s="1277"/>
      <c r="G468" s="1277"/>
      <c r="H468" s="1277"/>
      <c r="I468" s="1277"/>
      <c r="J468" s="1277"/>
      <c r="K468" s="1277"/>
      <c r="L468" s="1277"/>
      <c r="M468" s="1277"/>
      <c r="N468" s="200"/>
      <c r="O468" s="199"/>
      <c r="P468" s="24"/>
      <c r="Q468" s="24"/>
      <c r="R468" s="398"/>
      <c r="S468" s="398"/>
      <c r="T468" s="398"/>
      <c r="U468" s="398"/>
      <c r="V468" s="398"/>
      <c r="W468" s="398"/>
      <c r="X468" s="398"/>
      <c r="Y468" s="398"/>
      <c r="Z468" s="398"/>
      <c r="AA468" s="398"/>
      <c r="AB468" s="200"/>
      <c r="AC468" s="1"/>
      <c r="AD468" s="1"/>
      <c r="AE468" s="1"/>
      <c r="AF468" s="1"/>
      <c r="AG468" s="1"/>
      <c r="AH468" s="1"/>
      <c r="AI468" s="1"/>
      <c r="AJ468" s="1"/>
      <c r="AK468" s="1"/>
      <c r="AL468" s="1"/>
      <c r="AM468" s="1"/>
      <c r="AN468" s="1"/>
      <c r="AO468" s="1"/>
      <c r="AP468" s="1"/>
      <c r="AQ468" s="1"/>
      <c r="AR468" s="1"/>
      <c r="AS468" s="1"/>
      <c r="AT468" s="1"/>
      <c r="AU468" s="1"/>
      <c r="AV468" s="1"/>
      <c r="AW468" s="1"/>
      <c r="AX468" s="1"/>
      <c r="AY468" s="1"/>
    </row>
    <row r="469" spans="1:74" ht="19.05" customHeight="1">
      <c r="A469" s="199"/>
      <c r="B469" s="24"/>
      <c r="C469" s="24"/>
      <c r="D469" s="24"/>
      <c r="E469" s="1277"/>
      <c r="F469" s="1277"/>
      <c r="G469" s="1277"/>
      <c r="H469" s="1277"/>
      <c r="I469" s="1277"/>
      <c r="J469" s="1277"/>
      <c r="K469" s="1277"/>
      <c r="L469" s="1277"/>
      <c r="M469" s="1277"/>
      <c r="N469" s="200"/>
      <c r="O469" s="199"/>
      <c r="P469" s="24"/>
      <c r="Q469" s="24"/>
      <c r="R469" s="398"/>
      <c r="S469" s="398"/>
      <c r="T469" s="398"/>
      <c r="U469" s="398"/>
      <c r="V469" s="398"/>
      <c r="W469" s="398"/>
      <c r="X469" s="398"/>
      <c r="Y469" s="398"/>
      <c r="Z469" s="398"/>
      <c r="AA469" s="398"/>
      <c r="AB469" s="200"/>
      <c r="AC469" s="1"/>
      <c r="AD469" s="1"/>
      <c r="AE469" s="1"/>
      <c r="AF469" s="1"/>
      <c r="AG469" s="1"/>
      <c r="AH469" s="1"/>
      <c r="AI469" s="1"/>
      <c r="AJ469" s="1"/>
      <c r="AK469" s="1"/>
      <c r="AL469" s="1"/>
      <c r="AM469" s="1"/>
      <c r="AN469" s="1"/>
      <c r="AO469" s="1"/>
      <c r="AP469" s="1"/>
      <c r="AQ469" s="1"/>
      <c r="AR469" s="1"/>
      <c r="AS469" s="1"/>
      <c r="AT469" s="1"/>
      <c r="AU469" s="1"/>
      <c r="AV469" s="1"/>
      <c r="AW469" s="1"/>
      <c r="AX469" s="1"/>
      <c r="AY469" s="1"/>
    </row>
    <row r="470" spans="1:74" ht="19.95" customHeight="1">
      <c r="A470" s="199"/>
      <c r="B470" s="24"/>
      <c r="C470" s="24"/>
      <c r="D470" s="24"/>
      <c r="E470" s="1277"/>
      <c r="F470" s="1277"/>
      <c r="G470" s="1277"/>
      <c r="H470" s="1277"/>
      <c r="I470" s="1277"/>
      <c r="J470" s="1277"/>
      <c r="K470" s="1277"/>
      <c r="L470" s="1277"/>
      <c r="M470" s="1277"/>
      <c r="N470" s="200"/>
      <c r="O470" s="199"/>
      <c r="P470" s="24"/>
      <c r="Q470" s="24"/>
      <c r="R470" s="398"/>
      <c r="S470" s="398"/>
      <c r="T470" s="398"/>
      <c r="U470" s="398"/>
      <c r="V470" s="398"/>
      <c r="W470" s="398"/>
      <c r="X470" s="398"/>
      <c r="Y470" s="398"/>
      <c r="Z470" s="398"/>
      <c r="AA470" s="398"/>
      <c r="AB470" s="200"/>
      <c r="AC470" s="1"/>
      <c r="AD470" s="1"/>
      <c r="AE470" s="1"/>
      <c r="AF470" s="1"/>
      <c r="AG470" s="1"/>
      <c r="AH470" s="1"/>
      <c r="AI470" s="1"/>
      <c r="AJ470" s="1"/>
      <c r="AK470" s="1"/>
      <c r="AL470" s="1"/>
      <c r="AM470" s="1"/>
      <c r="AN470" s="1"/>
      <c r="AO470" s="1"/>
      <c r="AP470" s="1"/>
      <c r="AQ470" s="1"/>
      <c r="AR470" s="1"/>
      <c r="AS470" s="1"/>
      <c r="AT470" s="1"/>
      <c r="AU470" s="1"/>
      <c r="AV470" s="1"/>
      <c r="AW470" s="1"/>
      <c r="AX470" s="1"/>
      <c r="AY470" s="1"/>
      <c r="BF470" s="595" t="str">
        <f>IF(OR($I$1094=0,$I$1096=0,$B$1124=""),BH470,BF472)</f>
        <v>The less your client's immigration-related needs resolve, the more drawn to extreme positions for relief. Political polarization feeds on our increasing volume of unresolved needs. You as their counselor can provide a meaningful alternative to the disappointment of divisive politics.</v>
      </c>
      <c r="BH470" s="465"/>
    </row>
    <row r="471" spans="1:74" ht="4.95" customHeight="1">
      <c r="A471" s="199"/>
      <c r="B471" s="24"/>
      <c r="C471" s="24"/>
      <c r="D471" s="24"/>
      <c r="E471" s="24"/>
      <c r="F471" s="24"/>
      <c r="G471" s="24"/>
      <c r="H471" s="24"/>
      <c r="I471" s="24"/>
      <c r="J471" s="24"/>
      <c r="K471" s="24"/>
      <c r="L471" s="24"/>
      <c r="M471" s="24"/>
      <c r="N471" s="200"/>
      <c r="O471" s="199"/>
      <c r="P471" s="24"/>
      <c r="Q471" s="24"/>
      <c r="R471" s="398"/>
      <c r="S471" s="398"/>
      <c r="T471" s="398"/>
      <c r="U471" s="398"/>
      <c r="V471" s="398"/>
      <c r="W471" s="398"/>
      <c r="X471" s="398"/>
      <c r="Y471" s="398"/>
      <c r="Z471" s="398"/>
      <c r="AA471" s="398"/>
      <c r="AB471" s="200"/>
      <c r="AC471" s="1"/>
      <c r="AD471" s="1"/>
      <c r="AE471" s="1"/>
      <c r="AF471" s="1"/>
      <c r="AG471" s="1"/>
      <c r="AH471" s="1"/>
      <c r="AI471" s="1"/>
      <c r="AJ471" s="1"/>
      <c r="AK471" s="1"/>
      <c r="AL471" s="1"/>
      <c r="AM471" s="1"/>
      <c r="AN471" s="1"/>
      <c r="AO471" s="1"/>
      <c r="AP471" s="1"/>
      <c r="AQ471" s="1"/>
      <c r="AR471" s="1"/>
      <c r="AS471" s="1"/>
      <c r="AT471" s="1"/>
      <c r="AU471" s="1"/>
      <c r="AV471" s="1"/>
      <c r="AW471" s="1"/>
      <c r="AX471" s="1"/>
      <c r="AY471" s="1"/>
    </row>
    <row r="472" spans="1:74" ht="18" customHeight="1">
      <c r="A472" s="199"/>
      <c r="B472" s="1277" t="str">
        <f>BF472</f>
        <v>The less your client's immigration-related needs resolve, the more drawn to extreme positions for relief. Political polarization feeds on our increasing volume of unresolved needs. You as their counselor can provide a meaningful alternative to the disappointment of divisive politics.</v>
      </c>
      <c r="C472" s="1277"/>
      <c r="D472" s="1277"/>
      <c r="E472" s="1277"/>
      <c r="F472" s="1277"/>
      <c r="G472" s="1277"/>
      <c r="H472" s="1277"/>
      <c r="I472" s="1277"/>
      <c r="J472" s="1277"/>
      <c r="K472" s="1277"/>
      <c r="L472" s="1277"/>
      <c r="M472" s="1277"/>
      <c r="N472" s="200"/>
      <c r="O472" s="199"/>
      <c r="P472" s="24"/>
      <c r="Q472" s="24"/>
      <c r="R472" s="398"/>
      <c r="S472" s="398"/>
      <c r="T472" s="398"/>
      <c r="U472" s="398"/>
      <c r="V472" s="398"/>
      <c r="W472" s="398"/>
      <c r="X472" s="398"/>
      <c r="Y472" s="398"/>
      <c r="Z472" s="398"/>
      <c r="AA472" s="398"/>
      <c r="AB472" s="200"/>
      <c r="AC472" s="1"/>
      <c r="AD472" s="1"/>
      <c r="AE472" s="1"/>
      <c r="AF472" s="1"/>
      <c r="AG472" s="1"/>
      <c r="AH472" s="1"/>
      <c r="AI472" s="1"/>
      <c r="AJ472" s="1"/>
      <c r="AK472" s="1"/>
      <c r="AL472" s="1"/>
      <c r="AM472" s="1"/>
      <c r="AN472" s="1"/>
      <c r="AO472" s="1"/>
      <c r="AP472" s="1"/>
      <c r="AQ472" s="1"/>
      <c r="AR472" s="1"/>
      <c r="AS472" s="1"/>
      <c r="AT472" s="1"/>
      <c r="AU472" s="1"/>
      <c r="AV472" s="1"/>
      <c r="AW472" s="1"/>
      <c r="AX472" s="1"/>
      <c r="AY472" s="1"/>
      <c r="BF472" s="459" t="str">
        <f>CONCATENATE(BH472,BI472,BJ472,BK472,BL472,BM472,BN472,BO472)</f>
        <v>The less your client's immigration-related needs resolve, the more drawn to extreme positions for relief. Political polarization feeds on our increasing volume of unresolved needs. You as their counselor can provide a meaningful alternative to the disappointment of divisive politics.</v>
      </c>
      <c r="BH472" s="409" t="s">
        <v>1671</v>
      </c>
      <c r="BI472" s="2" t="str">
        <f>IF($D$1124="","politicized",$D$1124)</f>
        <v>immigration</v>
      </c>
      <c r="BJ472" s="2" t="str">
        <f>IF($D$1124="",$D$1124,"-related")</f>
        <v>-related</v>
      </c>
      <c r="BK472" s="466" t="s">
        <v>1831</v>
      </c>
    </row>
    <row r="473" spans="1:74" ht="18" customHeight="1">
      <c r="A473" s="199"/>
      <c r="B473" s="1277"/>
      <c r="C473" s="1277"/>
      <c r="D473" s="1277"/>
      <c r="E473" s="1277"/>
      <c r="F473" s="1277"/>
      <c r="G473" s="1277"/>
      <c r="H473" s="1277"/>
      <c r="I473" s="1277"/>
      <c r="J473" s="1277"/>
      <c r="K473" s="1277"/>
      <c r="L473" s="1277"/>
      <c r="M473" s="1277"/>
      <c r="N473" s="200"/>
      <c r="O473" s="199"/>
      <c r="P473" s="24"/>
      <c r="Q473" s="24"/>
      <c r="R473" s="398"/>
      <c r="S473" s="398"/>
      <c r="T473" s="398"/>
      <c r="U473" s="398"/>
      <c r="V473" s="398"/>
      <c r="W473" s="398"/>
      <c r="X473" s="398"/>
      <c r="Y473" s="398"/>
      <c r="Z473" s="398"/>
      <c r="AA473" s="398"/>
      <c r="AB473" s="200"/>
      <c r="AC473" s="1"/>
      <c r="AD473" s="1"/>
      <c r="AE473" s="1"/>
      <c r="AF473" s="1"/>
      <c r="AG473" s="1"/>
      <c r="AH473" s="1"/>
      <c r="AI473" s="1"/>
      <c r="AJ473" s="1"/>
      <c r="AK473" s="1"/>
      <c r="AL473" s="1"/>
      <c r="AM473" s="1"/>
      <c r="AN473" s="1"/>
      <c r="AO473" s="1"/>
      <c r="AP473" s="1"/>
      <c r="AQ473" s="1"/>
      <c r="AR473" s="1"/>
      <c r="AS473" s="1"/>
      <c r="AT473" s="1"/>
      <c r="AU473" s="1"/>
      <c r="AV473" s="1"/>
      <c r="AW473" s="1"/>
      <c r="AX473" s="1"/>
      <c r="AY473" s="1"/>
    </row>
    <row r="474" spans="1:74" ht="18" customHeight="1">
      <c r="A474" s="199"/>
      <c r="B474" s="1277"/>
      <c r="C474" s="1277"/>
      <c r="D474" s="1277"/>
      <c r="E474" s="1277"/>
      <c r="F474" s="1277"/>
      <c r="G474" s="1277"/>
      <c r="H474" s="1277"/>
      <c r="I474" s="1277"/>
      <c r="J474" s="1277"/>
      <c r="K474" s="1277"/>
      <c r="L474" s="1277"/>
      <c r="M474" s="1277"/>
      <c r="N474" s="200"/>
      <c r="O474" s="199"/>
      <c r="P474" s="24"/>
      <c r="Q474" s="24"/>
      <c r="R474" s="398"/>
      <c r="S474" s="398"/>
      <c r="T474" s="398"/>
      <c r="U474" s="398"/>
      <c r="V474" s="398"/>
      <c r="W474" s="398"/>
      <c r="X474" s="398"/>
      <c r="Y474" s="398"/>
      <c r="Z474" s="398"/>
      <c r="AA474" s="398"/>
      <c r="AB474" s="200"/>
      <c r="AC474" s="1"/>
      <c r="AD474" s="1"/>
      <c r="AE474" s="1"/>
      <c r="AF474" s="1"/>
      <c r="AG474" s="1"/>
      <c r="AH474" s="1"/>
      <c r="AI474" s="1"/>
      <c r="AJ474" s="1"/>
      <c r="AK474" s="1"/>
      <c r="AL474" s="1"/>
      <c r="AM474" s="1"/>
      <c r="AN474" s="1"/>
      <c r="AO474" s="1"/>
      <c r="AP474" s="1"/>
      <c r="AQ474" s="1"/>
      <c r="AR474" s="1"/>
      <c r="AS474" s="1"/>
      <c r="AT474" s="1"/>
      <c r="AU474" s="1"/>
      <c r="AV474" s="1"/>
      <c r="AW474" s="1"/>
      <c r="AX474" s="1"/>
      <c r="AY474" s="1"/>
    </row>
    <row r="475" spans="1:74" ht="18" customHeight="1">
      <c r="A475" s="199"/>
      <c r="B475" s="1277"/>
      <c r="C475" s="1277"/>
      <c r="D475" s="1277"/>
      <c r="E475" s="1277"/>
      <c r="F475" s="1277"/>
      <c r="G475" s="1277"/>
      <c r="H475" s="1277"/>
      <c r="I475" s="1277"/>
      <c r="J475" s="1277"/>
      <c r="K475" s="1277"/>
      <c r="L475" s="1277"/>
      <c r="M475" s="1277"/>
      <c r="N475" s="200"/>
      <c r="O475" s="199"/>
      <c r="P475" s="24"/>
      <c r="Q475" s="24"/>
      <c r="R475" s="398"/>
      <c r="S475" s="398"/>
      <c r="T475" s="398"/>
      <c r="U475" s="398"/>
      <c r="V475" s="398"/>
      <c r="W475" s="398"/>
      <c r="X475" s="398"/>
      <c r="Y475" s="398"/>
      <c r="Z475" s="398"/>
      <c r="AA475" s="398"/>
      <c r="AB475" s="200"/>
      <c r="AC475" s="1"/>
      <c r="AD475" s="1"/>
      <c r="AE475" s="1"/>
      <c r="AF475" s="1"/>
      <c r="AG475" s="1"/>
      <c r="AH475" s="1"/>
      <c r="AI475" s="1"/>
      <c r="AJ475" s="1"/>
      <c r="AK475" s="1"/>
      <c r="AL475" s="1"/>
      <c r="AM475" s="1"/>
      <c r="AN475" s="1"/>
      <c r="AO475" s="1"/>
      <c r="AP475" s="1"/>
      <c r="AQ475" s="1"/>
      <c r="AR475" s="1"/>
      <c r="AS475" s="1"/>
      <c r="AT475" s="1"/>
      <c r="AU475" s="1"/>
      <c r="AV475" s="1"/>
      <c r="AW475" s="1"/>
      <c r="AX475" s="1"/>
      <c r="AY475" s="1"/>
      <c r="BF475" s="459" t="str">
        <f>IF(OR($I$1094=0,$B$1124=""),BH475,BF477)</f>
        <v>Instead of overgeneralizing by insisting we must let anyone enter, or similar stance, you encourage your client to empathize with affected nativists. Ask your client how it impacts what they need when the other side insists we must keep all out. You remain present for their painful reaction. You focus their attention to specific needs, like the need for freedom of movement. You ask them if they still think this is more important than the need for secure borders.</v>
      </c>
      <c r="BH475" s="465" t="s">
        <v>1832</v>
      </c>
      <c r="BI475" s="139"/>
      <c r="BJ475" s="139"/>
      <c r="BK475" s="139"/>
      <c r="BL475" s="139"/>
      <c r="BM475" s="139"/>
      <c r="BN475" s="139"/>
      <c r="BO475" s="139"/>
      <c r="BP475" s="139"/>
      <c r="BQ475" s="139"/>
      <c r="BR475" s="139"/>
      <c r="BS475" s="139"/>
      <c r="BT475" s="139"/>
      <c r="BU475" s="139"/>
      <c r="BV475" s="139"/>
    </row>
    <row r="476" spans="1:74" ht="4.95" customHeight="1">
      <c r="A476" s="199"/>
      <c r="B476" s="24"/>
      <c r="C476" s="24"/>
      <c r="D476" s="24"/>
      <c r="E476" s="24"/>
      <c r="F476" s="24"/>
      <c r="G476" s="24"/>
      <c r="H476" s="24"/>
      <c r="I476" s="24"/>
      <c r="J476" s="24"/>
      <c r="K476" s="24"/>
      <c r="L476" s="24"/>
      <c r="M476" s="24"/>
      <c r="N476" s="200"/>
      <c r="O476" s="199"/>
      <c r="P476" s="24"/>
      <c r="Q476" s="24"/>
      <c r="R476" s="398"/>
      <c r="S476" s="398"/>
      <c r="T476" s="398"/>
      <c r="U476" s="398"/>
      <c r="V476" s="398"/>
      <c r="W476" s="398"/>
      <c r="X476" s="398"/>
      <c r="Y476" s="398"/>
      <c r="Z476" s="398"/>
      <c r="AA476" s="398"/>
      <c r="AB476" s="200"/>
      <c r="AC476" s="1"/>
      <c r="AD476" s="1"/>
      <c r="AE476" s="1"/>
      <c r="AF476" s="1"/>
      <c r="AG476" s="1"/>
      <c r="AH476" s="1"/>
      <c r="AI476" s="1"/>
      <c r="AJ476" s="1"/>
      <c r="AK476" s="1"/>
      <c r="AL476" s="1"/>
      <c r="AM476" s="1"/>
      <c r="AN476" s="1"/>
      <c r="AO476" s="1"/>
      <c r="AP476" s="1"/>
      <c r="AQ476" s="1"/>
      <c r="AR476" s="1"/>
      <c r="AS476" s="1"/>
      <c r="AT476" s="1"/>
      <c r="AU476" s="1"/>
      <c r="AV476" s="1"/>
      <c r="AW476" s="1"/>
      <c r="AX476" s="1"/>
      <c r="AY476" s="1"/>
    </row>
    <row r="477" spans="1:74" ht="22.05" customHeight="1">
      <c r="A477" s="199"/>
      <c r="B477" s="1299" t="str">
        <f>BF475</f>
        <v>Instead of overgeneralizing by insisting we must let anyone enter, or similar stance, you encourage your client to empathize with affected nativists. Ask your client how it impacts what they need when the other side insists we must keep all out. You remain present for their painful reaction. You focus their attention to specific needs, like the need for freedom of movement. You ask them if they still think this is more important than the need for secure borders.</v>
      </c>
      <c r="C477" s="1299"/>
      <c r="D477" s="1299"/>
      <c r="E477" s="1299"/>
      <c r="F477" s="1299"/>
      <c r="G477" s="1299"/>
      <c r="H477" s="1299"/>
      <c r="I477" s="1299"/>
      <c r="J477" s="1299"/>
      <c r="K477" s="1299"/>
      <c r="L477" s="1299"/>
      <c r="M477" s="1299"/>
      <c r="N477" s="200"/>
      <c r="O477" s="199"/>
      <c r="P477" s="24"/>
      <c r="Q477" s="24"/>
      <c r="R477" s="398"/>
      <c r="S477" s="398"/>
      <c r="T477" s="398"/>
      <c r="U477" s="398"/>
      <c r="V477" s="398"/>
      <c r="W477" s="398"/>
      <c r="X477" s="398"/>
      <c r="Y477" s="398"/>
      <c r="Z477" s="398"/>
      <c r="AA477" s="398"/>
      <c r="AB477" s="200"/>
      <c r="AC477" s="1"/>
      <c r="AD477" s="1"/>
      <c r="AE477" s="1"/>
      <c r="AF477" s="1"/>
      <c r="AG477" s="1"/>
      <c r="AH477" s="1"/>
      <c r="AI477" s="1"/>
      <c r="AJ477" s="1"/>
      <c r="AK477" s="1"/>
      <c r="AL477" s="1"/>
      <c r="AM477" s="1"/>
      <c r="AN477" s="1"/>
      <c r="AO477" s="1"/>
      <c r="AP477" s="1"/>
      <c r="AQ477" s="1"/>
      <c r="AR477" s="1"/>
      <c r="AS477" s="1"/>
      <c r="AT477" s="1"/>
      <c r="AU477" s="1"/>
      <c r="AV477" s="1"/>
      <c r="AW477" s="1"/>
      <c r="AX477" s="1"/>
      <c r="AY477" s="1"/>
      <c r="BF477" s="459" t="str">
        <f>CONCATENATE(BH477,BI477,BJ477,BK477,BL477,BM477,BJ478,BK478,BL478,BM478,BN478)</f>
        <v>Instead of overgeneralizing by insisting we must let anyone enter, or similar stance, you encourage your client to empathize with affected nativists. Ask your client how it impacts what they need when the other side insists we must keep all out. You remain present for their painful reaction. You focus their attention to specific needs, like the need for freedom of movement. You ask them if they still think this is more important than the need for secure borders.</v>
      </c>
      <c r="BH477" s="409" t="s">
        <v>1672</v>
      </c>
      <c r="BI477" s="2" t="str">
        <f>BK1122</f>
        <v>let anyone enter</v>
      </c>
      <c r="BJ477" s="409" t="s">
        <v>1976</v>
      </c>
      <c r="BK477" s="2" t="str">
        <f>BM1122</f>
        <v>affected nativists</v>
      </c>
      <c r="BL477" s="409" t="s">
        <v>1673</v>
      </c>
      <c r="BM477" s="2" t="str">
        <f>BL1122</f>
        <v>keep all out</v>
      </c>
    </row>
    <row r="478" spans="1:74" ht="22.05" customHeight="1">
      <c r="A478" s="199"/>
      <c r="B478" s="1299"/>
      <c r="C478" s="1299"/>
      <c r="D478" s="1299"/>
      <c r="E478" s="1299"/>
      <c r="F478" s="1299"/>
      <c r="G478" s="1299"/>
      <c r="H478" s="1299"/>
      <c r="I478" s="1299"/>
      <c r="J478" s="1299"/>
      <c r="K478" s="1299"/>
      <c r="L478" s="1299"/>
      <c r="M478" s="1299"/>
      <c r="N478" s="200"/>
      <c r="O478" s="199"/>
      <c r="P478" s="24"/>
      <c r="Q478" s="24"/>
      <c r="R478" s="398"/>
      <c r="S478" s="398"/>
      <c r="T478" s="398"/>
      <c r="U478" s="398"/>
      <c r="V478" s="398"/>
      <c r="W478" s="398"/>
      <c r="X478" s="398"/>
      <c r="Y478" s="398"/>
      <c r="Z478" s="398"/>
      <c r="AA478" s="398"/>
      <c r="AB478" s="200"/>
      <c r="AC478" s="1"/>
      <c r="AD478" s="1"/>
      <c r="AE478" s="1"/>
      <c r="AF478" s="1"/>
      <c r="AG478" s="1"/>
      <c r="AH478" s="1"/>
      <c r="AI478" s="1"/>
      <c r="AJ478" s="1"/>
      <c r="AK478" s="1"/>
      <c r="AL478" s="1"/>
      <c r="AM478" s="1"/>
      <c r="AN478" s="1"/>
      <c r="AO478" s="1"/>
      <c r="AP478" s="1"/>
      <c r="AQ478" s="1"/>
      <c r="AR478" s="1"/>
      <c r="AS478" s="1"/>
      <c r="AT478" s="1"/>
      <c r="AU478" s="1"/>
      <c r="AV478" s="1"/>
      <c r="AW478" s="1"/>
      <c r="AX478" s="1"/>
      <c r="AY478" s="1"/>
      <c r="BJ478" s="409" t="s">
        <v>1674</v>
      </c>
      <c r="BK478" s="2" t="str">
        <f>BE1122</f>
        <v>for freedom of movement</v>
      </c>
      <c r="BL478" s="409" t="s">
        <v>1677</v>
      </c>
      <c r="BM478" s="2" t="str">
        <f>BF1122</f>
        <v>for secure borders</v>
      </c>
      <c r="BN478" s="409" t="s">
        <v>706</v>
      </c>
    </row>
    <row r="479" spans="1:74" ht="22.05" customHeight="1">
      <c r="A479" s="199"/>
      <c r="B479" s="1299"/>
      <c r="C479" s="1299"/>
      <c r="D479" s="1299"/>
      <c r="E479" s="1299"/>
      <c r="F479" s="1299"/>
      <c r="G479" s="1299"/>
      <c r="H479" s="1299"/>
      <c r="I479" s="1299"/>
      <c r="J479" s="1299"/>
      <c r="K479" s="1299"/>
      <c r="L479" s="1299"/>
      <c r="M479" s="1299"/>
      <c r="N479" s="200"/>
      <c r="O479" s="199"/>
      <c r="P479" s="24"/>
      <c r="Q479" s="24"/>
      <c r="R479" s="398"/>
      <c r="S479" s="398"/>
      <c r="T479" s="398"/>
      <c r="U479" s="398"/>
      <c r="V479" s="398"/>
      <c r="W479" s="398"/>
      <c r="X479" s="398"/>
      <c r="Y479" s="398"/>
      <c r="Z479" s="398"/>
      <c r="AA479" s="398"/>
      <c r="AB479" s="200"/>
      <c r="AC479" s="1"/>
      <c r="AD479" s="1"/>
      <c r="AE479" s="1"/>
      <c r="AF479" s="1"/>
      <c r="AG479" s="1"/>
      <c r="AH479" s="1"/>
      <c r="AI479" s="1"/>
      <c r="AJ479" s="1"/>
      <c r="AK479" s="1"/>
      <c r="AL479" s="1"/>
      <c r="AM479" s="1"/>
      <c r="AN479" s="1"/>
      <c r="AO479" s="1"/>
      <c r="AP479" s="1"/>
      <c r="AQ479" s="1"/>
      <c r="AR479" s="1"/>
      <c r="AS479" s="1"/>
      <c r="AT479" s="1"/>
      <c r="AU479" s="1"/>
      <c r="AV479" s="1"/>
      <c r="AW479" s="1"/>
      <c r="AX479" s="1"/>
      <c r="AY479" s="1"/>
    </row>
    <row r="480" spans="1:74" ht="22.05" customHeight="1">
      <c r="A480" s="199"/>
      <c r="B480" s="1299"/>
      <c r="C480" s="1299"/>
      <c r="D480" s="1299"/>
      <c r="E480" s="1299"/>
      <c r="F480" s="1299"/>
      <c r="G480" s="1299"/>
      <c r="H480" s="1299"/>
      <c r="I480" s="1299"/>
      <c r="J480" s="1299"/>
      <c r="K480" s="1299"/>
      <c r="L480" s="1299"/>
      <c r="M480" s="1299"/>
      <c r="N480" s="200"/>
      <c r="O480" s="199"/>
      <c r="P480" s="24"/>
      <c r="Q480" s="24"/>
      <c r="R480" s="398"/>
      <c r="S480" s="398"/>
      <c r="T480" s="398"/>
      <c r="U480" s="398"/>
      <c r="V480" s="398"/>
      <c r="W480" s="398"/>
      <c r="X480" s="398"/>
      <c r="Y480" s="398"/>
      <c r="Z480" s="398"/>
      <c r="AA480" s="398"/>
      <c r="AB480" s="200"/>
      <c r="AC480" s="1"/>
      <c r="AD480" s="1"/>
      <c r="AE480" s="1"/>
      <c r="AF480" s="1"/>
      <c r="AG480" s="1"/>
      <c r="AH480" s="1"/>
      <c r="AI480" s="1"/>
      <c r="AJ480" s="1"/>
      <c r="AK480" s="1"/>
      <c r="AL480" s="1"/>
      <c r="AM480" s="1"/>
      <c r="AN480" s="1"/>
      <c r="AO480" s="1"/>
      <c r="AP480" s="1"/>
      <c r="AQ480" s="1"/>
      <c r="AR480" s="1"/>
      <c r="AS480" s="1"/>
      <c r="AT480" s="1"/>
      <c r="AU480" s="1"/>
      <c r="AV480" s="1"/>
      <c r="AW480" s="1"/>
      <c r="AX480" s="1"/>
      <c r="AY480" s="1"/>
    </row>
    <row r="481" spans="1:66" ht="22.05" customHeight="1">
      <c r="A481" s="199"/>
      <c r="B481" s="1299"/>
      <c r="C481" s="1299"/>
      <c r="D481" s="1299"/>
      <c r="E481" s="1299"/>
      <c r="F481" s="1299"/>
      <c r="G481" s="1299"/>
      <c r="H481" s="1299"/>
      <c r="I481" s="1299"/>
      <c r="J481" s="1299"/>
      <c r="K481" s="1299"/>
      <c r="L481" s="1299"/>
      <c r="M481" s="1299"/>
      <c r="N481" s="200"/>
      <c r="O481" s="199"/>
      <c r="P481" s="24"/>
      <c r="Q481" s="24"/>
      <c r="R481" s="398"/>
      <c r="S481" s="398"/>
      <c r="T481" s="398"/>
      <c r="U481" s="398"/>
      <c r="V481" s="398"/>
      <c r="W481" s="398"/>
      <c r="X481" s="398"/>
      <c r="Y481" s="398"/>
      <c r="Z481" s="398"/>
      <c r="AA481" s="398"/>
      <c r="AB481" s="200"/>
      <c r="AC481" s="1"/>
      <c r="AD481" s="1"/>
      <c r="AE481" s="1"/>
      <c r="AF481" s="1"/>
      <c r="AG481" s="1"/>
      <c r="AH481" s="1"/>
      <c r="AI481" s="1"/>
      <c r="AJ481" s="1"/>
      <c r="AK481" s="1"/>
      <c r="AL481" s="1"/>
      <c r="AM481" s="1"/>
      <c r="AN481" s="1"/>
      <c r="AO481" s="1"/>
      <c r="AP481" s="1"/>
      <c r="AQ481" s="1"/>
      <c r="AR481" s="1"/>
      <c r="AS481" s="1"/>
      <c r="AT481" s="1"/>
      <c r="AU481" s="1"/>
      <c r="AV481" s="1"/>
      <c r="AW481" s="1"/>
      <c r="AX481" s="1"/>
      <c r="AY481" s="1"/>
    </row>
    <row r="482" spans="1:66" ht="4.95" customHeight="1">
      <c r="A482" s="199"/>
      <c r="B482" s="24"/>
      <c r="C482" s="24"/>
      <c r="D482" s="24"/>
      <c r="E482" s="24"/>
      <c r="F482" s="24"/>
      <c r="G482" s="24"/>
      <c r="H482" s="24"/>
      <c r="I482" s="24"/>
      <c r="J482" s="24"/>
      <c r="K482" s="24"/>
      <c r="L482" s="24"/>
      <c r="M482" s="24"/>
      <c r="N482" s="200"/>
      <c r="O482" s="199"/>
      <c r="P482" s="24"/>
      <c r="Q482" s="24"/>
      <c r="R482" s="398"/>
      <c r="S482" s="398"/>
      <c r="T482" s="398"/>
      <c r="U482" s="398"/>
      <c r="V482" s="398"/>
      <c r="W482" s="398"/>
      <c r="X482" s="398"/>
      <c r="Y482" s="398"/>
      <c r="Z482" s="398"/>
      <c r="AA482" s="398"/>
      <c r="AB482" s="200"/>
      <c r="AC482" s="1"/>
      <c r="AD482" s="1"/>
      <c r="AE482" s="1"/>
      <c r="AF482" s="1"/>
      <c r="AG482" s="1"/>
      <c r="AH482" s="1"/>
      <c r="AI482" s="1"/>
      <c r="AJ482" s="1"/>
      <c r="AK482" s="1"/>
      <c r="AL482" s="1"/>
      <c r="AM482" s="1"/>
      <c r="AN482" s="1"/>
      <c r="AO482" s="1"/>
      <c r="AP482" s="1"/>
      <c r="AQ482" s="1"/>
      <c r="AR482" s="1"/>
      <c r="AS482" s="1"/>
      <c r="AT482" s="1"/>
      <c r="AU482" s="1"/>
      <c r="AV482" s="1"/>
      <c r="AW482" s="1"/>
      <c r="AX482" s="1"/>
      <c r="AY482" s="1"/>
    </row>
    <row r="483" spans="1:66" ht="16.95" customHeight="1">
      <c r="A483" s="199"/>
      <c r="B483" s="24"/>
      <c r="C483" s="24"/>
      <c r="D483" s="24"/>
      <c r="E483" s="24"/>
      <c r="F483" s="24"/>
      <c r="G483" s="24"/>
      <c r="H483" s="24"/>
      <c r="I483" s="24"/>
      <c r="J483" s="24"/>
      <c r="K483" s="24"/>
      <c r="L483" s="24"/>
      <c r="M483" s="24"/>
      <c r="N483" s="200"/>
      <c r="O483" s="199"/>
      <c r="P483" s="24"/>
      <c r="Q483" s="24"/>
      <c r="R483" s="398"/>
      <c r="S483" s="398"/>
      <c r="T483" s="398"/>
      <c r="U483" s="398"/>
      <c r="V483" s="398"/>
      <c r="W483" s="398"/>
      <c r="X483" s="398"/>
      <c r="Y483" s="398"/>
      <c r="Z483" s="398"/>
      <c r="AA483" s="398"/>
      <c r="AB483" s="200"/>
      <c r="AC483" s="1"/>
      <c r="AD483" s="1"/>
      <c r="AE483" s="1"/>
      <c r="AF483" s="1"/>
      <c r="AG483" s="1"/>
      <c r="AH483" s="1"/>
      <c r="AI483" s="1"/>
      <c r="AJ483" s="1"/>
      <c r="AK483" s="1"/>
      <c r="AL483" s="1"/>
      <c r="AM483" s="1"/>
      <c r="AN483" s="1"/>
      <c r="AO483" s="1"/>
      <c r="AP483" s="1"/>
      <c r="AQ483" s="1"/>
      <c r="AR483" s="1"/>
      <c r="AS483" s="1"/>
      <c r="AT483" s="1"/>
      <c r="AU483" s="1"/>
      <c r="AV483" s="1"/>
      <c r="AW483" s="1"/>
      <c r="AX483" s="1"/>
      <c r="AY483" s="1"/>
    </row>
    <row r="484" spans="1:66" ht="16.95" customHeight="1">
      <c r="A484" s="199"/>
      <c r="B484" s="24"/>
      <c r="C484" s="24"/>
      <c r="D484" s="24"/>
      <c r="E484" s="24"/>
      <c r="F484" s="24"/>
      <c r="G484" s="24"/>
      <c r="H484" s="24"/>
      <c r="I484" s="24"/>
      <c r="J484" s="24"/>
      <c r="K484" s="24"/>
      <c r="L484" s="24"/>
      <c r="M484" s="24"/>
      <c r="N484" s="200"/>
      <c r="O484" s="199"/>
      <c r="P484" s="24"/>
      <c r="Q484" s="24"/>
      <c r="R484" s="398"/>
      <c r="S484" s="398"/>
      <c r="T484" s="398"/>
      <c r="U484" s="398"/>
      <c r="V484" s="398"/>
      <c r="W484" s="398"/>
      <c r="X484" s="398"/>
      <c r="Y484" s="398"/>
      <c r="Z484" s="398"/>
      <c r="AA484" s="398"/>
      <c r="AB484" s="200"/>
      <c r="AC484" s="1"/>
      <c r="AD484" s="1"/>
      <c r="AE484" s="1"/>
      <c r="AF484" s="1"/>
      <c r="AG484" s="1"/>
      <c r="AH484" s="1"/>
      <c r="AI484" s="1"/>
      <c r="AJ484" s="1"/>
      <c r="AK484" s="1"/>
      <c r="AL484" s="1"/>
      <c r="AM484" s="1"/>
      <c r="AN484" s="1"/>
      <c r="AO484" s="1"/>
      <c r="AP484" s="1"/>
      <c r="AQ484" s="1"/>
      <c r="AR484" s="1"/>
      <c r="AS484" s="1"/>
      <c r="AT484" s="1"/>
      <c r="AU484" s="1"/>
      <c r="AV484" s="1"/>
      <c r="AW484" s="1"/>
      <c r="AX484" s="1"/>
      <c r="AY484" s="1"/>
    </row>
    <row r="485" spans="1:66" ht="16.95" customHeight="1">
      <c r="A485" s="199"/>
      <c r="B485" s="24"/>
      <c r="C485" s="24"/>
      <c r="D485" s="24"/>
      <c r="E485" s="24"/>
      <c r="F485" s="24"/>
      <c r="G485" s="24"/>
      <c r="H485" s="24"/>
      <c r="I485" s="24"/>
      <c r="J485" s="24"/>
      <c r="K485" s="24"/>
      <c r="L485" s="24"/>
      <c r="M485" s="24"/>
      <c r="N485" s="200"/>
      <c r="O485" s="199"/>
      <c r="P485" s="24"/>
      <c r="Q485" s="24"/>
      <c r="R485" s="398"/>
      <c r="S485" s="398"/>
      <c r="T485" s="398"/>
      <c r="U485" s="398"/>
      <c r="V485" s="398"/>
      <c r="W485" s="398"/>
      <c r="X485" s="398"/>
      <c r="Y485" s="398"/>
      <c r="Z485" s="398"/>
      <c r="AA485" s="398"/>
      <c r="AB485" s="200"/>
      <c r="AC485" s="1"/>
      <c r="AD485" s="1"/>
      <c r="AE485" s="1"/>
      <c r="AF485" s="1"/>
      <c r="AG485" s="1"/>
      <c r="AH485" s="1"/>
      <c r="AI485" s="1"/>
      <c r="AJ485" s="1"/>
      <c r="AK485" s="1"/>
      <c r="AL485" s="1"/>
      <c r="AM485" s="1"/>
      <c r="AN485" s="1"/>
      <c r="AO485" s="1"/>
      <c r="AP485" s="1"/>
      <c r="AQ485" s="1"/>
      <c r="AR485" s="1"/>
      <c r="AS485" s="1"/>
      <c r="AT485" s="1"/>
      <c r="AU485" s="1"/>
      <c r="AV485" s="1"/>
      <c r="AW485" s="1"/>
      <c r="AX485" s="1"/>
      <c r="AY485" s="1"/>
    </row>
    <row r="486" spans="1:66" ht="16.95" customHeight="1">
      <c r="A486" s="199"/>
      <c r="B486" s="24"/>
      <c r="C486" s="24"/>
      <c r="D486" s="24"/>
      <c r="E486" s="24"/>
      <c r="F486" s="24"/>
      <c r="G486" s="24"/>
      <c r="H486" s="24"/>
      <c r="I486" s="24"/>
      <c r="J486" s="24"/>
      <c r="K486" s="24"/>
      <c r="L486" s="24"/>
      <c r="M486" s="24"/>
      <c r="N486" s="200"/>
      <c r="O486" s="199"/>
      <c r="P486" s="24"/>
      <c r="Q486" s="24"/>
      <c r="R486" s="398"/>
      <c r="S486" s="398"/>
      <c r="T486" s="398"/>
      <c r="U486" s="398"/>
      <c r="V486" s="398"/>
      <c r="W486" s="398"/>
      <c r="X486" s="398"/>
      <c r="Y486" s="398"/>
      <c r="Z486" s="398"/>
      <c r="AA486" s="398"/>
      <c r="AB486" s="200"/>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BF486" s="459" t="str">
        <f>IF(OR($I$1094=0,$B$1124=""),BH486,BF488)</f>
        <v>When you see they are ready to focus more on resolving affected needs, you encourage them to see the other side's need for self-protection and for local cohesion is no more or less important than your need for full inclusion and for self-determination. The more your client can empathize with affected nativists, ask them if this can make it easier for the other side to empathize with desperate immigrants.</v>
      </c>
      <c r="BH486" s="465" t="s">
        <v>2024</v>
      </c>
    </row>
    <row r="487" spans="1:66" ht="4.95" customHeight="1">
      <c r="A487" s="199"/>
      <c r="B487" s="24"/>
      <c r="C487" s="24"/>
      <c r="D487" s="24"/>
      <c r="E487" s="24"/>
      <c r="F487" s="24"/>
      <c r="G487" s="24"/>
      <c r="H487" s="24"/>
      <c r="I487" s="24"/>
      <c r="J487" s="24"/>
      <c r="K487" s="24"/>
      <c r="L487" s="24"/>
      <c r="M487" s="24"/>
      <c r="N487" s="200"/>
      <c r="O487" s="199"/>
      <c r="P487" s="24"/>
      <c r="Q487" s="24"/>
      <c r="R487" s="398"/>
      <c r="S487" s="398"/>
      <c r="T487" s="398"/>
      <c r="U487" s="398"/>
      <c r="V487" s="398"/>
      <c r="W487" s="398"/>
      <c r="X487" s="398"/>
      <c r="Y487" s="398"/>
      <c r="Z487" s="398"/>
      <c r="AA487" s="398"/>
      <c r="AB487" s="200"/>
      <c r="AC487" s="1"/>
      <c r="AD487" s="1"/>
      <c r="AE487" s="1"/>
      <c r="AF487" s="1"/>
      <c r="AG487" s="1"/>
      <c r="AH487" s="1"/>
      <c r="AI487" s="1"/>
      <c r="AJ487" s="1"/>
      <c r="AK487" s="1"/>
      <c r="AL487" s="1"/>
      <c r="AM487" s="1"/>
      <c r="AN487" s="1"/>
      <c r="AO487" s="1"/>
      <c r="AP487" s="1"/>
      <c r="AQ487" s="1"/>
      <c r="AR487" s="1"/>
      <c r="AS487" s="1"/>
      <c r="AT487" s="1"/>
      <c r="AU487" s="1"/>
      <c r="AV487" s="1"/>
      <c r="AW487" s="1"/>
      <c r="AX487" s="1"/>
      <c r="AY487" s="1"/>
    </row>
    <row r="488" spans="1:66" ht="18" customHeight="1">
      <c r="A488" s="199"/>
      <c r="B488" s="1299" t="str">
        <f>BF486</f>
        <v>When you see they are ready to focus more on resolving affected needs, you encourage them to see the other side's need for self-protection and for local cohesion is no more or less important than your need for full inclusion and for self-determination. The more your client can empathize with affected nativists, ask them if this can make it easier for the other side to empathize with desperate immigrants.</v>
      </c>
      <c r="C488" s="1299"/>
      <c r="D488" s="1299"/>
      <c r="E488" s="1299"/>
      <c r="F488" s="1299"/>
      <c r="G488" s="1299"/>
      <c r="H488" s="1299"/>
      <c r="I488" s="1299"/>
      <c r="J488" s="1299"/>
      <c r="K488" s="1299"/>
      <c r="L488" s="1299"/>
      <c r="M488" s="1299"/>
      <c r="N488" s="200"/>
      <c r="O488" s="199"/>
      <c r="P488" s="24"/>
      <c r="Q488" s="24"/>
      <c r="R488" s="398"/>
      <c r="S488" s="398"/>
      <c r="T488" s="398"/>
      <c r="U488" s="398"/>
      <c r="V488" s="398"/>
      <c r="W488" s="398"/>
      <c r="X488" s="398"/>
      <c r="Y488" s="398"/>
      <c r="Z488" s="398"/>
      <c r="AA488" s="398"/>
      <c r="AB488" s="200"/>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BF488" s="459" t="str">
        <f>CONCATENATE(BH488,BI488,BJ488,BK488,BL488,BM488,BN488,BI489,BJ489,BK489,BL489,BM489,BN489)</f>
        <v>When you see they are ready to focus more on resolving affected needs, you encourage them to see the other side's need for self-protection and for local cohesion is no more or less important than your need for full inclusion and for self-determination. The more your client can empathize with affected nativists, ask them if this can make it easier for the other side to empathize with desperate immigrants.</v>
      </c>
      <c r="BH488" s="409" t="s">
        <v>1833</v>
      </c>
      <c r="BI488" s="2" t="str">
        <f>BH1122</f>
        <v>self-protection</v>
      </c>
      <c r="BJ488" s="409" t="s">
        <v>1675</v>
      </c>
      <c r="BK488" s="2" t="str">
        <f>BJ1122</f>
        <v>local cohesion</v>
      </c>
      <c r="BL488" s="409" t="s">
        <v>1834</v>
      </c>
      <c r="BM488" s="2" t="str">
        <f>BG1122</f>
        <v>full inclusion</v>
      </c>
      <c r="BN488" s="409" t="s">
        <v>1675</v>
      </c>
    </row>
    <row r="489" spans="1:66" ht="18" customHeight="1">
      <c r="A489" s="199"/>
      <c r="B489" s="1299"/>
      <c r="C489" s="1299"/>
      <c r="D489" s="1299"/>
      <c r="E489" s="1299"/>
      <c r="F489" s="1299"/>
      <c r="G489" s="1299"/>
      <c r="H489" s="1299"/>
      <c r="I489" s="1299"/>
      <c r="J489" s="1299"/>
      <c r="K489" s="1299"/>
      <c r="L489" s="1299"/>
      <c r="M489" s="1299"/>
      <c r="N489" s="200"/>
      <c r="O489" s="199"/>
      <c r="P489" s="24"/>
      <c r="Q489" s="24"/>
      <c r="R489" s="398"/>
      <c r="S489" s="398"/>
      <c r="T489" s="398"/>
      <c r="U489" s="398"/>
      <c r="V489" s="398"/>
      <c r="W489" s="398"/>
      <c r="X489" s="398"/>
      <c r="Y489" s="398"/>
      <c r="Z489" s="398"/>
      <c r="AA489" s="398"/>
      <c r="AB489" s="200"/>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BI489" s="2" t="str">
        <f>BI1122</f>
        <v>self-determination</v>
      </c>
      <c r="BJ489" s="409" t="s">
        <v>1676</v>
      </c>
      <c r="BK489" s="2" t="str">
        <f>BM1122</f>
        <v>affected nativists</v>
      </c>
      <c r="BL489" s="409" t="s">
        <v>1678</v>
      </c>
      <c r="BM489" s="2" t="str">
        <f>BN1122</f>
        <v>desperate immigrants</v>
      </c>
      <c r="BN489" s="409" t="s">
        <v>706</v>
      </c>
    </row>
    <row r="490" spans="1:66" ht="18" customHeight="1">
      <c r="A490" s="199"/>
      <c r="B490" s="1299"/>
      <c r="C490" s="1299"/>
      <c r="D490" s="1299"/>
      <c r="E490" s="1299"/>
      <c r="F490" s="1299"/>
      <c r="G490" s="1299"/>
      <c r="H490" s="1299"/>
      <c r="I490" s="1299"/>
      <c r="J490" s="1299"/>
      <c r="K490" s="1299"/>
      <c r="L490" s="1299"/>
      <c r="M490" s="1299"/>
      <c r="N490" s="200"/>
      <c r="O490" s="199"/>
      <c r="P490" s="24"/>
      <c r="Q490" s="24"/>
      <c r="R490" s="398"/>
      <c r="S490" s="398"/>
      <c r="T490" s="398"/>
      <c r="U490" s="398"/>
      <c r="V490" s="398"/>
      <c r="W490" s="398"/>
      <c r="X490" s="398"/>
      <c r="Y490" s="398"/>
      <c r="Z490" s="398"/>
      <c r="AA490" s="398"/>
      <c r="AB490" s="200"/>
      <c r="AC490" s="1"/>
      <c r="AD490" s="1"/>
      <c r="AE490" s="1"/>
      <c r="AF490" s="1"/>
      <c r="AG490" s="1"/>
      <c r="AH490" s="1"/>
      <c r="AI490" s="1"/>
      <c r="AJ490" s="1"/>
      <c r="AK490" s="1"/>
      <c r="AL490" s="1"/>
      <c r="AM490" s="1"/>
      <c r="AN490" s="1"/>
      <c r="AO490" s="1"/>
      <c r="AP490" s="1"/>
      <c r="AQ490" s="1"/>
      <c r="AR490" s="1"/>
      <c r="AS490" s="1"/>
      <c r="AT490" s="1"/>
      <c r="AU490" s="1"/>
      <c r="AV490" s="1"/>
      <c r="AW490" s="1"/>
      <c r="AX490" s="1"/>
      <c r="AY490" s="1"/>
    </row>
    <row r="491" spans="1:66" ht="18" customHeight="1">
      <c r="A491" s="199"/>
      <c r="B491" s="1299"/>
      <c r="C491" s="1299"/>
      <c r="D491" s="1299"/>
      <c r="E491" s="1299"/>
      <c r="F491" s="1299"/>
      <c r="G491" s="1299"/>
      <c r="H491" s="1299"/>
      <c r="I491" s="1299"/>
      <c r="J491" s="1299"/>
      <c r="K491" s="1299"/>
      <c r="L491" s="1299"/>
      <c r="M491" s="1299"/>
      <c r="N491" s="200"/>
      <c r="O491" s="199"/>
      <c r="P491" s="24"/>
      <c r="Q491" s="24"/>
      <c r="R491" s="398"/>
      <c r="S491" s="398"/>
      <c r="T491" s="398"/>
      <c r="U491" s="398"/>
      <c r="V491" s="398"/>
      <c r="W491" s="398"/>
      <c r="X491" s="398"/>
      <c r="Y491" s="398"/>
      <c r="Z491" s="398"/>
      <c r="AA491" s="398"/>
      <c r="AB491" s="200"/>
      <c r="AC491" s="1"/>
      <c r="AD491" s="1"/>
      <c r="AE491" s="1"/>
      <c r="AF491" s="1"/>
      <c r="AG491" s="1"/>
      <c r="AH491" s="1"/>
      <c r="AI491" s="1"/>
      <c r="AJ491" s="1"/>
      <c r="AK491" s="1"/>
      <c r="AL491" s="1"/>
      <c r="AM491" s="1"/>
      <c r="AN491" s="1"/>
      <c r="AO491" s="1"/>
      <c r="AP491" s="1"/>
      <c r="AQ491" s="1"/>
      <c r="AR491" s="1"/>
      <c r="AS491" s="1"/>
      <c r="AT491" s="1"/>
      <c r="AU491" s="1"/>
      <c r="AV491" s="1"/>
      <c r="AW491" s="1"/>
      <c r="AX491" s="1"/>
      <c r="AY491" s="1"/>
    </row>
    <row r="492" spans="1:66" ht="18" customHeight="1">
      <c r="A492" s="199"/>
      <c r="B492" s="1299"/>
      <c r="C492" s="1299"/>
      <c r="D492" s="1299"/>
      <c r="E492" s="1299"/>
      <c r="F492" s="1299"/>
      <c r="G492" s="1299"/>
      <c r="H492" s="1299"/>
      <c r="I492" s="1299"/>
      <c r="J492" s="1299"/>
      <c r="K492" s="1299"/>
      <c r="L492" s="1299"/>
      <c r="M492" s="1299"/>
      <c r="N492" s="200"/>
      <c r="O492" s="199"/>
      <c r="P492" s="24"/>
      <c r="Q492" s="24"/>
      <c r="R492" s="398"/>
      <c r="S492" s="398"/>
      <c r="T492" s="398"/>
      <c r="U492" s="398"/>
      <c r="V492" s="398"/>
      <c r="W492" s="398"/>
      <c r="X492" s="398"/>
      <c r="Y492" s="398"/>
      <c r="Z492" s="398"/>
      <c r="AA492" s="398"/>
      <c r="AB492" s="200"/>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BF492" s="459" t="str">
        <f>IF(OR($I$1094=0,$B$1124=""),BH492,BF494)</f>
        <v xml:space="preserve">If your client ever thought of the other side as full of repugnant "xenophobes", does your client still think that way? Or can your client humanize the other side with competing needs? Can your client now understand why those most desperate on the other side may think of your client as complicit with other "illegals"? Once your client can envision receiving more respect from the other side for their immigration affected needs, you can help free their focus on their impacted psychosocial needs. You can then segue to de-polarizing.
</v>
      </c>
      <c r="BH492" s="465" t="s">
        <v>1837</v>
      </c>
    </row>
    <row r="493" spans="1:66" ht="4.95" customHeight="1">
      <c r="A493" s="199"/>
      <c r="B493" s="24"/>
      <c r="C493" s="24"/>
      <c r="D493" s="24"/>
      <c r="E493" s="24"/>
      <c r="F493" s="24"/>
      <c r="G493" s="24"/>
      <c r="H493" s="24"/>
      <c r="I493" s="24"/>
      <c r="J493" s="24"/>
      <c r="K493" s="24"/>
      <c r="L493" s="24"/>
      <c r="M493" s="24"/>
      <c r="N493" s="200"/>
      <c r="O493" s="199"/>
      <c r="P493" s="24"/>
      <c r="Q493" s="24"/>
      <c r="R493" s="398"/>
      <c r="S493" s="398"/>
      <c r="T493" s="398"/>
      <c r="U493" s="398"/>
      <c r="V493" s="398"/>
      <c r="W493" s="398"/>
      <c r="X493" s="398"/>
      <c r="Y493" s="398"/>
      <c r="Z493" s="398"/>
      <c r="AA493" s="398"/>
      <c r="AB493" s="200"/>
      <c r="AC493" s="1"/>
      <c r="AD493" s="1"/>
      <c r="AE493" s="1"/>
      <c r="AF493" s="1"/>
      <c r="AG493" s="1"/>
      <c r="AH493" s="1"/>
      <c r="AI493" s="1"/>
      <c r="AJ493" s="1"/>
      <c r="AK493" s="1"/>
      <c r="AL493" s="1"/>
      <c r="AM493" s="1"/>
      <c r="AN493" s="1"/>
      <c r="AO493" s="1"/>
      <c r="AP493" s="1"/>
      <c r="AQ493" s="1"/>
      <c r="AR493" s="1"/>
      <c r="AS493" s="1"/>
      <c r="AT493" s="1"/>
      <c r="AU493" s="1"/>
      <c r="AV493" s="1"/>
      <c r="AW493" s="1"/>
      <c r="AX493" s="1"/>
      <c r="AY493" s="1"/>
    </row>
    <row r="494" spans="1:66" ht="22.05" customHeight="1">
      <c r="A494" s="199"/>
      <c r="B494" s="1277" t="str">
        <f>BF492</f>
        <v xml:space="preserve">If your client ever thought of the other side as full of repugnant "xenophobes", does your client still think that way? Or can your client humanize the other side with competing needs? Can your client now understand why those most desperate on the other side may think of your client as complicit with other "illegals"? Once your client can envision receiving more respect from the other side for their immigration affected needs, you can help free their focus on their impacted psychosocial needs. You can then segue to de-polarizing.
</v>
      </c>
      <c r="C494" s="1277"/>
      <c r="D494" s="1277"/>
      <c r="E494" s="1277"/>
      <c r="F494" s="1277"/>
      <c r="G494" s="1277"/>
      <c r="H494" s="1277"/>
      <c r="I494" s="1277"/>
      <c r="J494" s="1277"/>
      <c r="K494" s="1277"/>
      <c r="L494" s="1277"/>
      <c r="M494" s="1277"/>
      <c r="N494" s="200"/>
      <c r="O494" s="199"/>
      <c r="P494" s="24"/>
      <c r="Q494" s="24"/>
      <c r="R494" s="398"/>
      <c r="S494" s="398"/>
      <c r="T494" s="398"/>
      <c r="U494" s="398"/>
      <c r="V494" s="398"/>
      <c r="W494" s="398"/>
      <c r="X494" s="398"/>
      <c r="Y494" s="398"/>
      <c r="Z494" s="398"/>
      <c r="AA494" s="398"/>
      <c r="AB494" s="200"/>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BF494" s="459" t="str">
        <f>CONCATENATE(BH494,BI494,BJ494,BK494,BL494,BM494,BN494,BO494)</f>
        <v xml:space="preserve">If your client ever thought of the other side as full of repugnant "xenophobes", does your client still think that way? Or can your client humanize the other side with competing needs? Can your client now understand why those most desperate on the other side may think of your client as complicit with other "illegals"? Once your client can envision receiving more respect from the other side for their immigration affected needs, you can help free their focus on their impacted psychosocial needs. You can then segue to de-polarizing.
</v>
      </c>
      <c r="BH494" s="409" t="s">
        <v>1694</v>
      </c>
      <c r="BI494" s="2" t="str">
        <f>BC1122</f>
        <v>"xenophobes"</v>
      </c>
      <c r="BJ494" s="409" t="s">
        <v>1835</v>
      </c>
      <c r="BK494" s="2" t="str">
        <f>BD1122</f>
        <v>"illegals"</v>
      </c>
      <c r="BL494" s="409" t="s">
        <v>1836</v>
      </c>
      <c r="BM494" s="2" t="str">
        <f>D1124</f>
        <v>immigration</v>
      </c>
      <c r="BN494" s="465" t="s">
        <v>1679</v>
      </c>
    </row>
    <row r="495" spans="1:66" ht="22.05" customHeight="1">
      <c r="A495" s="199"/>
      <c r="B495" s="1277"/>
      <c r="C495" s="1277"/>
      <c r="D495" s="1277"/>
      <c r="E495" s="1277"/>
      <c r="F495" s="1277"/>
      <c r="G495" s="1277"/>
      <c r="H495" s="1277"/>
      <c r="I495" s="1277"/>
      <c r="J495" s="1277"/>
      <c r="K495" s="1277"/>
      <c r="L495" s="1277"/>
      <c r="M495" s="1277"/>
      <c r="N495" s="200"/>
      <c r="O495" s="199"/>
      <c r="P495" s="24"/>
      <c r="Q495" s="24"/>
      <c r="R495" s="398"/>
      <c r="S495" s="398"/>
      <c r="T495" s="398"/>
      <c r="U495" s="398"/>
      <c r="V495" s="398"/>
      <c r="W495" s="398"/>
      <c r="X495" s="398"/>
      <c r="Y495" s="398"/>
      <c r="Z495" s="398"/>
      <c r="AA495" s="398"/>
      <c r="AB495" s="200"/>
      <c r="AC495" s="1"/>
      <c r="AD495" s="1"/>
      <c r="AE495" s="1"/>
      <c r="AF495" s="1"/>
      <c r="AG495" s="1"/>
      <c r="AH495" s="1"/>
      <c r="AI495" s="1"/>
      <c r="AJ495" s="1"/>
      <c r="AK495" s="1"/>
      <c r="AL495" s="1"/>
      <c r="AM495" s="1"/>
      <c r="AN495" s="1"/>
      <c r="AO495" s="1"/>
      <c r="AP495" s="1"/>
      <c r="AQ495" s="1"/>
      <c r="AR495" s="1"/>
      <c r="AS495" s="1"/>
      <c r="AT495" s="1"/>
      <c r="AU495" s="1"/>
      <c r="AV495" s="1"/>
      <c r="AW495" s="1"/>
      <c r="AX495" s="1"/>
      <c r="AY495" s="1"/>
    </row>
    <row r="496" spans="1:66" ht="22.05" customHeight="1">
      <c r="A496" s="199"/>
      <c r="B496" s="1277"/>
      <c r="C496" s="1277"/>
      <c r="D496" s="1277"/>
      <c r="E496" s="1277"/>
      <c r="F496" s="1277"/>
      <c r="G496" s="1277"/>
      <c r="H496" s="1277"/>
      <c r="I496" s="1277"/>
      <c r="J496" s="1277"/>
      <c r="K496" s="1277"/>
      <c r="L496" s="1277"/>
      <c r="M496" s="1277"/>
      <c r="N496" s="200"/>
      <c r="O496" s="199"/>
      <c r="P496" s="24"/>
      <c r="Q496" s="24"/>
      <c r="R496" s="398"/>
      <c r="S496" s="398"/>
      <c r="T496" s="398"/>
      <c r="U496" s="398"/>
      <c r="V496" s="398"/>
      <c r="W496" s="398"/>
      <c r="X496" s="398"/>
      <c r="Y496" s="398"/>
      <c r="Z496" s="398"/>
      <c r="AA496" s="398"/>
      <c r="AB496" s="200"/>
      <c r="AC496" s="1"/>
      <c r="AD496" s="1"/>
      <c r="AE496" s="1"/>
      <c r="AF496" s="1"/>
      <c r="AG496" s="1"/>
      <c r="AH496" s="1"/>
      <c r="AI496" s="1"/>
      <c r="AJ496" s="1"/>
      <c r="AK496" s="1"/>
      <c r="AL496" s="1"/>
      <c r="AM496" s="1"/>
      <c r="AN496" s="1"/>
      <c r="AO496" s="1"/>
      <c r="AP496" s="1"/>
      <c r="AQ496" s="1"/>
      <c r="AR496" s="1"/>
      <c r="AS496" s="1"/>
      <c r="AT496" s="1"/>
      <c r="AU496" s="1"/>
      <c r="AV496" s="1"/>
      <c r="AW496" s="1"/>
      <c r="AX496" s="1"/>
      <c r="AY496" s="1"/>
    </row>
    <row r="497" spans="1:73" ht="22.05" customHeight="1">
      <c r="A497" s="199"/>
      <c r="B497" s="1277"/>
      <c r="C497" s="1277"/>
      <c r="D497" s="1277"/>
      <c r="E497" s="1277"/>
      <c r="F497" s="1277"/>
      <c r="G497" s="1277"/>
      <c r="H497" s="1277"/>
      <c r="I497" s="1277"/>
      <c r="J497" s="1277"/>
      <c r="K497" s="1277"/>
      <c r="L497" s="1277"/>
      <c r="M497" s="1277"/>
      <c r="N497" s="200"/>
      <c r="O497" s="199"/>
      <c r="P497" s="24"/>
      <c r="Q497" s="24"/>
      <c r="R497" s="398"/>
      <c r="S497" s="398"/>
      <c r="T497" s="398"/>
      <c r="U497" s="398"/>
      <c r="V497" s="398"/>
      <c r="W497" s="398"/>
      <c r="X497" s="398"/>
      <c r="Y497" s="398"/>
      <c r="Z497" s="398"/>
      <c r="AA497" s="398"/>
      <c r="AB497" s="200"/>
      <c r="AC497" s="1"/>
      <c r="AD497" s="1"/>
      <c r="AE497" s="1"/>
      <c r="AF497" s="1"/>
      <c r="AG497" s="1"/>
      <c r="AH497" s="1"/>
      <c r="AI497" s="1"/>
      <c r="AJ497" s="1"/>
      <c r="AK497" s="1"/>
      <c r="AL497" s="1"/>
      <c r="AM497" s="1"/>
      <c r="AN497" s="1"/>
      <c r="AO497" s="1"/>
      <c r="AP497" s="1"/>
      <c r="AQ497" s="1"/>
      <c r="AR497" s="1"/>
      <c r="AS497" s="1"/>
      <c r="AT497" s="1"/>
      <c r="AU497" s="1"/>
      <c r="AV497" s="1"/>
      <c r="AW497" s="1"/>
      <c r="AX497" s="1"/>
      <c r="AY497" s="1"/>
    </row>
    <row r="498" spans="1:73" ht="22.05" customHeight="1">
      <c r="A498" s="199"/>
      <c r="B498" s="1277"/>
      <c r="C498" s="1277"/>
      <c r="D498" s="1277"/>
      <c r="E498" s="1277"/>
      <c r="F498" s="1277"/>
      <c r="G498" s="1277"/>
      <c r="H498" s="1277"/>
      <c r="I498" s="1277"/>
      <c r="J498" s="1277"/>
      <c r="K498" s="1277"/>
      <c r="L498" s="1277"/>
      <c r="M498" s="1277"/>
      <c r="N498" s="200"/>
      <c r="O498" s="199"/>
      <c r="P498" s="24"/>
      <c r="Q498" s="24"/>
      <c r="R498" s="398"/>
      <c r="S498" s="398"/>
      <c r="T498" s="398"/>
      <c r="U498" s="398"/>
      <c r="V498" s="398"/>
      <c r="W498" s="398"/>
      <c r="X498" s="398"/>
      <c r="Y498" s="398"/>
      <c r="Z498" s="398"/>
      <c r="AA498" s="398"/>
      <c r="AB498" s="200"/>
      <c r="AC498" s="1"/>
      <c r="AD498" s="1"/>
      <c r="AE498" s="1"/>
      <c r="AF498" s="1"/>
      <c r="AG498" s="1"/>
      <c r="AH498" s="1"/>
      <c r="AI498" s="1"/>
      <c r="AJ498" s="1"/>
      <c r="AK498" s="1"/>
      <c r="AL498" s="1"/>
      <c r="AM498" s="1"/>
      <c r="AN498" s="1"/>
      <c r="AO498" s="1"/>
      <c r="AP498" s="1"/>
      <c r="AQ498" s="1"/>
      <c r="AR498" s="1"/>
      <c r="AS498" s="1"/>
      <c r="AT498" s="1"/>
      <c r="AU498" s="1"/>
      <c r="AV498" s="1"/>
      <c r="AW498" s="1"/>
      <c r="AX498" s="1"/>
      <c r="AY498" s="1"/>
    </row>
    <row r="499" spans="1:73" ht="10.050000000000001" customHeight="1">
      <c r="A499" s="199"/>
      <c r="B499" s="24"/>
      <c r="C499" s="24"/>
      <c r="D499" s="24"/>
      <c r="E499" s="24"/>
      <c r="F499" s="24"/>
      <c r="G499" s="24"/>
      <c r="H499" s="24"/>
      <c r="I499" s="24"/>
      <c r="J499" s="24"/>
      <c r="K499" s="24"/>
      <c r="L499" s="24"/>
      <c r="M499" s="24"/>
      <c r="N499" s="200"/>
      <c r="O499" s="199"/>
      <c r="P499" s="24"/>
      <c r="Q499" s="24"/>
      <c r="R499" s="398"/>
      <c r="S499" s="398"/>
      <c r="T499" s="398"/>
      <c r="U499" s="398"/>
      <c r="V499" s="398"/>
      <c r="W499" s="398"/>
      <c r="X499" s="398"/>
      <c r="Y499" s="398"/>
      <c r="Z499" s="398"/>
      <c r="AA499" s="398"/>
      <c r="AB499" s="200"/>
      <c r="AC499" s="1"/>
      <c r="AD499" s="1"/>
      <c r="AE499" s="1"/>
      <c r="AF499" s="1"/>
      <c r="AG499" s="1"/>
      <c r="AH499" s="1"/>
      <c r="AI499" s="1"/>
      <c r="AJ499" s="1"/>
      <c r="AK499" s="1"/>
      <c r="AL499" s="1"/>
      <c r="AM499" s="1"/>
      <c r="AN499" s="1"/>
      <c r="AO499" s="1"/>
      <c r="AP499" s="1"/>
      <c r="AQ499" s="1"/>
      <c r="AR499" s="1"/>
      <c r="AS499" s="1"/>
      <c r="AT499" s="1"/>
      <c r="AU499" s="1"/>
      <c r="AV499" s="1"/>
      <c r="AW499" s="1"/>
      <c r="AX499" s="1"/>
      <c r="AY499" s="1"/>
    </row>
    <row r="500" spans="1:73" ht="30" customHeight="1">
      <c r="A500" s="210" t="s">
        <v>1148</v>
      </c>
      <c r="B500" s="579" t="s">
        <v>1649</v>
      </c>
      <c r="C500" s="373"/>
      <c r="D500" s="373"/>
      <c r="E500" s="375"/>
      <c r="F500" s="374"/>
      <c r="G500" s="373"/>
      <c r="H500" s="373"/>
      <c r="I500" s="373"/>
      <c r="J500" s="373"/>
      <c r="K500" s="373"/>
      <c r="L500" s="373"/>
      <c r="M500" s="373"/>
      <c r="N500" s="211" t="s">
        <v>1149</v>
      </c>
      <c r="O500" s="372"/>
      <c r="P500" s="374"/>
      <c r="Q500" s="373"/>
      <c r="R500" s="373"/>
      <c r="S500" s="373"/>
      <c r="T500" s="373"/>
      <c r="U500" s="373"/>
      <c r="V500" s="373"/>
      <c r="W500" s="373"/>
      <c r="X500" s="373"/>
      <c r="Y500" s="373"/>
      <c r="Z500" s="373"/>
      <c r="AA500" s="373"/>
      <c r="AB500" s="211" t="s">
        <v>1149</v>
      </c>
      <c r="AC500" s="577"/>
      <c r="AD500" s="577"/>
      <c r="AE500" s="577"/>
      <c r="AF500" s="577"/>
      <c r="AG500" s="577"/>
      <c r="AH500" s="577"/>
      <c r="AI500" s="577"/>
      <c r="AJ500" s="577"/>
      <c r="AK500" s="577"/>
      <c r="AL500" s="577"/>
      <c r="AM500" s="577"/>
      <c r="AN500" s="577"/>
      <c r="AO500" s="577"/>
      <c r="AP500" s="577"/>
      <c r="AQ500" s="577"/>
      <c r="AR500" s="577"/>
      <c r="AS500" s="577"/>
      <c r="AT500" s="577"/>
      <c r="AU500" s="577"/>
      <c r="AV500" s="577"/>
      <c r="AW500" s="577"/>
      <c r="AX500" s="577"/>
      <c r="AY500" s="577"/>
      <c r="BH500" s="139"/>
      <c r="BU500" s="139"/>
    </row>
    <row r="501" spans="1:73" ht="10.050000000000001" customHeight="1">
      <c r="A501" s="199"/>
      <c r="B501" s="24"/>
      <c r="C501" s="24"/>
      <c r="D501" s="24"/>
      <c r="E501" s="24"/>
      <c r="F501" s="24"/>
      <c r="G501" s="24"/>
      <c r="H501" s="24"/>
      <c r="I501" s="24"/>
      <c r="J501" s="24"/>
      <c r="K501" s="24"/>
      <c r="L501" s="24"/>
      <c r="M501" s="24"/>
      <c r="N501" s="200"/>
      <c r="O501" s="199"/>
      <c r="P501" s="24"/>
      <c r="Q501" s="24"/>
      <c r="R501" s="398"/>
      <c r="S501" s="398"/>
      <c r="T501" s="398"/>
      <c r="U501" s="398"/>
      <c r="V501" s="398"/>
      <c r="W501" s="398"/>
      <c r="X501" s="398"/>
      <c r="Y501" s="398"/>
      <c r="Z501" s="398"/>
      <c r="AA501" s="398"/>
      <c r="AB501" s="200"/>
      <c r="AC501" s="1"/>
      <c r="AD501" s="1"/>
      <c r="AE501" s="1"/>
      <c r="AF501" s="1"/>
      <c r="AG501" s="1"/>
      <c r="AH501" s="1"/>
      <c r="AI501" s="1"/>
      <c r="AJ501" s="1"/>
      <c r="AK501" s="1"/>
      <c r="AL501" s="1"/>
      <c r="AM501" s="1"/>
      <c r="AN501" s="1"/>
      <c r="AO501" s="1"/>
      <c r="AP501" s="1"/>
      <c r="AQ501" s="1"/>
      <c r="AR501" s="1"/>
      <c r="AS501" s="1"/>
      <c r="AT501" s="1"/>
      <c r="AU501" s="1"/>
      <c r="AV501" s="1"/>
      <c r="AW501" s="1"/>
      <c r="AX501" s="1"/>
      <c r="AY501" s="1"/>
    </row>
    <row r="502" spans="1:73" ht="19.95" customHeight="1">
      <c r="A502" s="199"/>
      <c r="B502" s="588" t="s">
        <v>2021</v>
      </c>
      <c r="C502" s="24"/>
      <c r="D502" s="24"/>
      <c r="E502" s="24"/>
      <c r="F502" s="24"/>
      <c r="G502" s="24"/>
      <c r="H502" s="24"/>
      <c r="I502" s="24"/>
      <c r="J502" s="24"/>
      <c r="K502" s="24"/>
      <c r="L502" s="24"/>
      <c r="M502" s="24"/>
      <c r="N502" s="200"/>
      <c r="O502" s="199"/>
      <c r="P502" s="24"/>
      <c r="Q502" s="24"/>
      <c r="R502" s="398"/>
      <c r="S502" s="398"/>
      <c r="T502" s="398"/>
      <c r="U502" s="398"/>
      <c r="V502" s="398"/>
      <c r="W502" s="398"/>
      <c r="X502" s="398"/>
      <c r="Y502" s="398"/>
      <c r="Z502" s="398"/>
      <c r="AA502" s="398"/>
      <c r="AB502" s="200"/>
      <c r="AC502" s="1"/>
      <c r="AD502" s="1"/>
      <c r="AE502" s="1"/>
      <c r="AF502" s="1"/>
      <c r="AG502" s="1"/>
      <c r="AH502" s="1"/>
      <c r="AI502" s="1"/>
      <c r="AJ502" s="1"/>
      <c r="AK502" s="1"/>
      <c r="AL502" s="1"/>
      <c r="AM502" s="1"/>
      <c r="AN502" s="1"/>
      <c r="AO502" s="1"/>
      <c r="AP502" s="1"/>
      <c r="AQ502" s="1"/>
      <c r="AR502" s="1"/>
      <c r="AS502" s="1"/>
      <c r="AT502" s="1"/>
      <c r="AU502" s="1"/>
      <c r="AV502" s="1"/>
      <c r="AW502" s="1"/>
      <c r="AX502" s="1"/>
      <c r="AY502" s="1"/>
      <c r="BF502" s="459" t="str">
        <f>IF(OR($I$1094=0,$B$1124=""),BH502,BF504)</f>
        <v>Nature pulls us to balance our self-needs and social-needs. Your client may experience intense emotions like alienation and loneliness because their need behind their desire for freedom of movement remains unresolved. Their desire for freedom of movement depends on their deeper unmet psychosocial need for full inclusion and their guarded psychosocial need for self-determination. This need for psychosocial balance fuels political tension.</v>
      </c>
      <c r="BH502" s="465" t="s">
        <v>1840</v>
      </c>
      <c r="BI502" s="139"/>
      <c r="BJ502" s="139"/>
      <c r="BK502" s="139"/>
      <c r="BL502" s="139"/>
      <c r="BM502" s="139"/>
      <c r="BN502" s="139"/>
      <c r="BO502" s="139"/>
      <c r="BP502" s="139"/>
      <c r="BQ502" s="139"/>
      <c r="BR502" s="139"/>
      <c r="BS502" s="139"/>
      <c r="BT502" s="139"/>
    </row>
    <row r="503" spans="1:73" ht="10.050000000000001" customHeight="1">
      <c r="A503" s="199"/>
      <c r="B503" s="24"/>
      <c r="C503" s="24"/>
      <c r="D503" s="24"/>
      <c r="E503" s="24"/>
      <c r="F503" s="24"/>
      <c r="G503" s="24"/>
      <c r="H503" s="24"/>
      <c r="I503" s="24"/>
      <c r="J503" s="24"/>
      <c r="K503" s="24"/>
      <c r="L503" s="24"/>
      <c r="M503" s="24"/>
      <c r="N503" s="200"/>
      <c r="O503" s="199"/>
      <c r="P503" s="24"/>
      <c r="Q503" s="24"/>
      <c r="R503" s="398"/>
      <c r="S503" s="398"/>
      <c r="T503" s="398"/>
      <c r="U503" s="398"/>
      <c r="V503" s="398"/>
      <c r="W503" s="398"/>
      <c r="X503" s="398"/>
      <c r="Y503" s="398"/>
      <c r="Z503" s="398"/>
      <c r="AA503" s="398"/>
      <c r="AB503" s="200"/>
      <c r="AC503" s="1"/>
      <c r="AD503" s="1"/>
      <c r="AE503" s="1"/>
      <c r="AF503" s="1"/>
      <c r="AG503" s="1"/>
      <c r="AH503" s="1"/>
      <c r="AI503" s="1"/>
      <c r="AJ503" s="1"/>
      <c r="AK503" s="1"/>
      <c r="AL503" s="1"/>
      <c r="AM503" s="1"/>
      <c r="AN503" s="1"/>
      <c r="AO503" s="1"/>
      <c r="AP503" s="1"/>
      <c r="AQ503" s="1"/>
      <c r="AR503" s="1"/>
      <c r="AS503" s="1"/>
      <c r="AT503" s="1"/>
      <c r="AU503" s="1"/>
      <c r="AV503" s="1"/>
      <c r="AW503" s="1"/>
      <c r="AX503" s="1"/>
      <c r="AY503" s="1"/>
    </row>
    <row r="504" spans="1:73" ht="19.95" customHeight="1">
      <c r="A504" s="199"/>
      <c r="B504" s="1299" t="str">
        <f>BF502</f>
        <v>Nature pulls us to balance our self-needs and social-needs. Your client may experience intense emotions like alienation and loneliness because their need behind their desire for freedom of movement remains unresolved. Their desire for freedom of movement depends on their deeper unmet psychosocial need for full inclusion and their guarded psychosocial need for self-determination. This need for psychosocial balance fuels political tension.</v>
      </c>
      <c r="C504" s="1299"/>
      <c r="D504" s="1299"/>
      <c r="E504" s="1299"/>
      <c r="F504" s="1299"/>
      <c r="G504" s="1299"/>
      <c r="H504" s="1299"/>
      <c r="I504" s="1299"/>
      <c r="J504" s="1299"/>
      <c r="K504" s="1299"/>
      <c r="L504" s="1299"/>
      <c r="M504" s="1299"/>
      <c r="N504" s="200"/>
      <c r="O504" s="199"/>
      <c r="P504" s="24"/>
      <c r="Q504" s="24"/>
      <c r="R504" s="398"/>
      <c r="S504" s="398"/>
      <c r="T504" s="398"/>
      <c r="U504" s="398"/>
      <c r="V504" s="398"/>
      <c r="W504" s="398"/>
      <c r="X504" s="398"/>
      <c r="Y504" s="398"/>
      <c r="Z504" s="398"/>
      <c r="AA504" s="398"/>
      <c r="AB504" s="200"/>
      <c r="AC504" s="1"/>
      <c r="AD504" s="1"/>
      <c r="AE504" s="1"/>
      <c r="AF504" s="1"/>
      <c r="AG504" s="1"/>
      <c r="AH504" s="1"/>
      <c r="AI504" s="1"/>
      <c r="AJ504" s="1"/>
      <c r="AK504" s="1"/>
      <c r="AL504" s="1"/>
      <c r="AM504" s="1"/>
      <c r="AN504" s="1"/>
      <c r="AO504" s="1"/>
      <c r="AP504" s="1"/>
      <c r="AQ504" s="1"/>
      <c r="AR504" s="1"/>
      <c r="AS504" s="1"/>
      <c r="AT504" s="1"/>
      <c r="AU504" s="1"/>
      <c r="AV504" s="1"/>
      <c r="AW504" s="1"/>
      <c r="AX504" s="1"/>
      <c r="AY504" s="1"/>
      <c r="BF504" s="459" t="str">
        <f>CONCATENATE(BH504,BI504,BJ504,BK504,BL504,BM504,BN504,BI505,BJ505,BK505,BL505,BM505,BN505)</f>
        <v>Nature pulls us to balance our self-needs and social-needs. Your client may experience intense emotions like alienation and loneliness because their need behind their desire for freedom of movement remains unresolved. Their desire for freedom of movement depends on their deeper unmet psychosocial need for full inclusion and their guarded psychosocial need for self-determination. This need for psychosocial balance fuels political tension.</v>
      </c>
      <c r="BH504" s="409" t="s">
        <v>2003</v>
      </c>
      <c r="BI504" s="2" t="str">
        <f>X1122</f>
        <v>alienation</v>
      </c>
      <c r="BJ504" s="409" t="s">
        <v>1378</v>
      </c>
      <c r="BK504" s="2" t="str">
        <f>Z1122</f>
        <v>loneliness</v>
      </c>
      <c r="BL504" s="409" t="s">
        <v>1700</v>
      </c>
      <c r="BM504" s="2" t="str">
        <f>BE1122</f>
        <v>for freedom of movement</v>
      </c>
      <c r="BN504" s="465" t="s">
        <v>1701</v>
      </c>
      <c r="BO504" s="46"/>
    </row>
    <row r="505" spans="1:73" ht="19.95" customHeight="1">
      <c r="A505" s="199"/>
      <c r="B505" s="1299"/>
      <c r="C505" s="1299"/>
      <c r="D505" s="1299"/>
      <c r="E505" s="1299"/>
      <c r="F505" s="1299"/>
      <c r="G505" s="1299"/>
      <c r="H505" s="1299"/>
      <c r="I505" s="1299"/>
      <c r="J505" s="1299"/>
      <c r="K505" s="1299"/>
      <c r="L505" s="1299"/>
      <c r="M505" s="1299"/>
      <c r="N505" s="200"/>
      <c r="O505" s="199"/>
      <c r="P505" s="24"/>
      <c r="Q505" s="24"/>
      <c r="R505" s="398"/>
      <c r="S505" s="398"/>
      <c r="T505" s="398"/>
      <c r="U505" s="398"/>
      <c r="V505" s="398"/>
      <c r="W505" s="398"/>
      <c r="X505" s="398"/>
      <c r="Y505" s="398"/>
      <c r="Z505" s="398"/>
      <c r="AA505" s="398"/>
      <c r="AB505" s="200"/>
      <c r="AC505" s="1"/>
      <c r="AD505" s="1"/>
      <c r="AE505" s="1"/>
      <c r="AF505" s="1"/>
      <c r="AG505" s="1"/>
      <c r="AH505" s="1"/>
      <c r="AI505" s="1"/>
      <c r="AJ505" s="1"/>
      <c r="AK505" s="1"/>
      <c r="AL505" s="1"/>
      <c r="AM505" s="1"/>
      <c r="AN505" s="1"/>
      <c r="AO505" s="1"/>
      <c r="AP505" s="1"/>
      <c r="AQ505" s="1"/>
      <c r="AR505" s="1"/>
      <c r="AS505" s="1"/>
      <c r="AT505" s="1"/>
      <c r="AU505" s="1"/>
      <c r="AV505" s="1"/>
      <c r="AW505" s="1"/>
      <c r="AX505" s="1"/>
      <c r="AY505" s="1"/>
      <c r="BI505" s="2" t="str">
        <f>BE1122</f>
        <v>for freedom of movement</v>
      </c>
      <c r="BJ505" s="409" t="s">
        <v>1698</v>
      </c>
      <c r="BK505" s="2" t="str">
        <f>BG1122</f>
        <v>full inclusion</v>
      </c>
      <c r="BL505" s="409" t="s">
        <v>1699</v>
      </c>
      <c r="BM505" s="2" t="str">
        <f>BI1122</f>
        <v>self-determination</v>
      </c>
      <c r="BN505" s="465" t="s">
        <v>1838</v>
      </c>
    </row>
    <row r="506" spans="1:73" ht="19.95" customHeight="1">
      <c r="A506" s="199"/>
      <c r="B506" s="1299"/>
      <c r="C506" s="1299"/>
      <c r="D506" s="1299"/>
      <c r="E506" s="1299"/>
      <c r="F506" s="1299"/>
      <c r="G506" s="1299"/>
      <c r="H506" s="1299"/>
      <c r="I506" s="1299"/>
      <c r="J506" s="1299"/>
      <c r="K506" s="1299"/>
      <c r="L506" s="1299"/>
      <c r="M506" s="1299"/>
      <c r="N506" s="200"/>
      <c r="O506" s="199"/>
      <c r="P506" s="24"/>
      <c r="Q506" s="24"/>
      <c r="R506" s="398"/>
      <c r="S506" s="398"/>
      <c r="T506" s="398"/>
      <c r="U506" s="398"/>
      <c r="V506" s="398"/>
      <c r="W506" s="398"/>
      <c r="X506" s="398"/>
      <c r="Y506" s="398"/>
      <c r="Z506" s="398"/>
      <c r="AA506" s="398"/>
      <c r="AB506" s="200"/>
      <c r="AC506" s="1"/>
      <c r="AD506" s="1"/>
      <c r="AE506" s="1"/>
      <c r="AF506" s="1"/>
      <c r="AG506" s="1"/>
      <c r="AH506" s="1"/>
      <c r="AI506" s="1"/>
      <c r="AJ506" s="1"/>
      <c r="AK506" s="1"/>
      <c r="AL506" s="1"/>
      <c r="AM506" s="1"/>
      <c r="AN506" s="1"/>
      <c r="AO506" s="1"/>
      <c r="AP506" s="1"/>
      <c r="AQ506" s="1"/>
      <c r="AR506" s="1"/>
      <c r="AS506" s="1"/>
      <c r="AT506" s="1"/>
      <c r="AU506" s="1"/>
      <c r="AV506" s="1"/>
      <c r="AW506" s="1"/>
      <c r="AX506" s="1"/>
      <c r="AY506" s="1"/>
    </row>
    <row r="507" spans="1:73" ht="19.95" customHeight="1">
      <c r="A507" s="199"/>
      <c r="B507" s="1299"/>
      <c r="C507" s="1299"/>
      <c r="D507" s="1299"/>
      <c r="E507" s="1299"/>
      <c r="F507" s="1299"/>
      <c r="G507" s="1299"/>
      <c r="H507" s="1299"/>
      <c r="I507" s="1299"/>
      <c r="J507" s="1299"/>
      <c r="K507" s="1299"/>
      <c r="L507" s="1299"/>
      <c r="M507" s="1299"/>
      <c r="N507" s="200"/>
      <c r="O507" s="199"/>
      <c r="P507" s="24"/>
      <c r="Q507" s="24"/>
      <c r="R507" s="398"/>
      <c r="S507" s="398"/>
      <c r="T507" s="398"/>
      <c r="U507" s="398"/>
      <c r="V507" s="398"/>
      <c r="W507" s="398"/>
      <c r="X507" s="398"/>
      <c r="Y507" s="398"/>
      <c r="Z507" s="398"/>
      <c r="AA507" s="398"/>
      <c r="AB507" s="200"/>
      <c r="AC507" s="1"/>
      <c r="AD507" s="1"/>
      <c r="AE507" s="1"/>
      <c r="AF507" s="1"/>
      <c r="AG507" s="1"/>
      <c r="AH507" s="1"/>
      <c r="AI507" s="1"/>
      <c r="AJ507" s="1"/>
      <c r="AK507" s="1"/>
      <c r="AL507" s="1"/>
      <c r="AM507" s="1"/>
      <c r="AN507" s="1"/>
      <c r="AO507" s="1"/>
      <c r="AP507" s="1"/>
      <c r="AQ507" s="1"/>
      <c r="AR507" s="1"/>
      <c r="AS507" s="1"/>
      <c r="AT507" s="1"/>
      <c r="AU507" s="1"/>
      <c r="AV507" s="1"/>
      <c r="AW507" s="1"/>
      <c r="AX507" s="1"/>
      <c r="AY507" s="1"/>
    </row>
    <row r="508" spans="1:73" ht="19.95" customHeight="1">
      <c r="A508" s="199"/>
      <c r="B508" s="1299"/>
      <c r="C508" s="1299"/>
      <c r="D508" s="1299"/>
      <c r="E508" s="1299"/>
      <c r="F508" s="1299"/>
      <c r="G508" s="1299"/>
      <c r="H508" s="1299"/>
      <c r="I508" s="1299"/>
      <c r="J508" s="1299"/>
      <c r="K508" s="1299"/>
      <c r="L508" s="1299"/>
      <c r="M508" s="1299"/>
      <c r="N508" s="200"/>
      <c r="O508" s="199"/>
      <c r="P508" s="24"/>
      <c r="Q508" s="24"/>
      <c r="R508" s="398"/>
      <c r="S508" s="398"/>
      <c r="T508" s="398"/>
      <c r="U508" s="398"/>
      <c r="V508" s="398"/>
      <c r="W508" s="398"/>
      <c r="X508" s="398"/>
      <c r="Y508" s="398"/>
      <c r="Z508" s="398"/>
      <c r="AA508" s="398"/>
      <c r="AB508" s="200"/>
      <c r="AC508" s="1"/>
      <c r="AD508" s="1"/>
      <c r="AE508" s="1"/>
      <c r="AF508" s="1"/>
      <c r="AG508" s="1"/>
      <c r="AH508" s="1"/>
      <c r="AI508" s="1"/>
      <c r="AJ508" s="1"/>
      <c r="AK508" s="1"/>
      <c r="AL508" s="1"/>
      <c r="AM508" s="1"/>
      <c r="AN508" s="1"/>
      <c r="AO508" s="1"/>
      <c r="AP508" s="1"/>
      <c r="AQ508" s="1"/>
      <c r="AR508" s="1"/>
      <c r="AS508" s="1"/>
      <c r="AT508" s="1"/>
      <c r="AU508" s="1"/>
      <c r="AV508" s="1"/>
      <c r="AW508" s="1"/>
      <c r="AX508" s="1"/>
      <c r="AY508" s="1"/>
      <c r="BF508" s="595" t="str">
        <f>IF(OR($I$1094=0,$B$1124=""),BH508,BF510)</f>
        <v>Situations beyond their personal control dictates these needs. Politics give expression to these impacts, with the support of those similar affected. Because we often blindly trust politics to ease such needs. As your client focuses on their more visible need for freedom of movement, you focus on their less visibly affected psychosocial needs.</v>
      </c>
      <c r="BH508" s="465"/>
    </row>
    <row r="509" spans="1:73" ht="4.95" customHeight="1">
      <c r="A509" s="199"/>
      <c r="B509" s="24"/>
      <c r="C509" s="24"/>
      <c r="D509" s="24"/>
      <c r="E509" s="24"/>
      <c r="F509" s="24"/>
      <c r="G509" s="24"/>
      <c r="H509" s="24"/>
      <c r="I509" s="24"/>
      <c r="J509" s="24"/>
      <c r="K509" s="24"/>
      <c r="L509" s="24"/>
      <c r="M509" s="24"/>
      <c r="N509" s="200"/>
      <c r="O509" s="199"/>
      <c r="P509" s="24"/>
      <c r="Q509" s="24"/>
      <c r="R509" s="398"/>
      <c r="S509" s="398"/>
      <c r="T509" s="398"/>
      <c r="U509" s="398"/>
      <c r="V509" s="398"/>
      <c r="W509" s="398"/>
      <c r="X509" s="398"/>
      <c r="Y509" s="398"/>
      <c r="Z509" s="398"/>
      <c r="AA509" s="398"/>
      <c r="AB509" s="200"/>
      <c r="AC509" s="1"/>
      <c r="AD509" s="1"/>
      <c r="AE509" s="1"/>
      <c r="AF509" s="1"/>
      <c r="AG509" s="1"/>
      <c r="AH509" s="1"/>
      <c r="AI509" s="1"/>
      <c r="AJ509" s="1"/>
      <c r="AK509" s="1"/>
      <c r="AL509" s="1"/>
      <c r="AM509" s="1"/>
      <c r="AN509" s="1"/>
      <c r="AO509" s="1"/>
      <c r="AP509" s="1"/>
      <c r="AQ509" s="1"/>
      <c r="AR509" s="1"/>
      <c r="AS509" s="1"/>
      <c r="AT509" s="1"/>
      <c r="AU509" s="1"/>
      <c r="AV509" s="1"/>
      <c r="AW509" s="1"/>
      <c r="AX509" s="1"/>
      <c r="AY509" s="1"/>
    </row>
    <row r="510" spans="1:73" ht="19.95" customHeight="1">
      <c r="A510" s="199"/>
      <c r="B510" s="1299" t="str">
        <f>BF510</f>
        <v>Situations beyond their personal control dictates these needs. Politics give expression to these impacts, with the support of those similar affected. Because we often blindly trust politics to ease such needs. As your client focuses on their more visible need for freedom of movement, you focus on their less visibly affected psychosocial needs.</v>
      </c>
      <c r="C510" s="1299"/>
      <c r="D510" s="1299"/>
      <c r="E510" s="1299"/>
      <c r="F510" s="1299"/>
      <c r="G510" s="1299"/>
      <c r="H510" s="1299"/>
      <c r="I510" s="1299"/>
      <c r="J510" s="1299"/>
      <c r="K510" s="1299"/>
      <c r="L510" s="1299"/>
      <c r="M510" s="1299"/>
      <c r="N510" s="200"/>
      <c r="O510" s="199"/>
      <c r="P510" s="24"/>
      <c r="Q510" s="24"/>
      <c r="R510" s="398"/>
      <c r="S510" s="398"/>
      <c r="T510" s="398"/>
      <c r="U510" s="398"/>
      <c r="V510" s="398"/>
      <c r="W510" s="398"/>
      <c r="X510" s="398"/>
      <c r="Y510" s="398"/>
      <c r="Z510" s="398"/>
      <c r="AA510" s="398"/>
      <c r="AB510" s="200"/>
      <c r="AC510" s="1"/>
      <c r="AD510" s="1"/>
      <c r="AE510" s="1"/>
      <c r="AF510" s="1"/>
      <c r="AG510" s="1"/>
      <c r="AH510" s="1"/>
      <c r="AI510" s="1"/>
      <c r="AJ510" s="1"/>
      <c r="AK510" s="1"/>
      <c r="AL510" s="1"/>
      <c r="AM510" s="1"/>
      <c r="AN510" s="1"/>
      <c r="AO510" s="1"/>
      <c r="AP510" s="1"/>
      <c r="AQ510" s="1"/>
      <c r="AR510" s="1"/>
      <c r="AS510" s="1"/>
      <c r="AT510" s="1"/>
      <c r="AU510" s="1"/>
      <c r="AV510" s="1"/>
      <c r="AW510" s="1"/>
      <c r="AX510" s="1"/>
      <c r="AY510" s="1"/>
      <c r="BF510" s="459" t="str">
        <f>CONCATENATE(BH510,BI510,BJ510,BK510,BL510,BM510,BN510,BO510)</f>
        <v>Situations beyond their personal control dictates these needs. Politics give expression to these impacts, with the support of those similar affected. Because we often blindly trust politics to ease such needs. As your client focuses on their more visible need for freedom of movement, you focus on their less visibly affected psychosocial needs.</v>
      </c>
      <c r="BH510" s="409" t="s">
        <v>1839</v>
      </c>
      <c r="BI510" s="2" t="str">
        <f>IF($BE$1122="","politically expressed",$BE$1122)</f>
        <v>for freedom of movement</v>
      </c>
      <c r="BJ510" s="465" t="s">
        <v>1697</v>
      </c>
    </row>
    <row r="511" spans="1:73" ht="19.95" customHeight="1">
      <c r="A511" s="199"/>
      <c r="B511" s="1299"/>
      <c r="C511" s="1299"/>
      <c r="D511" s="1299"/>
      <c r="E511" s="1299"/>
      <c r="F511" s="1299"/>
      <c r="G511" s="1299"/>
      <c r="H511" s="1299"/>
      <c r="I511" s="1299"/>
      <c r="J511" s="1299"/>
      <c r="K511" s="1299"/>
      <c r="L511" s="1299"/>
      <c r="M511" s="1299"/>
      <c r="N511" s="200"/>
      <c r="O511" s="199"/>
      <c r="P511" s="24"/>
      <c r="Q511" s="24"/>
      <c r="R511" s="398"/>
      <c r="S511" s="398"/>
      <c r="T511" s="398"/>
      <c r="U511" s="398"/>
      <c r="V511" s="398"/>
      <c r="W511" s="398"/>
      <c r="X511" s="398"/>
      <c r="Y511" s="398"/>
      <c r="Z511" s="398"/>
      <c r="AA511" s="398"/>
      <c r="AB511" s="200"/>
      <c r="AC511" s="1"/>
      <c r="AD511" s="1"/>
      <c r="AE511" s="1"/>
      <c r="AF511" s="1"/>
      <c r="AG511" s="1"/>
      <c r="AH511" s="1"/>
      <c r="AI511" s="1"/>
      <c r="AJ511" s="1"/>
      <c r="AK511" s="1"/>
      <c r="AL511" s="1"/>
      <c r="AM511" s="1"/>
      <c r="AN511" s="1"/>
      <c r="AO511" s="1"/>
      <c r="AP511" s="1"/>
      <c r="AQ511" s="1"/>
      <c r="AR511" s="1"/>
      <c r="AS511" s="1"/>
      <c r="AT511" s="1"/>
      <c r="AU511" s="1"/>
      <c r="AV511" s="1"/>
      <c r="AW511" s="1"/>
      <c r="AX511" s="1"/>
      <c r="AY511" s="1"/>
    </row>
    <row r="512" spans="1:73" ht="19.95" customHeight="1">
      <c r="A512" s="199"/>
      <c r="B512" s="1299"/>
      <c r="C512" s="1299"/>
      <c r="D512" s="1299"/>
      <c r="E512" s="1299"/>
      <c r="F512" s="1299"/>
      <c r="G512" s="1299"/>
      <c r="H512" s="1299"/>
      <c r="I512" s="1299"/>
      <c r="J512" s="1299"/>
      <c r="K512" s="1299"/>
      <c r="L512" s="1299"/>
      <c r="M512" s="1299"/>
      <c r="N512" s="200"/>
      <c r="O512" s="199"/>
      <c r="P512" s="24"/>
      <c r="Q512" s="24"/>
      <c r="R512" s="398"/>
      <c r="S512" s="398"/>
      <c r="T512" s="398"/>
      <c r="U512" s="398"/>
      <c r="V512" s="398"/>
      <c r="W512" s="398"/>
      <c r="X512" s="398"/>
      <c r="Y512" s="398"/>
      <c r="Z512" s="398"/>
      <c r="AA512" s="398"/>
      <c r="AB512" s="200"/>
      <c r="AC512" s="1"/>
      <c r="AD512" s="1"/>
      <c r="AE512" s="1"/>
      <c r="AF512" s="1"/>
      <c r="AG512" s="1"/>
      <c r="AH512" s="1"/>
      <c r="AI512" s="1"/>
      <c r="AJ512" s="1"/>
      <c r="AK512" s="1"/>
      <c r="AL512" s="1"/>
      <c r="AM512" s="1"/>
      <c r="AN512" s="1"/>
      <c r="AO512" s="1"/>
      <c r="AP512" s="1"/>
      <c r="AQ512" s="1"/>
      <c r="AR512" s="1"/>
      <c r="AS512" s="1"/>
      <c r="AT512" s="1"/>
      <c r="AU512" s="1"/>
      <c r="AV512" s="1"/>
      <c r="AW512" s="1"/>
      <c r="AX512" s="1"/>
      <c r="AY512" s="1"/>
    </row>
    <row r="513" spans="1:62" ht="19.95" customHeight="1">
      <c r="A513" s="199"/>
      <c r="B513" s="1299"/>
      <c r="C513" s="1299"/>
      <c r="D513" s="1299"/>
      <c r="E513" s="1299"/>
      <c r="F513" s="1299"/>
      <c r="G513" s="1299"/>
      <c r="H513" s="1299"/>
      <c r="I513" s="1299"/>
      <c r="J513" s="1299"/>
      <c r="K513" s="1299"/>
      <c r="L513" s="1299"/>
      <c r="M513" s="1299"/>
      <c r="N513" s="200"/>
      <c r="O513" s="199"/>
      <c r="P513" s="24"/>
      <c r="Q513" s="24"/>
      <c r="R513" s="398"/>
      <c r="S513" s="398"/>
      <c r="T513" s="398"/>
      <c r="U513" s="398"/>
      <c r="V513" s="398"/>
      <c r="W513" s="398"/>
      <c r="X513" s="398"/>
      <c r="Y513" s="398"/>
      <c r="Z513" s="398"/>
      <c r="AA513" s="398"/>
      <c r="AB513" s="200"/>
      <c r="AC513" s="1"/>
      <c r="AD513" s="1"/>
      <c r="AE513" s="1"/>
      <c r="AF513" s="1"/>
      <c r="AG513" s="1"/>
      <c r="AH513" s="1"/>
      <c r="AI513" s="1"/>
      <c r="AJ513" s="1"/>
      <c r="AK513" s="1"/>
      <c r="AL513" s="1"/>
      <c r="AM513" s="1"/>
      <c r="AN513" s="1"/>
      <c r="AO513" s="1"/>
      <c r="AP513" s="1"/>
      <c r="AQ513" s="1"/>
      <c r="AR513" s="1"/>
      <c r="AS513" s="1"/>
      <c r="AT513" s="1"/>
      <c r="AU513" s="1"/>
      <c r="AV513" s="1"/>
      <c r="AW513" s="1"/>
      <c r="AX513" s="1"/>
      <c r="AY513" s="1"/>
      <c r="BF513" s="595" t="str">
        <f>IF(OR($I$1094=0,$I$1096=0,$B$1124=""),BH513,BF515)</f>
        <v>As you support resolving their affected self-needs on par with resolving their affected social-needs, you see their polarization gradually collapse. You nurture their conciliation between a wide and deep orientation to immigration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v>
      </c>
      <c r="BH513" s="465"/>
    </row>
    <row r="514" spans="1:62" ht="4.95" customHeight="1">
      <c r="A514" s="199"/>
      <c r="B514" s="24"/>
      <c r="C514" s="24"/>
      <c r="D514" s="24"/>
      <c r="E514" s="24"/>
      <c r="F514" s="24"/>
      <c r="G514" s="24"/>
      <c r="H514" s="24"/>
      <c r="I514" s="24"/>
      <c r="J514" s="24"/>
      <c r="K514" s="24"/>
      <c r="L514" s="24"/>
      <c r="M514" s="24"/>
      <c r="N514" s="200"/>
      <c r="O514" s="199"/>
      <c r="P514" s="24"/>
      <c r="Q514" s="24"/>
      <c r="R514" s="398"/>
      <c r="S514" s="398"/>
      <c r="T514" s="398"/>
      <c r="U514" s="398"/>
      <c r="V514" s="398"/>
      <c r="W514" s="398"/>
      <c r="X514" s="398"/>
      <c r="Y514" s="398"/>
      <c r="Z514" s="398"/>
      <c r="AA514" s="398"/>
      <c r="AB514" s="200"/>
      <c r="AC514" s="1"/>
      <c r="AD514" s="1"/>
      <c r="AE514" s="1"/>
      <c r="AF514" s="1"/>
      <c r="AG514" s="1"/>
      <c r="AH514" s="1"/>
      <c r="AI514" s="1"/>
      <c r="AJ514" s="1"/>
      <c r="AK514" s="1"/>
      <c r="AL514" s="1"/>
      <c r="AM514" s="1"/>
      <c r="AN514" s="1"/>
      <c r="AO514" s="1"/>
      <c r="AP514" s="1"/>
      <c r="AQ514" s="1"/>
      <c r="AR514" s="1"/>
      <c r="AS514" s="1"/>
      <c r="AT514" s="1"/>
      <c r="AU514" s="1"/>
      <c r="AV514" s="1"/>
      <c r="AW514" s="1"/>
      <c r="AX514" s="1"/>
      <c r="AY514" s="1"/>
    </row>
    <row r="515" spans="1:62" ht="19.95" customHeight="1">
      <c r="A515" s="199"/>
      <c r="B515" s="1299" t="str">
        <f>BF515</f>
        <v>As you support resolving their affected self-needs on par with resolving their affected social-needs, you see their polarization gradually collapse. You nurture their conciliation between a wide and deep orientation to immigration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v>
      </c>
      <c r="C515" s="1299"/>
      <c r="D515" s="1299"/>
      <c r="E515" s="1299"/>
      <c r="F515" s="1299"/>
      <c r="G515" s="1299"/>
      <c r="H515" s="1299"/>
      <c r="I515" s="1299"/>
      <c r="J515" s="1299"/>
      <c r="K515" s="1299"/>
      <c r="L515" s="1299"/>
      <c r="M515" s="1299"/>
      <c r="N515" s="200"/>
      <c r="O515" s="199"/>
      <c r="P515" s="24"/>
      <c r="Q515" s="24"/>
      <c r="R515" s="398"/>
      <c r="S515" s="398"/>
      <c r="T515" s="398"/>
      <c r="U515" s="398"/>
      <c r="V515" s="398"/>
      <c r="W515" s="398"/>
      <c r="X515" s="398"/>
      <c r="Y515" s="398"/>
      <c r="Z515" s="398"/>
      <c r="AA515" s="398"/>
      <c r="AB515" s="200"/>
      <c r="AC515" s="1"/>
      <c r="AD515" s="1"/>
      <c r="AE515" s="1"/>
      <c r="AF515" s="1"/>
      <c r="AG515" s="1"/>
      <c r="AH515" s="1"/>
      <c r="AI515" s="1"/>
      <c r="AJ515" s="1"/>
      <c r="AK515" s="1"/>
      <c r="AL515" s="1"/>
      <c r="AM515" s="1"/>
      <c r="AN515" s="1"/>
      <c r="AO515" s="1"/>
      <c r="AP515" s="1"/>
      <c r="AQ515" s="1"/>
      <c r="AR515" s="1"/>
      <c r="AS515" s="1"/>
      <c r="AT515" s="1"/>
      <c r="AU515" s="1"/>
      <c r="AV515" s="1"/>
      <c r="AW515" s="1"/>
      <c r="AX515" s="1"/>
      <c r="AY515" s="1"/>
      <c r="BF515" s="459" t="str">
        <f>CONCATENATE(BH515,BI515,BJ515,BK515,BL515,BM515,BN515,BO515)</f>
        <v>As you support resolving their affected self-needs on par with resolving their affected social-needs, you see their polarization gradually collapse. You nurture their conciliation between a wide and deep orientation to immigration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v>
      </c>
      <c r="BH515" s="409" t="s">
        <v>1695</v>
      </c>
      <c r="BI515" s="2" t="str">
        <f>IF($D$1124="","politicized",$D$1124)</f>
        <v>immigration</v>
      </c>
      <c r="BJ515" s="465" t="s">
        <v>1696</v>
      </c>
    </row>
    <row r="516" spans="1:62" ht="19.95" customHeight="1">
      <c r="A516" s="199"/>
      <c r="B516" s="1299"/>
      <c r="C516" s="1299"/>
      <c r="D516" s="1299"/>
      <c r="E516" s="1299"/>
      <c r="F516" s="1299"/>
      <c r="G516" s="1299"/>
      <c r="H516" s="1299"/>
      <c r="I516" s="1299"/>
      <c r="J516" s="1299"/>
      <c r="K516" s="1299"/>
      <c r="L516" s="1299"/>
      <c r="M516" s="1299"/>
      <c r="N516" s="200"/>
      <c r="O516" s="199"/>
      <c r="P516" s="24"/>
      <c r="Q516" s="24"/>
      <c r="R516" s="398"/>
      <c r="S516" s="398"/>
      <c r="T516" s="398"/>
      <c r="U516" s="398"/>
      <c r="V516" s="398"/>
      <c r="W516" s="398"/>
      <c r="X516" s="398"/>
      <c r="Y516" s="398"/>
      <c r="Z516" s="398"/>
      <c r="AA516" s="398"/>
      <c r="AB516" s="200"/>
      <c r="AC516" s="1"/>
      <c r="AD516" s="1"/>
      <c r="AE516" s="1"/>
      <c r="AF516" s="1"/>
      <c r="AG516" s="1"/>
      <c r="AH516" s="1"/>
      <c r="AI516" s="1"/>
      <c r="AJ516" s="1"/>
      <c r="AK516" s="1"/>
      <c r="AL516" s="1"/>
      <c r="AM516" s="1"/>
      <c r="AN516" s="1"/>
      <c r="AO516" s="1"/>
      <c r="AP516" s="1"/>
      <c r="AQ516" s="1"/>
      <c r="AR516" s="1"/>
      <c r="AS516" s="1"/>
      <c r="AT516" s="1"/>
      <c r="AU516" s="1"/>
      <c r="AV516" s="1"/>
      <c r="AW516" s="1"/>
      <c r="AX516" s="1"/>
      <c r="AY516" s="1"/>
    </row>
    <row r="517" spans="1:62" ht="19.95" customHeight="1">
      <c r="A517" s="199"/>
      <c r="B517" s="1299"/>
      <c r="C517" s="1299"/>
      <c r="D517" s="1299"/>
      <c r="E517" s="1299"/>
      <c r="F517" s="1299"/>
      <c r="G517" s="1299"/>
      <c r="H517" s="1299"/>
      <c r="I517" s="1299"/>
      <c r="J517" s="1299"/>
      <c r="K517" s="1299"/>
      <c r="L517" s="1299"/>
      <c r="M517" s="1299"/>
      <c r="N517" s="200"/>
      <c r="O517" s="199"/>
      <c r="P517" s="24"/>
      <c r="Q517" s="24"/>
      <c r="R517" s="398"/>
      <c r="S517" s="398"/>
      <c r="T517" s="398"/>
      <c r="U517" s="398"/>
      <c r="V517" s="398"/>
      <c r="W517" s="398"/>
      <c r="X517" s="398"/>
      <c r="Y517" s="398"/>
      <c r="Z517" s="398"/>
      <c r="AA517" s="398"/>
      <c r="AB517" s="200"/>
      <c r="AC517" s="1"/>
      <c r="AD517" s="1"/>
      <c r="AE517" s="1"/>
      <c r="AF517" s="1"/>
      <c r="AG517" s="1"/>
      <c r="AH517" s="1"/>
      <c r="AI517" s="1"/>
      <c r="AJ517" s="1"/>
      <c r="AK517" s="1"/>
      <c r="AL517" s="1"/>
      <c r="AM517" s="1"/>
      <c r="AN517" s="1"/>
      <c r="AO517" s="1"/>
      <c r="AP517" s="1"/>
      <c r="AQ517" s="1"/>
      <c r="AR517" s="1"/>
      <c r="AS517" s="1"/>
      <c r="AT517" s="1"/>
      <c r="AU517" s="1"/>
      <c r="AV517" s="1"/>
      <c r="AW517" s="1"/>
      <c r="AX517" s="1"/>
      <c r="AY517" s="1"/>
    </row>
    <row r="518" spans="1:62" ht="19.95" customHeight="1">
      <c r="A518" s="199"/>
      <c r="B518" s="1299"/>
      <c r="C518" s="1299"/>
      <c r="D518" s="1299"/>
      <c r="E518" s="1299"/>
      <c r="F518" s="1299"/>
      <c r="G518" s="1299"/>
      <c r="H518" s="1299"/>
      <c r="I518" s="1299"/>
      <c r="J518" s="1299"/>
      <c r="K518" s="1299"/>
      <c r="L518" s="1299"/>
      <c r="M518" s="1299"/>
      <c r="N518" s="200"/>
      <c r="O518" s="199"/>
      <c r="P518" s="24"/>
      <c r="Q518" s="24"/>
      <c r="R518" s="398"/>
      <c r="S518" s="398"/>
      <c r="T518" s="398"/>
      <c r="U518" s="398"/>
      <c r="V518" s="398"/>
      <c r="W518" s="398"/>
      <c r="X518" s="398"/>
      <c r="Y518" s="398"/>
      <c r="Z518" s="398"/>
      <c r="AA518" s="398"/>
      <c r="AB518" s="200"/>
      <c r="AC518" s="1"/>
      <c r="AD518" s="1"/>
      <c r="AE518" s="1"/>
      <c r="AF518" s="1"/>
      <c r="AG518" s="1"/>
      <c r="AH518" s="1"/>
      <c r="AI518" s="1"/>
      <c r="AJ518" s="1"/>
      <c r="AK518" s="1"/>
      <c r="AL518" s="1"/>
      <c r="AM518" s="1"/>
      <c r="AN518" s="1"/>
      <c r="AO518" s="1"/>
      <c r="AP518" s="1"/>
      <c r="AQ518" s="1"/>
      <c r="AR518" s="1"/>
      <c r="AS518" s="1"/>
      <c r="AT518" s="1"/>
      <c r="AU518" s="1"/>
      <c r="AV518" s="1"/>
      <c r="AW518" s="1"/>
      <c r="AX518" s="1"/>
      <c r="AY518" s="1"/>
    </row>
    <row r="519" spans="1:62" ht="19.95" customHeight="1">
      <c r="A519" s="199"/>
      <c r="B519" s="1299"/>
      <c r="C519" s="1299"/>
      <c r="D519" s="1299"/>
      <c r="E519" s="1299"/>
      <c r="F519" s="1299"/>
      <c r="G519" s="1299"/>
      <c r="H519" s="1299"/>
      <c r="I519" s="1299"/>
      <c r="J519" s="1299"/>
      <c r="K519" s="1299"/>
      <c r="L519" s="1299"/>
      <c r="M519" s="1299"/>
      <c r="N519" s="200"/>
      <c r="O519" s="199"/>
      <c r="P519" s="24"/>
      <c r="Q519" s="24"/>
      <c r="R519" s="398"/>
      <c r="S519" s="398"/>
      <c r="T519" s="398"/>
      <c r="U519" s="398"/>
      <c r="V519" s="398"/>
      <c r="W519" s="398"/>
      <c r="X519" s="398"/>
      <c r="Y519" s="398"/>
      <c r="Z519" s="398"/>
      <c r="AA519" s="398"/>
      <c r="AB519" s="200"/>
      <c r="AC519" s="1"/>
      <c r="AD519" s="1"/>
      <c r="AE519" s="1"/>
      <c r="AF519" s="1"/>
      <c r="AG519" s="1"/>
      <c r="AH519" s="1"/>
      <c r="AI519" s="1"/>
      <c r="AJ519" s="1"/>
      <c r="AK519" s="1"/>
      <c r="AL519" s="1"/>
      <c r="AM519" s="1"/>
      <c r="AN519" s="1"/>
      <c r="AO519" s="1"/>
      <c r="AP519" s="1"/>
      <c r="AQ519" s="1"/>
      <c r="AR519" s="1"/>
      <c r="AS519" s="1"/>
      <c r="AT519" s="1"/>
      <c r="AU519" s="1"/>
      <c r="AV519" s="1"/>
      <c r="AW519" s="1"/>
      <c r="AX519" s="1"/>
      <c r="AY519" s="1"/>
    </row>
    <row r="520" spans="1:62" ht="19.95" customHeight="1">
      <c r="A520" s="199"/>
      <c r="B520" s="1299"/>
      <c r="C520" s="1299"/>
      <c r="D520" s="1299"/>
      <c r="E520" s="1299"/>
      <c r="F520" s="1299"/>
      <c r="G520" s="1299"/>
      <c r="H520" s="1299"/>
      <c r="I520" s="1299"/>
      <c r="J520" s="1299"/>
      <c r="K520" s="1299"/>
      <c r="L520" s="1299"/>
      <c r="M520" s="1299"/>
      <c r="N520" s="200"/>
      <c r="O520" s="199"/>
      <c r="P520" s="24"/>
      <c r="Q520" s="24"/>
      <c r="R520" s="398"/>
      <c r="S520" s="398"/>
      <c r="T520" s="398"/>
      <c r="U520" s="398"/>
      <c r="V520" s="398"/>
      <c r="W520" s="398"/>
      <c r="X520" s="398"/>
      <c r="Y520" s="398"/>
      <c r="Z520" s="398"/>
      <c r="AA520" s="398"/>
      <c r="AB520" s="200"/>
      <c r="AC520" s="1"/>
      <c r="AD520" s="1"/>
      <c r="AE520" s="1"/>
      <c r="AF520" s="1"/>
      <c r="AG520" s="1"/>
      <c r="AH520" s="1"/>
      <c r="AI520" s="1"/>
      <c r="AJ520" s="1"/>
      <c r="AK520" s="1"/>
      <c r="AL520" s="1"/>
      <c r="AM520" s="1"/>
      <c r="AN520" s="1"/>
      <c r="AO520" s="1"/>
      <c r="AP520" s="1"/>
      <c r="AQ520" s="1"/>
      <c r="AR520" s="1"/>
      <c r="AS520" s="1"/>
      <c r="AT520" s="1"/>
      <c r="AU520" s="1"/>
      <c r="AV520" s="1"/>
      <c r="AW520" s="1"/>
      <c r="AX520" s="1"/>
      <c r="AY520" s="1"/>
    </row>
    <row r="521" spans="1:62" ht="4.95" customHeight="1">
      <c r="A521" s="199"/>
      <c r="B521" s="24"/>
      <c r="C521" s="24"/>
      <c r="D521" s="24"/>
      <c r="E521" s="24"/>
      <c r="F521" s="24"/>
      <c r="G521" s="24"/>
      <c r="H521" s="24"/>
      <c r="I521" s="24"/>
      <c r="J521" s="24"/>
      <c r="K521" s="24"/>
      <c r="L521" s="24"/>
      <c r="M521" s="24"/>
      <c r="N521" s="200"/>
      <c r="O521" s="199"/>
      <c r="P521" s="24"/>
      <c r="Q521" s="24"/>
      <c r="R521" s="398"/>
      <c r="S521" s="398"/>
      <c r="T521" s="398"/>
      <c r="U521" s="398"/>
      <c r="V521" s="398"/>
      <c r="W521" s="398"/>
      <c r="X521" s="398"/>
      <c r="Y521" s="398"/>
      <c r="Z521" s="398"/>
      <c r="AA521" s="398"/>
      <c r="AB521" s="200"/>
      <c r="AC521" s="1"/>
      <c r="AD521" s="1"/>
      <c r="AE521" s="1"/>
      <c r="AF521" s="1"/>
      <c r="AG521" s="1"/>
      <c r="AH521" s="1"/>
      <c r="AI521" s="1"/>
      <c r="AJ521" s="1"/>
      <c r="AK521" s="1"/>
      <c r="AL521" s="1"/>
      <c r="AM521" s="1"/>
      <c r="AN521" s="1"/>
      <c r="AO521" s="1"/>
      <c r="AP521" s="1"/>
      <c r="AQ521" s="1"/>
      <c r="AR521" s="1"/>
      <c r="AS521" s="1"/>
      <c r="AT521" s="1"/>
      <c r="AU521" s="1"/>
      <c r="AV521" s="1"/>
      <c r="AW521" s="1"/>
      <c r="AX521" s="1"/>
      <c r="AY521" s="1"/>
    </row>
    <row r="522" spans="1:62" ht="19.95" customHeight="1">
      <c r="A522" s="199"/>
      <c r="B522" s="24"/>
      <c r="C522" s="24"/>
      <c r="D522" s="24"/>
      <c r="E522" s="24"/>
      <c r="F522" s="24"/>
      <c r="G522" s="24"/>
      <c r="H522" s="24"/>
      <c r="I522" s="24"/>
      <c r="J522" s="24"/>
      <c r="K522" s="24"/>
      <c r="L522" s="24"/>
      <c r="M522" s="24"/>
      <c r="N522" s="200"/>
      <c r="O522" s="199"/>
      <c r="P522" s="24"/>
      <c r="Q522" s="24"/>
      <c r="R522" s="398"/>
      <c r="S522" s="398"/>
      <c r="T522" s="398"/>
      <c r="U522" s="398"/>
      <c r="V522" s="398"/>
      <c r="W522" s="398"/>
      <c r="X522" s="398"/>
      <c r="Y522" s="398"/>
      <c r="Z522" s="398"/>
      <c r="AA522" s="398"/>
      <c r="AB522" s="200"/>
      <c r="AC522" s="1"/>
      <c r="AD522" s="1"/>
      <c r="AE522" s="1"/>
      <c r="AF522" s="1"/>
      <c r="AG522" s="1"/>
      <c r="AH522" s="1"/>
      <c r="AI522" s="1"/>
      <c r="AJ522" s="1"/>
      <c r="AK522" s="1"/>
      <c r="AL522" s="1"/>
      <c r="AM522" s="1"/>
      <c r="AN522" s="1"/>
      <c r="AO522" s="1"/>
      <c r="AP522" s="1"/>
      <c r="AQ522" s="1"/>
      <c r="AR522" s="1"/>
      <c r="AS522" s="1"/>
      <c r="AT522" s="1"/>
      <c r="AU522" s="1"/>
      <c r="AV522" s="1"/>
      <c r="AW522" s="1"/>
      <c r="AX522" s="1"/>
      <c r="AY522" s="1"/>
    </row>
    <row r="523" spans="1:62" ht="19.95" customHeight="1">
      <c r="A523" s="199"/>
      <c r="B523" s="24"/>
      <c r="C523" s="24"/>
      <c r="D523" s="24"/>
      <c r="E523" s="24"/>
      <c r="F523" s="24"/>
      <c r="G523" s="24"/>
      <c r="H523" s="24"/>
      <c r="I523" s="24"/>
      <c r="J523" s="24"/>
      <c r="K523" s="24"/>
      <c r="L523" s="24"/>
      <c r="M523" s="24"/>
      <c r="N523" s="200"/>
      <c r="O523" s="199"/>
      <c r="P523" s="24"/>
      <c r="Q523" s="24"/>
      <c r="R523" s="398"/>
      <c r="S523" s="398"/>
      <c r="T523" s="398"/>
      <c r="U523" s="398"/>
      <c r="V523" s="398"/>
      <c r="W523" s="398"/>
      <c r="X523" s="398"/>
      <c r="Y523" s="398"/>
      <c r="Z523" s="398"/>
      <c r="AA523" s="398"/>
      <c r="AB523" s="200"/>
      <c r="AC523" s="1"/>
      <c r="AD523" s="1"/>
      <c r="AE523" s="1"/>
      <c r="AF523" s="1"/>
      <c r="AG523" s="1"/>
      <c r="AH523" s="1"/>
      <c r="AI523" s="1"/>
      <c r="AJ523" s="1"/>
      <c r="AK523" s="1"/>
      <c r="AL523" s="1"/>
      <c r="AM523" s="1"/>
      <c r="AN523" s="1"/>
      <c r="AO523" s="1"/>
      <c r="AP523" s="1"/>
      <c r="AQ523" s="1"/>
      <c r="AR523" s="1"/>
      <c r="AS523" s="1"/>
      <c r="AT523" s="1"/>
      <c r="AU523" s="1"/>
      <c r="AV523" s="1"/>
      <c r="AW523" s="1"/>
      <c r="AX523" s="1"/>
      <c r="AY523" s="1"/>
    </row>
    <row r="524" spans="1:62" ht="19.95" customHeight="1">
      <c r="A524" s="199"/>
      <c r="B524" s="24"/>
      <c r="C524" s="24"/>
      <c r="D524" s="24"/>
      <c r="E524" s="24"/>
      <c r="F524" s="24"/>
      <c r="G524" s="24"/>
      <c r="H524" s="24"/>
      <c r="I524" s="24"/>
      <c r="J524" s="24"/>
      <c r="K524" s="24"/>
      <c r="L524" s="24"/>
      <c r="M524" s="24"/>
      <c r="N524" s="200"/>
      <c r="O524" s="199"/>
      <c r="P524" s="24"/>
      <c r="Q524" s="24"/>
      <c r="R524" s="398"/>
      <c r="S524" s="398"/>
      <c r="T524" s="398"/>
      <c r="U524" s="398"/>
      <c r="V524" s="398"/>
      <c r="W524" s="398"/>
      <c r="X524" s="398"/>
      <c r="Y524" s="398"/>
      <c r="Z524" s="398"/>
      <c r="AA524" s="398"/>
      <c r="AB524" s="200"/>
      <c r="AC524" s="1"/>
      <c r="AD524" s="1"/>
      <c r="AE524" s="1"/>
      <c r="AF524" s="1"/>
      <c r="AG524" s="1"/>
      <c r="AH524" s="1"/>
      <c r="AI524" s="1"/>
      <c r="AJ524" s="1"/>
      <c r="AK524" s="1"/>
      <c r="AL524" s="1"/>
      <c r="AM524" s="1"/>
      <c r="AN524" s="1"/>
      <c r="AO524" s="1"/>
      <c r="AP524" s="1"/>
      <c r="AQ524" s="1"/>
      <c r="AR524" s="1"/>
      <c r="AS524" s="1"/>
      <c r="AT524" s="1"/>
      <c r="AU524" s="1"/>
      <c r="AV524" s="1"/>
      <c r="AW524" s="1"/>
      <c r="AX524" s="1"/>
      <c r="AY524" s="1"/>
    </row>
    <row r="525" spans="1:62" ht="19.95" customHeight="1">
      <c r="A525" s="199"/>
      <c r="B525" s="24"/>
      <c r="C525" s="24"/>
      <c r="D525" s="24"/>
      <c r="E525" s="24"/>
      <c r="F525" s="24"/>
      <c r="G525" s="24"/>
      <c r="H525" s="24"/>
      <c r="I525" s="24"/>
      <c r="J525" s="24"/>
      <c r="K525" s="24"/>
      <c r="L525" s="24"/>
      <c r="M525" s="24"/>
      <c r="N525" s="200"/>
      <c r="O525" s="199"/>
      <c r="P525" s="24"/>
      <c r="Q525" s="24"/>
      <c r="R525" s="398"/>
      <c r="S525" s="398"/>
      <c r="T525" s="398"/>
      <c r="U525" s="398"/>
      <c r="V525" s="398"/>
      <c r="W525" s="398"/>
      <c r="X525" s="398"/>
      <c r="Y525" s="398"/>
      <c r="Z525" s="398"/>
      <c r="AA525" s="398"/>
      <c r="AB525" s="200"/>
      <c r="AC525" s="1"/>
      <c r="AD525" s="1"/>
      <c r="AE525" s="1"/>
      <c r="AF525" s="1"/>
      <c r="AG525" s="1"/>
      <c r="AH525" s="1"/>
      <c r="AI525" s="1"/>
      <c r="AJ525" s="1"/>
      <c r="AK525" s="1"/>
      <c r="AL525" s="1"/>
      <c r="AM525" s="1"/>
      <c r="AN525" s="1"/>
      <c r="AO525" s="1"/>
      <c r="AP525" s="1"/>
      <c r="AQ525" s="1"/>
      <c r="AR525" s="1"/>
      <c r="AS525" s="1"/>
      <c r="AT525" s="1"/>
      <c r="AU525" s="1"/>
      <c r="AV525" s="1"/>
      <c r="AW525" s="1"/>
      <c r="AX525" s="1"/>
      <c r="AY525" s="1"/>
    </row>
    <row r="526" spans="1:62" ht="19.95" customHeight="1">
      <c r="A526" s="199"/>
      <c r="B526" s="24"/>
      <c r="C526" s="24"/>
      <c r="D526" s="24"/>
      <c r="E526" s="24"/>
      <c r="F526" s="24"/>
      <c r="G526" s="24"/>
      <c r="H526" s="24"/>
      <c r="I526" s="24"/>
      <c r="J526" s="24"/>
      <c r="K526" s="24"/>
      <c r="L526" s="24"/>
      <c r="M526" s="24"/>
      <c r="N526" s="200"/>
      <c r="O526" s="199"/>
      <c r="P526" s="24"/>
      <c r="Q526" s="24"/>
      <c r="R526" s="398"/>
      <c r="S526" s="398"/>
      <c r="T526" s="398"/>
      <c r="U526" s="398"/>
      <c r="V526" s="398"/>
      <c r="W526" s="398"/>
      <c r="X526" s="398"/>
      <c r="Y526" s="398"/>
      <c r="Z526" s="398"/>
      <c r="AA526" s="398"/>
      <c r="AB526" s="200"/>
      <c r="AC526" s="1"/>
      <c r="AD526" s="1"/>
      <c r="AE526" s="1"/>
      <c r="AF526" s="1"/>
      <c r="AG526" s="1"/>
      <c r="AH526" s="1"/>
      <c r="AI526" s="1"/>
      <c r="AJ526" s="1"/>
      <c r="AK526" s="1"/>
      <c r="AL526" s="1"/>
      <c r="AM526" s="1"/>
      <c r="AN526" s="1"/>
      <c r="AO526" s="1"/>
      <c r="AP526" s="1"/>
      <c r="AQ526" s="1"/>
      <c r="AR526" s="1"/>
      <c r="AS526" s="1"/>
      <c r="AT526" s="1"/>
      <c r="AU526" s="1"/>
      <c r="AV526" s="1"/>
      <c r="AW526" s="1"/>
      <c r="AX526" s="1"/>
      <c r="AY526" s="1"/>
    </row>
    <row r="527" spans="1:62" ht="19.95" customHeight="1">
      <c r="A527" s="199"/>
      <c r="B527" s="24"/>
      <c r="C527" s="24"/>
      <c r="D527" s="24"/>
      <c r="E527" s="24"/>
      <c r="F527" s="24"/>
      <c r="G527" s="24"/>
      <c r="H527" s="24"/>
      <c r="I527" s="24"/>
      <c r="J527" s="24"/>
      <c r="K527" s="24"/>
      <c r="L527" s="24"/>
      <c r="M527" s="24"/>
      <c r="N527" s="200"/>
      <c r="O527" s="199"/>
      <c r="P527" s="24"/>
      <c r="Q527" s="24"/>
      <c r="R527" s="398"/>
      <c r="S527" s="398"/>
      <c r="T527" s="398"/>
      <c r="U527" s="398"/>
      <c r="V527" s="398"/>
      <c r="W527" s="398"/>
      <c r="X527" s="398"/>
      <c r="Y527" s="398"/>
      <c r="Z527" s="398"/>
      <c r="AA527" s="398"/>
      <c r="AB527" s="200"/>
      <c r="AC527" s="1"/>
      <c r="AD527" s="1"/>
      <c r="AE527" s="1"/>
      <c r="AF527" s="1"/>
      <c r="AG527" s="1"/>
      <c r="AH527" s="1"/>
      <c r="AI527" s="1"/>
      <c r="AJ527" s="1"/>
      <c r="AK527" s="1"/>
      <c r="AL527" s="1"/>
      <c r="AM527" s="1"/>
      <c r="AN527" s="1"/>
      <c r="AO527" s="1"/>
      <c r="AP527" s="1"/>
      <c r="AQ527" s="1"/>
      <c r="AR527" s="1"/>
      <c r="AS527" s="1"/>
      <c r="AT527" s="1"/>
      <c r="AU527" s="1"/>
      <c r="AV527" s="1"/>
      <c r="AW527" s="1"/>
      <c r="AX527" s="1"/>
      <c r="AY527" s="1"/>
    </row>
    <row r="528" spans="1:62" ht="19.95" customHeight="1">
      <c r="A528" s="199"/>
      <c r="B528" s="24"/>
      <c r="C528" s="24"/>
      <c r="D528" s="24"/>
      <c r="E528" s="24"/>
      <c r="F528" s="24"/>
      <c r="G528" s="24"/>
      <c r="H528" s="24"/>
      <c r="I528" s="24"/>
      <c r="J528" s="24"/>
      <c r="K528" s="24"/>
      <c r="L528" s="24"/>
      <c r="M528" s="24"/>
      <c r="N528" s="200"/>
      <c r="O528" s="199"/>
      <c r="P528" s="24"/>
      <c r="Q528" s="24"/>
      <c r="R528" s="398"/>
      <c r="S528" s="398"/>
      <c r="T528" s="398"/>
      <c r="U528" s="398"/>
      <c r="V528" s="398"/>
      <c r="W528" s="398"/>
      <c r="X528" s="398"/>
      <c r="Y528" s="398"/>
      <c r="Z528" s="398"/>
      <c r="AA528" s="398"/>
      <c r="AB528" s="200"/>
      <c r="AC528" s="1"/>
      <c r="AD528" s="1"/>
      <c r="AE528" s="1"/>
      <c r="AF528" s="1"/>
      <c r="AG528" s="1"/>
      <c r="AH528" s="1"/>
      <c r="AI528" s="1"/>
      <c r="AJ528" s="1"/>
      <c r="AK528" s="1"/>
      <c r="AL528" s="1"/>
      <c r="AM528" s="1"/>
      <c r="AN528" s="1"/>
      <c r="AO528" s="1"/>
      <c r="AP528" s="1"/>
      <c r="AQ528" s="1"/>
      <c r="AR528" s="1"/>
      <c r="AS528" s="1"/>
      <c r="AT528" s="1"/>
      <c r="AU528" s="1"/>
      <c r="AV528" s="1"/>
      <c r="AW528" s="1"/>
      <c r="AX528" s="1"/>
      <c r="AY528" s="1"/>
    </row>
    <row r="529" spans="1:51" ht="19.95" customHeight="1">
      <c r="A529" s="199"/>
      <c r="B529" s="24"/>
      <c r="C529" s="24"/>
      <c r="D529" s="24"/>
      <c r="E529" s="24"/>
      <c r="F529" s="24"/>
      <c r="G529" s="24"/>
      <c r="H529" s="24"/>
      <c r="I529" s="24"/>
      <c r="J529" s="24"/>
      <c r="K529" s="24"/>
      <c r="L529" s="24"/>
      <c r="M529" s="24"/>
      <c r="N529" s="200"/>
      <c r="O529" s="199"/>
      <c r="P529" s="24"/>
      <c r="Q529" s="24"/>
      <c r="R529" s="398"/>
      <c r="S529" s="398"/>
      <c r="T529" s="398"/>
      <c r="U529" s="398"/>
      <c r="V529" s="398"/>
      <c r="W529" s="398"/>
      <c r="X529" s="398"/>
      <c r="Y529" s="398"/>
      <c r="Z529" s="398"/>
      <c r="AA529" s="398"/>
      <c r="AB529" s="200"/>
      <c r="AC529" s="1"/>
      <c r="AD529" s="1"/>
      <c r="AE529" s="1"/>
      <c r="AF529" s="1"/>
      <c r="AG529" s="1"/>
      <c r="AH529" s="1"/>
      <c r="AI529" s="1"/>
      <c r="AJ529" s="1"/>
      <c r="AK529" s="1"/>
      <c r="AL529" s="1"/>
      <c r="AM529" s="1"/>
      <c r="AN529" s="1"/>
      <c r="AO529" s="1"/>
      <c r="AP529" s="1"/>
      <c r="AQ529" s="1"/>
      <c r="AR529" s="1"/>
      <c r="AS529" s="1"/>
      <c r="AT529" s="1"/>
      <c r="AU529" s="1"/>
      <c r="AV529" s="1"/>
      <c r="AW529" s="1"/>
      <c r="AX529" s="1"/>
      <c r="AY529" s="1"/>
    </row>
    <row r="530" spans="1:51" ht="19.95" customHeight="1">
      <c r="A530" s="199"/>
      <c r="B530" s="24"/>
      <c r="C530" s="24"/>
      <c r="D530" s="24"/>
      <c r="E530" s="24"/>
      <c r="F530" s="24"/>
      <c r="G530" s="24"/>
      <c r="H530" s="24"/>
      <c r="I530" s="24"/>
      <c r="J530" s="24"/>
      <c r="K530" s="24"/>
      <c r="L530" s="24"/>
      <c r="M530" s="24"/>
      <c r="N530" s="200"/>
      <c r="O530" s="199"/>
      <c r="P530" s="24"/>
      <c r="Q530" s="24"/>
      <c r="R530" s="398"/>
      <c r="S530" s="398"/>
      <c r="T530" s="398"/>
      <c r="U530" s="398"/>
      <c r="V530" s="398"/>
      <c r="W530" s="398"/>
      <c r="X530" s="398"/>
      <c r="Y530" s="398"/>
      <c r="Z530" s="398"/>
      <c r="AA530" s="398"/>
      <c r="AB530" s="200"/>
      <c r="AC530" s="1"/>
      <c r="AD530" s="1"/>
      <c r="AE530" s="1"/>
      <c r="AF530" s="1"/>
      <c r="AG530" s="1"/>
      <c r="AH530" s="1"/>
      <c r="AI530" s="1"/>
      <c r="AJ530" s="1"/>
      <c r="AK530" s="1"/>
      <c r="AL530" s="1"/>
      <c r="AM530" s="1"/>
      <c r="AN530" s="1"/>
      <c r="AO530" s="1"/>
      <c r="AP530" s="1"/>
      <c r="AQ530" s="1"/>
      <c r="AR530" s="1"/>
      <c r="AS530" s="1"/>
      <c r="AT530" s="1"/>
      <c r="AU530" s="1"/>
      <c r="AV530" s="1"/>
      <c r="AW530" s="1"/>
      <c r="AX530" s="1"/>
      <c r="AY530" s="1"/>
    </row>
    <row r="531" spans="1:51" ht="4.95" customHeight="1">
      <c r="A531" s="199"/>
      <c r="B531" s="24"/>
      <c r="C531" s="24"/>
      <c r="D531" s="24"/>
      <c r="E531" s="24"/>
      <c r="F531" s="24"/>
      <c r="G531" s="24"/>
      <c r="H531" s="24"/>
      <c r="I531" s="24"/>
      <c r="J531" s="24"/>
      <c r="K531" s="24"/>
      <c r="L531" s="24"/>
      <c r="M531" s="24"/>
      <c r="N531" s="200"/>
      <c r="O531" s="199"/>
      <c r="P531" s="24"/>
      <c r="Q531" s="24"/>
      <c r="R531" s="398"/>
      <c r="S531" s="398"/>
      <c r="T531" s="398"/>
      <c r="U531" s="398"/>
      <c r="V531" s="398"/>
      <c r="W531" s="398"/>
      <c r="X531" s="398"/>
      <c r="Y531" s="398"/>
      <c r="Z531" s="398"/>
      <c r="AA531" s="398"/>
      <c r="AB531" s="200"/>
      <c r="AC531" s="1"/>
      <c r="AD531" s="1"/>
      <c r="AE531" s="1"/>
      <c r="AF531" s="1"/>
      <c r="AG531" s="1"/>
      <c r="AH531" s="1"/>
      <c r="AI531" s="1"/>
      <c r="AJ531" s="1"/>
      <c r="AK531" s="1"/>
      <c r="AL531" s="1"/>
      <c r="AM531" s="1"/>
      <c r="AN531" s="1"/>
      <c r="AO531" s="1"/>
      <c r="AP531" s="1"/>
      <c r="AQ531" s="1"/>
      <c r="AR531" s="1"/>
      <c r="AS531" s="1"/>
      <c r="AT531" s="1"/>
      <c r="AU531" s="1"/>
      <c r="AV531" s="1"/>
      <c r="AW531" s="1"/>
      <c r="AX531" s="1"/>
      <c r="AY531" s="1"/>
    </row>
    <row r="532" spans="1:51" ht="19.95" customHeight="1">
      <c r="A532" s="199"/>
      <c r="B532" s="1299" t="s">
        <v>1702</v>
      </c>
      <c r="C532" s="1299"/>
      <c r="D532" s="1299"/>
      <c r="E532" s="1299"/>
      <c r="F532" s="1299"/>
      <c r="G532" s="1299"/>
      <c r="H532" s="1299"/>
      <c r="I532" s="1299"/>
      <c r="J532" s="1299"/>
      <c r="K532" s="1299"/>
      <c r="L532" s="1299"/>
      <c r="M532" s="1299"/>
      <c r="N532" s="200"/>
      <c r="O532" s="199"/>
      <c r="P532" s="24"/>
      <c r="Q532" s="24"/>
      <c r="R532" s="398"/>
      <c r="S532" s="398"/>
      <c r="T532" s="398"/>
      <c r="U532" s="398"/>
      <c r="V532" s="398"/>
      <c r="W532" s="398"/>
      <c r="X532" s="398"/>
      <c r="Y532" s="398"/>
      <c r="Z532" s="398"/>
      <c r="AA532" s="398"/>
      <c r="AB532" s="200"/>
      <c r="AC532" s="1"/>
      <c r="AD532" s="1"/>
      <c r="AE532" s="1"/>
      <c r="AF532" s="1"/>
      <c r="AG532" s="1"/>
      <c r="AH532" s="1"/>
      <c r="AI532" s="1"/>
      <c r="AJ532" s="1"/>
      <c r="AK532" s="1"/>
      <c r="AL532" s="1"/>
      <c r="AM532" s="1"/>
      <c r="AN532" s="1"/>
      <c r="AO532" s="1"/>
      <c r="AP532" s="1"/>
      <c r="AQ532" s="1"/>
      <c r="AR532" s="1"/>
      <c r="AS532" s="1"/>
      <c r="AT532" s="1"/>
      <c r="AU532" s="1"/>
      <c r="AV532" s="1"/>
      <c r="AW532" s="1"/>
      <c r="AX532" s="1"/>
      <c r="AY532" s="1"/>
    </row>
    <row r="533" spans="1:51" ht="19.95" customHeight="1">
      <c r="A533" s="199"/>
      <c r="B533" s="1299"/>
      <c r="C533" s="1299"/>
      <c r="D533" s="1299"/>
      <c r="E533" s="1299"/>
      <c r="F533" s="1299"/>
      <c r="G533" s="1299"/>
      <c r="H533" s="1299"/>
      <c r="I533" s="1299"/>
      <c r="J533" s="1299"/>
      <c r="K533" s="1299"/>
      <c r="L533" s="1299"/>
      <c r="M533" s="1299"/>
      <c r="N533" s="200"/>
      <c r="O533" s="199"/>
      <c r="P533" s="24"/>
      <c r="Q533" s="24"/>
      <c r="R533" s="398"/>
      <c r="S533" s="398"/>
      <c r="T533" s="398"/>
      <c r="U533" s="398"/>
      <c r="V533" s="398"/>
      <c r="W533" s="398"/>
      <c r="X533" s="398"/>
      <c r="Y533" s="398"/>
      <c r="Z533" s="398"/>
      <c r="AA533" s="398"/>
      <c r="AB533" s="200"/>
      <c r="AC533" s="1"/>
      <c r="AD533" s="1"/>
      <c r="AE533" s="1"/>
      <c r="AF533" s="1"/>
      <c r="AG533" s="1"/>
      <c r="AH533" s="1"/>
      <c r="AI533" s="1"/>
      <c r="AJ533" s="1"/>
      <c r="AK533" s="1"/>
      <c r="AL533" s="1"/>
      <c r="AM533" s="1"/>
      <c r="AN533" s="1"/>
      <c r="AO533" s="1"/>
      <c r="AP533" s="1"/>
      <c r="AQ533" s="1"/>
      <c r="AR533" s="1"/>
      <c r="AS533" s="1"/>
      <c r="AT533" s="1"/>
      <c r="AU533" s="1"/>
      <c r="AV533" s="1"/>
      <c r="AW533" s="1"/>
      <c r="AX533" s="1"/>
      <c r="AY533" s="1"/>
    </row>
    <row r="534" spans="1:51" ht="19.95" customHeight="1">
      <c r="A534" s="199"/>
      <c r="B534" s="1299"/>
      <c r="C534" s="1299"/>
      <c r="D534" s="1299"/>
      <c r="E534" s="1299"/>
      <c r="F534" s="1299"/>
      <c r="G534" s="1299"/>
      <c r="H534" s="1299"/>
      <c r="I534" s="1299"/>
      <c r="J534" s="1299"/>
      <c r="K534" s="1299"/>
      <c r="L534" s="1299"/>
      <c r="M534" s="1299"/>
      <c r="N534" s="200"/>
      <c r="O534" s="199"/>
      <c r="P534" s="24"/>
      <c r="Q534" s="24"/>
      <c r="R534" s="398"/>
      <c r="S534" s="398"/>
      <c r="T534" s="398"/>
      <c r="U534" s="398"/>
      <c r="V534" s="398"/>
      <c r="W534" s="398"/>
      <c r="X534" s="398"/>
      <c r="Y534" s="398"/>
      <c r="Z534" s="398"/>
      <c r="AA534" s="398"/>
      <c r="AB534" s="200"/>
      <c r="AC534" s="1"/>
      <c r="AD534" s="1"/>
      <c r="AE534" s="1"/>
      <c r="AF534" s="1"/>
      <c r="AG534" s="1"/>
      <c r="AH534" s="1"/>
      <c r="AI534" s="1"/>
      <c r="AJ534" s="1"/>
      <c r="AK534" s="1"/>
      <c r="AL534" s="1"/>
      <c r="AM534" s="1"/>
      <c r="AN534" s="1"/>
      <c r="AO534" s="1"/>
      <c r="AP534" s="1"/>
      <c r="AQ534" s="1"/>
      <c r="AR534" s="1"/>
      <c r="AS534" s="1"/>
      <c r="AT534" s="1"/>
      <c r="AU534" s="1"/>
      <c r="AV534" s="1"/>
      <c r="AW534" s="1"/>
      <c r="AX534" s="1"/>
      <c r="AY534" s="1"/>
    </row>
    <row r="535" spans="1:51" ht="19.95" customHeight="1">
      <c r="A535" s="199"/>
      <c r="B535" s="1299"/>
      <c r="C535" s="1299"/>
      <c r="D535" s="1299"/>
      <c r="E535" s="1299"/>
      <c r="F535" s="1299"/>
      <c r="G535" s="1299"/>
      <c r="H535" s="1299"/>
      <c r="I535" s="1299"/>
      <c r="J535" s="1299"/>
      <c r="K535" s="1299"/>
      <c r="L535" s="1299"/>
      <c r="M535" s="1299"/>
      <c r="N535" s="200"/>
      <c r="O535" s="199"/>
      <c r="P535" s="24"/>
      <c r="Q535" s="24"/>
      <c r="R535" s="398"/>
      <c r="S535" s="398"/>
      <c r="T535" s="398"/>
      <c r="U535" s="398"/>
      <c r="V535" s="398"/>
      <c r="W535" s="398"/>
      <c r="X535" s="398"/>
      <c r="Y535" s="398"/>
      <c r="Z535" s="398"/>
      <c r="AA535" s="398"/>
      <c r="AB535" s="200"/>
      <c r="AC535" s="1"/>
      <c r="AD535" s="1"/>
      <c r="AE535" s="1"/>
      <c r="AF535" s="1"/>
      <c r="AG535" s="1"/>
      <c r="AH535" s="1"/>
      <c r="AI535" s="1"/>
      <c r="AJ535" s="1"/>
      <c r="AK535" s="1"/>
      <c r="AL535" s="1"/>
      <c r="AM535" s="1"/>
      <c r="AN535" s="1"/>
      <c r="AO535" s="1"/>
      <c r="AP535" s="1"/>
      <c r="AQ535" s="1"/>
      <c r="AR535" s="1"/>
      <c r="AS535" s="1"/>
      <c r="AT535" s="1"/>
      <c r="AU535" s="1"/>
      <c r="AV535" s="1"/>
      <c r="AW535" s="1"/>
      <c r="AX535" s="1"/>
      <c r="AY535" s="1"/>
    </row>
    <row r="536" spans="1:51" ht="19.95" customHeight="1">
      <c r="A536" s="199"/>
      <c r="B536" s="1299"/>
      <c r="C536" s="1299"/>
      <c r="D536" s="1299"/>
      <c r="E536" s="1299"/>
      <c r="F536" s="1299"/>
      <c r="G536" s="1299"/>
      <c r="H536" s="1299"/>
      <c r="I536" s="1299"/>
      <c r="J536" s="1299"/>
      <c r="K536" s="1299"/>
      <c r="L536" s="1299"/>
      <c r="M536" s="1299"/>
      <c r="N536" s="200"/>
      <c r="O536" s="199"/>
      <c r="P536" s="24"/>
      <c r="Q536" s="24"/>
      <c r="R536" s="398"/>
      <c r="S536" s="398"/>
      <c r="T536" s="398"/>
      <c r="U536" s="398"/>
      <c r="V536" s="398"/>
      <c r="W536" s="398"/>
      <c r="X536" s="398"/>
      <c r="Y536" s="398"/>
      <c r="Z536" s="398"/>
      <c r="AA536" s="398"/>
      <c r="AB536" s="200"/>
      <c r="AC536" s="1"/>
      <c r="AD536" s="1"/>
      <c r="AE536" s="1"/>
      <c r="AF536" s="1"/>
      <c r="AG536" s="1"/>
      <c r="AH536" s="1"/>
      <c r="AI536" s="1"/>
      <c r="AJ536" s="1"/>
      <c r="AK536" s="1"/>
      <c r="AL536" s="1"/>
      <c r="AM536" s="1"/>
      <c r="AN536" s="1"/>
      <c r="AO536" s="1"/>
      <c r="AP536" s="1"/>
      <c r="AQ536" s="1"/>
      <c r="AR536" s="1"/>
      <c r="AS536" s="1"/>
      <c r="AT536" s="1"/>
      <c r="AU536" s="1"/>
      <c r="AV536" s="1"/>
      <c r="AW536" s="1"/>
      <c r="AX536" s="1"/>
      <c r="AY536" s="1"/>
    </row>
    <row r="537" spans="1:51" ht="10.050000000000001" customHeight="1">
      <c r="A537" s="199"/>
      <c r="B537" s="24"/>
      <c r="C537" s="24"/>
      <c r="D537" s="24"/>
      <c r="E537" s="24"/>
      <c r="F537" s="24"/>
      <c r="G537" s="24"/>
      <c r="H537" s="24"/>
      <c r="I537" s="24"/>
      <c r="J537" s="24"/>
      <c r="K537" s="24"/>
      <c r="L537" s="24"/>
      <c r="M537" s="24"/>
      <c r="N537" s="200"/>
      <c r="O537" s="199"/>
      <c r="P537" s="24"/>
      <c r="Q537" s="24"/>
      <c r="R537" s="398"/>
      <c r="S537" s="398"/>
      <c r="T537" s="398"/>
      <c r="U537" s="398"/>
      <c r="V537" s="398"/>
      <c r="W537" s="398"/>
      <c r="X537" s="398"/>
      <c r="Y537" s="398"/>
      <c r="Z537" s="398"/>
      <c r="AA537" s="398"/>
      <c r="AB537" s="200"/>
      <c r="AC537" s="1"/>
      <c r="AD537" s="1"/>
      <c r="AE537" s="1"/>
      <c r="AF537" s="1"/>
      <c r="AG537" s="1"/>
      <c r="AH537" s="1"/>
      <c r="AI537" s="1"/>
      <c r="AJ537" s="1"/>
      <c r="AK537" s="1"/>
      <c r="AL537" s="1"/>
      <c r="AM537" s="1"/>
      <c r="AN537" s="1"/>
      <c r="AO537" s="1"/>
      <c r="AP537" s="1"/>
      <c r="AQ537" s="1"/>
      <c r="AR537" s="1"/>
      <c r="AS537" s="1"/>
      <c r="AT537" s="1"/>
      <c r="AU537" s="1"/>
      <c r="AV537" s="1"/>
      <c r="AW537" s="1"/>
      <c r="AX537" s="1"/>
      <c r="AY537" s="1"/>
    </row>
    <row r="538" spans="1:51" ht="30" customHeight="1">
      <c r="A538" s="210" t="s">
        <v>1148</v>
      </c>
      <c r="B538" s="396" t="s">
        <v>1651</v>
      </c>
      <c r="C538" s="582"/>
      <c r="D538" s="582"/>
      <c r="E538" s="583"/>
      <c r="F538" s="374"/>
      <c r="G538" s="373"/>
      <c r="H538" s="373"/>
      <c r="I538" s="373"/>
      <c r="J538" s="373"/>
      <c r="K538" s="373"/>
      <c r="L538" s="373"/>
      <c r="M538" s="373"/>
      <c r="N538" s="211" t="s">
        <v>1149</v>
      </c>
      <c r="O538" s="372"/>
      <c r="P538" s="374"/>
      <c r="Q538" s="373"/>
      <c r="R538" s="373"/>
      <c r="S538" s="373"/>
      <c r="T538" s="373"/>
      <c r="U538" s="373"/>
      <c r="V538" s="373"/>
      <c r="W538" s="373"/>
      <c r="X538" s="373"/>
      <c r="Y538" s="373"/>
      <c r="Z538" s="373"/>
      <c r="AA538" s="373"/>
      <c r="AB538" s="211" t="s">
        <v>1149</v>
      </c>
      <c r="AC538" s="577"/>
      <c r="AD538" s="1"/>
      <c r="AE538" s="1"/>
      <c r="AF538" s="1"/>
      <c r="AG538" s="1"/>
      <c r="AH538" s="577"/>
      <c r="AI538" s="577"/>
      <c r="AJ538" s="577"/>
      <c r="AK538" s="577"/>
      <c r="AL538" s="577"/>
      <c r="AM538" s="577"/>
      <c r="AN538" s="577"/>
      <c r="AO538" s="577"/>
      <c r="AP538" s="577"/>
      <c r="AQ538" s="577"/>
      <c r="AR538" s="577"/>
      <c r="AS538" s="577"/>
      <c r="AT538" s="577"/>
      <c r="AU538" s="577"/>
      <c r="AV538" s="577"/>
      <c r="AW538" s="577"/>
      <c r="AX538" s="577"/>
      <c r="AY538" s="577"/>
    </row>
    <row r="539" spans="1:51" ht="10.050000000000001" customHeight="1">
      <c r="A539" s="199"/>
      <c r="B539" s="24"/>
      <c r="C539" s="24"/>
      <c r="D539" s="24"/>
      <c r="E539" s="24"/>
      <c r="F539" s="24"/>
      <c r="G539" s="24"/>
      <c r="H539" s="24"/>
      <c r="I539" s="24"/>
      <c r="J539" s="24"/>
      <c r="K539" s="24"/>
      <c r="L539" s="24"/>
      <c r="M539" s="24"/>
      <c r="N539" s="200"/>
      <c r="O539" s="199"/>
      <c r="P539" s="24"/>
      <c r="Q539" s="24"/>
      <c r="R539" s="398"/>
      <c r="S539" s="398"/>
      <c r="T539" s="398"/>
      <c r="U539" s="398"/>
      <c r="V539" s="398"/>
      <c r="W539" s="398"/>
      <c r="X539" s="398"/>
      <c r="Y539" s="398"/>
      <c r="Z539" s="398"/>
      <c r="AA539" s="398"/>
      <c r="AB539" s="200"/>
      <c r="AC539" s="1"/>
      <c r="AD539" s="1"/>
      <c r="AE539" s="1"/>
      <c r="AF539" s="1"/>
      <c r="AG539" s="1"/>
      <c r="AH539" s="1"/>
      <c r="AI539" s="1"/>
      <c r="AJ539" s="1"/>
      <c r="AK539" s="1"/>
      <c r="AL539" s="1"/>
      <c r="AM539" s="1"/>
      <c r="AN539" s="1"/>
      <c r="AO539" s="1"/>
      <c r="AP539" s="1"/>
      <c r="AQ539" s="1"/>
      <c r="AR539" s="1"/>
      <c r="AS539" s="1"/>
      <c r="AT539" s="1"/>
      <c r="AU539" s="1"/>
      <c r="AV539" s="1"/>
      <c r="AW539" s="1"/>
      <c r="AX539" s="1"/>
      <c r="AY539" s="1"/>
    </row>
    <row r="540" spans="1:51" ht="64.95" customHeight="1">
      <c r="A540" s="199"/>
      <c r="B540" s="1331" t="s">
        <v>1748</v>
      </c>
      <c r="C540" s="1331"/>
      <c r="D540" s="1331"/>
      <c r="E540" s="1331"/>
      <c r="F540" s="1331"/>
      <c r="G540" s="1331"/>
      <c r="H540" s="1331"/>
      <c r="I540" s="1331"/>
      <c r="J540" s="1331"/>
      <c r="K540" s="1331"/>
      <c r="L540" s="1331"/>
      <c r="M540" s="1331"/>
      <c r="N540" s="200"/>
      <c r="O540" s="199"/>
      <c r="P540" s="24"/>
      <c r="Q540" s="24"/>
      <c r="R540" s="398"/>
      <c r="S540" s="398"/>
      <c r="T540" s="398"/>
      <c r="U540" s="398"/>
      <c r="V540" s="398"/>
      <c r="W540" s="398"/>
      <c r="X540" s="398"/>
      <c r="Y540" s="398"/>
      <c r="Z540" s="398"/>
      <c r="AA540" s="398"/>
      <c r="AB540" s="200"/>
      <c r="AC540" s="1"/>
      <c r="AD540" s="1"/>
      <c r="AE540" s="1"/>
      <c r="AF540" s="1"/>
      <c r="AG540" s="1"/>
      <c r="AH540" s="1"/>
      <c r="AI540" s="1"/>
      <c r="AJ540" s="1"/>
      <c r="AK540" s="1"/>
      <c r="AL540" s="1"/>
      <c r="AM540" s="1"/>
      <c r="AN540" s="1"/>
      <c r="AO540" s="1"/>
      <c r="AP540" s="1"/>
      <c r="AQ540" s="1"/>
      <c r="AR540" s="1"/>
      <c r="AS540" s="1"/>
      <c r="AT540" s="1"/>
      <c r="AU540" s="1"/>
      <c r="AV540" s="1"/>
      <c r="AW540" s="1"/>
      <c r="AX540" s="1"/>
      <c r="AY540" s="1"/>
    </row>
    <row r="541" spans="1:51" ht="10.050000000000001" customHeight="1">
      <c r="A541" s="199"/>
      <c r="B541" s="24"/>
      <c r="C541" s="24"/>
      <c r="D541" s="24"/>
      <c r="E541" s="24"/>
      <c r="F541" s="24"/>
      <c r="G541" s="24"/>
      <c r="H541" s="24"/>
      <c r="I541" s="24"/>
      <c r="J541" s="24"/>
      <c r="K541" s="24"/>
      <c r="L541" s="24"/>
      <c r="M541" s="24"/>
      <c r="N541" s="200"/>
      <c r="O541" s="199"/>
      <c r="P541" s="24"/>
      <c r="Q541" s="24"/>
      <c r="R541" s="398"/>
      <c r="S541" s="398"/>
      <c r="T541" s="398"/>
      <c r="U541" s="398"/>
      <c r="V541" s="398"/>
      <c r="W541" s="398"/>
      <c r="X541" s="398"/>
      <c r="Y541" s="398"/>
      <c r="Z541" s="398"/>
      <c r="AA541" s="398"/>
      <c r="AB541" s="200"/>
      <c r="AC541" s="1"/>
      <c r="AD541" s="1"/>
      <c r="AE541" s="1"/>
      <c r="AF541" s="1"/>
      <c r="AG541" s="1"/>
      <c r="AH541" s="1"/>
      <c r="AI541" s="1"/>
      <c r="AJ541" s="1"/>
      <c r="AK541" s="1"/>
      <c r="AL541" s="1"/>
      <c r="AM541" s="1"/>
      <c r="AN541" s="1"/>
      <c r="AO541" s="1"/>
      <c r="AP541" s="1"/>
      <c r="AQ541" s="1"/>
      <c r="AR541" s="1"/>
      <c r="AS541" s="1"/>
      <c r="AT541" s="1"/>
      <c r="AU541" s="1"/>
      <c r="AV541" s="1"/>
      <c r="AW541" s="1"/>
      <c r="AX541" s="1"/>
      <c r="AY541" s="1"/>
    </row>
    <row r="542" spans="1:51" ht="19.95" customHeight="1">
      <c r="A542" s="199"/>
      <c r="B542" s="1277" t="s">
        <v>1749</v>
      </c>
      <c r="C542" s="1277"/>
      <c r="D542" s="1277"/>
      <c r="E542" s="1277"/>
      <c r="F542" s="1277"/>
      <c r="G542" s="1277"/>
      <c r="H542" s="1277"/>
      <c r="I542" s="24"/>
      <c r="J542" s="24"/>
      <c r="K542" s="24"/>
      <c r="L542" s="24"/>
      <c r="M542" s="24"/>
      <c r="N542" s="200"/>
      <c r="O542" s="199"/>
      <c r="P542" s="24"/>
      <c r="Q542" s="24"/>
      <c r="R542" s="398"/>
      <c r="S542" s="398"/>
      <c r="T542" s="398"/>
      <c r="U542" s="398"/>
      <c r="V542" s="398"/>
      <c r="W542" s="398"/>
      <c r="X542" s="398"/>
      <c r="Y542" s="398"/>
      <c r="Z542" s="398"/>
      <c r="AA542" s="398"/>
      <c r="AB542" s="200"/>
      <c r="AC542" s="1"/>
      <c r="AD542" s="1"/>
      <c r="AE542" s="1"/>
      <c r="AF542" s="1"/>
      <c r="AG542" s="1"/>
      <c r="AH542" s="1"/>
      <c r="AI542" s="1"/>
      <c r="AJ542" s="1"/>
      <c r="AK542" s="1"/>
      <c r="AL542" s="1"/>
      <c r="AM542" s="1"/>
      <c r="AN542" s="1"/>
      <c r="AO542" s="1"/>
      <c r="AP542" s="1"/>
      <c r="AQ542" s="1"/>
      <c r="AR542" s="1"/>
      <c r="AS542" s="1"/>
      <c r="AT542" s="1"/>
      <c r="AU542" s="1"/>
      <c r="AV542" s="1"/>
      <c r="AW542" s="1"/>
      <c r="AX542" s="1"/>
      <c r="AY542" s="1"/>
    </row>
    <row r="543" spans="1:51" ht="19.95" customHeight="1">
      <c r="A543" s="199"/>
      <c r="B543" s="1277"/>
      <c r="C543" s="1277"/>
      <c r="D543" s="1277"/>
      <c r="E543" s="1277"/>
      <c r="F543" s="1277"/>
      <c r="G543" s="1277"/>
      <c r="H543" s="1277"/>
      <c r="I543" s="24"/>
      <c r="J543" s="24"/>
      <c r="K543" s="24"/>
      <c r="L543" s="24"/>
      <c r="M543" s="24"/>
      <c r="N543" s="200"/>
      <c r="O543" s="199"/>
      <c r="P543" s="24"/>
      <c r="Q543" s="24"/>
      <c r="R543" s="398"/>
      <c r="S543" s="398"/>
      <c r="T543" s="398"/>
      <c r="U543" s="398"/>
      <c r="V543" s="398"/>
      <c r="W543" s="398"/>
      <c r="X543" s="398"/>
      <c r="Y543" s="398"/>
      <c r="Z543" s="398"/>
      <c r="AA543" s="398"/>
      <c r="AB543" s="200"/>
      <c r="AC543" s="1"/>
      <c r="AD543" s="1"/>
      <c r="AE543" s="1"/>
      <c r="AF543" s="1"/>
      <c r="AG543" s="1"/>
      <c r="AH543" s="1"/>
      <c r="AI543" s="1"/>
      <c r="AJ543" s="1"/>
      <c r="AK543" s="1"/>
      <c r="AL543" s="1"/>
      <c r="AM543" s="1"/>
      <c r="AN543" s="1"/>
      <c r="AO543" s="1"/>
      <c r="AP543" s="1"/>
      <c r="AQ543" s="1"/>
      <c r="AR543" s="1"/>
      <c r="AS543" s="1"/>
      <c r="AT543" s="1"/>
      <c r="AU543" s="1"/>
      <c r="AV543" s="1"/>
      <c r="AW543" s="1"/>
      <c r="AX543" s="1"/>
      <c r="AY543" s="1"/>
    </row>
    <row r="544" spans="1:51" ht="19.95" customHeight="1">
      <c r="A544" s="199"/>
      <c r="B544" s="1277"/>
      <c r="C544" s="1277"/>
      <c r="D544" s="1277"/>
      <c r="E544" s="1277"/>
      <c r="F544" s="1277"/>
      <c r="G544" s="1277"/>
      <c r="H544" s="1277"/>
      <c r="I544" s="24"/>
      <c r="J544" s="24"/>
      <c r="K544" s="24"/>
      <c r="L544" s="24"/>
      <c r="M544" s="24"/>
      <c r="N544" s="200"/>
      <c r="O544" s="199"/>
      <c r="P544" s="24"/>
      <c r="Q544" s="24"/>
      <c r="R544" s="398"/>
      <c r="S544" s="398"/>
      <c r="T544" s="398"/>
      <c r="U544" s="398"/>
      <c r="V544" s="398"/>
      <c r="W544" s="398"/>
      <c r="X544" s="398"/>
      <c r="Y544" s="398"/>
      <c r="Z544" s="398"/>
      <c r="AA544" s="398"/>
      <c r="AB544" s="200"/>
      <c r="AC544" s="1"/>
      <c r="AD544" s="1"/>
      <c r="AE544" s="1"/>
      <c r="AF544" s="1"/>
      <c r="AG544" s="1"/>
      <c r="AH544" s="1"/>
      <c r="AI544" s="1"/>
      <c r="AJ544" s="1"/>
      <c r="AK544" s="1"/>
      <c r="AL544" s="1"/>
      <c r="AM544" s="1"/>
      <c r="AN544" s="1"/>
      <c r="AO544" s="1"/>
      <c r="AP544" s="1"/>
      <c r="AQ544" s="1"/>
      <c r="AR544" s="1"/>
      <c r="AS544" s="1"/>
      <c r="AT544" s="1"/>
      <c r="AU544" s="1"/>
      <c r="AV544" s="1"/>
      <c r="AW544" s="1"/>
      <c r="AX544" s="1"/>
      <c r="AY544" s="1"/>
    </row>
    <row r="545" spans="1:51" ht="19.95" customHeight="1">
      <c r="A545" s="199"/>
      <c r="B545" s="1277"/>
      <c r="C545" s="1277"/>
      <c r="D545" s="1277"/>
      <c r="E545" s="1277"/>
      <c r="F545" s="1277"/>
      <c r="G545" s="1277"/>
      <c r="H545" s="1277"/>
      <c r="I545" s="24"/>
      <c r="J545" s="24"/>
      <c r="K545" s="24"/>
      <c r="L545" s="24"/>
      <c r="M545" s="24"/>
      <c r="N545" s="200"/>
      <c r="O545" s="199"/>
      <c r="P545" s="24"/>
      <c r="Q545" s="24"/>
      <c r="R545" s="398"/>
      <c r="S545" s="398"/>
      <c r="T545" s="398"/>
      <c r="U545" s="398"/>
      <c r="V545" s="398"/>
      <c r="W545" s="398"/>
      <c r="X545" s="398"/>
      <c r="Y545" s="398"/>
      <c r="Z545" s="398"/>
      <c r="AA545" s="398"/>
      <c r="AB545" s="200"/>
      <c r="AC545" s="1"/>
      <c r="AD545" s="1"/>
      <c r="AE545" s="1"/>
      <c r="AF545" s="1"/>
      <c r="AG545" s="1"/>
      <c r="AH545" s="1"/>
      <c r="AI545" s="1"/>
      <c r="AJ545" s="1"/>
      <c r="AK545" s="1"/>
      <c r="AL545" s="1"/>
      <c r="AM545" s="1"/>
      <c r="AN545" s="1"/>
      <c r="AO545" s="1"/>
      <c r="AP545" s="1"/>
      <c r="AQ545" s="1"/>
      <c r="AR545" s="1"/>
      <c r="AS545" s="1"/>
      <c r="AT545" s="1"/>
      <c r="AU545" s="1"/>
      <c r="AV545" s="1"/>
      <c r="AW545" s="1"/>
      <c r="AX545" s="1"/>
      <c r="AY545" s="1"/>
    </row>
    <row r="546" spans="1:51" ht="19.95" customHeight="1">
      <c r="A546" s="199"/>
      <c r="B546" s="1277"/>
      <c r="C546" s="1277"/>
      <c r="D546" s="1277"/>
      <c r="E546" s="1277"/>
      <c r="F546" s="1277"/>
      <c r="G546" s="1277"/>
      <c r="H546" s="1277"/>
      <c r="I546" s="24"/>
      <c r="J546" s="24"/>
      <c r="K546" s="24"/>
      <c r="L546" s="24"/>
      <c r="M546" s="24"/>
      <c r="N546" s="200"/>
      <c r="O546" s="199"/>
      <c r="P546" s="24"/>
      <c r="Q546" s="24"/>
      <c r="R546" s="398"/>
      <c r="S546" s="398"/>
      <c r="T546" s="398"/>
      <c r="U546" s="398"/>
      <c r="V546" s="398"/>
      <c r="W546" s="398"/>
      <c r="X546" s="398"/>
      <c r="Y546" s="398"/>
      <c r="Z546" s="398"/>
      <c r="AA546" s="398"/>
      <c r="AB546" s="200"/>
      <c r="AC546" s="1"/>
      <c r="AD546" s="1"/>
      <c r="AE546" s="1"/>
      <c r="AF546" s="1"/>
      <c r="AG546" s="1"/>
      <c r="AH546" s="1"/>
      <c r="AI546" s="1"/>
      <c r="AJ546" s="1"/>
      <c r="AK546" s="1"/>
      <c r="AL546" s="1"/>
      <c r="AM546" s="1"/>
      <c r="AN546" s="1"/>
      <c r="AO546" s="1"/>
      <c r="AP546" s="1"/>
      <c r="AQ546" s="1"/>
      <c r="AR546" s="1"/>
      <c r="AS546" s="1"/>
      <c r="AT546" s="1"/>
      <c r="AU546" s="1"/>
      <c r="AV546" s="1"/>
      <c r="AW546" s="1"/>
      <c r="AX546" s="1"/>
      <c r="AY546" s="1"/>
    </row>
    <row r="547" spans="1:51" ht="19.95" customHeight="1">
      <c r="A547" s="199"/>
      <c r="B547" s="1277"/>
      <c r="C547" s="1277"/>
      <c r="D547" s="1277"/>
      <c r="E547" s="1277"/>
      <c r="F547" s="1277"/>
      <c r="G547" s="1277"/>
      <c r="H547" s="1277"/>
      <c r="I547" s="24"/>
      <c r="J547" s="24"/>
      <c r="K547" s="24"/>
      <c r="L547" s="24"/>
      <c r="M547" s="24"/>
      <c r="N547" s="200"/>
      <c r="O547" s="199"/>
      <c r="P547" s="24"/>
      <c r="Q547" s="24"/>
      <c r="R547" s="398"/>
      <c r="S547" s="398"/>
      <c r="T547" s="398"/>
      <c r="U547" s="398"/>
      <c r="V547" s="398"/>
      <c r="W547" s="398"/>
      <c r="X547" s="398"/>
      <c r="Y547" s="398"/>
      <c r="Z547" s="398"/>
      <c r="AA547" s="398"/>
      <c r="AB547" s="200"/>
      <c r="AC547" s="1"/>
      <c r="AD547" s="1"/>
      <c r="AE547" s="1"/>
      <c r="AF547" s="1"/>
      <c r="AG547" s="1"/>
      <c r="AH547" s="1"/>
      <c r="AI547" s="1"/>
      <c r="AJ547" s="1"/>
      <c r="AK547" s="1"/>
      <c r="AL547" s="1"/>
      <c r="AM547" s="1"/>
      <c r="AN547" s="1"/>
      <c r="AO547" s="1"/>
      <c r="AP547" s="1"/>
      <c r="AQ547" s="1"/>
      <c r="AR547" s="1"/>
      <c r="AS547" s="1"/>
      <c r="AT547" s="1"/>
      <c r="AU547" s="1"/>
      <c r="AV547" s="1"/>
      <c r="AW547" s="1"/>
      <c r="AX547" s="1"/>
      <c r="AY547" s="1"/>
    </row>
    <row r="548" spans="1:51" ht="19.95" customHeight="1">
      <c r="A548" s="199"/>
      <c r="B548" s="1277"/>
      <c r="C548" s="1277"/>
      <c r="D548" s="1277"/>
      <c r="E548" s="1277"/>
      <c r="F548" s="1277"/>
      <c r="G548" s="1277"/>
      <c r="H548" s="1277"/>
      <c r="I548" s="24"/>
      <c r="J548" s="24"/>
      <c r="K548" s="24"/>
      <c r="L548" s="24"/>
      <c r="M548" s="24"/>
      <c r="N548" s="200"/>
      <c r="O548" s="199"/>
      <c r="P548" s="24"/>
      <c r="Q548" s="24"/>
      <c r="R548" s="398"/>
      <c r="S548" s="398"/>
      <c r="T548" s="398"/>
      <c r="U548" s="398"/>
      <c r="V548" s="398"/>
      <c r="W548" s="398"/>
      <c r="X548" s="398"/>
      <c r="Y548" s="398"/>
      <c r="Z548" s="398"/>
      <c r="AA548" s="398"/>
      <c r="AB548" s="200"/>
      <c r="AC548" s="1"/>
      <c r="AD548" s="1"/>
      <c r="AE548" s="1"/>
      <c r="AF548" s="1"/>
      <c r="AG548" s="1"/>
      <c r="AH548" s="1"/>
      <c r="AI548" s="1"/>
      <c r="AJ548" s="1"/>
      <c r="AK548" s="1"/>
      <c r="AL548" s="1"/>
      <c r="AM548" s="1"/>
      <c r="AN548" s="1"/>
      <c r="AO548" s="1"/>
      <c r="AP548" s="1"/>
      <c r="AQ548" s="1"/>
      <c r="AR548" s="1"/>
      <c r="AS548" s="1"/>
      <c r="AT548" s="1"/>
      <c r="AU548" s="1"/>
      <c r="AV548" s="1"/>
      <c r="AW548" s="1"/>
      <c r="AX548" s="1"/>
      <c r="AY548" s="1"/>
    </row>
    <row r="549" spans="1:51" ht="10.050000000000001" customHeight="1">
      <c r="A549" s="199"/>
      <c r="B549" s="24"/>
      <c r="C549" s="24"/>
      <c r="D549" s="24"/>
      <c r="E549" s="24"/>
      <c r="F549" s="24"/>
      <c r="G549" s="24"/>
      <c r="H549" s="24"/>
      <c r="I549" s="24"/>
      <c r="J549" s="24"/>
      <c r="K549" s="24"/>
      <c r="L549" s="24"/>
      <c r="M549" s="24"/>
      <c r="N549" s="200"/>
      <c r="O549" s="199"/>
      <c r="P549" s="24"/>
      <c r="Q549" s="24"/>
      <c r="R549" s="398"/>
      <c r="S549" s="398"/>
      <c r="T549" s="398"/>
      <c r="U549" s="398"/>
      <c r="V549" s="398"/>
      <c r="W549" s="398"/>
      <c r="X549" s="398"/>
      <c r="Y549" s="398"/>
      <c r="Z549" s="398"/>
      <c r="AA549" s="398"/>
      <c r="AB549" s="200"/>
      <c r="AC549" s="1"/>
      <c r="AD549" s="1"/>
      <c r="AE549" s="1"/>
      <c r="AF549" s="1"/>
      <c r="AG549" s="1"/>
      <c r="AH549" s="1"/>
      <c r="AI549" s="1"/>
      <c r="AJ549" s="1"/>
      <c r="AK549" s="1"/>
      <c r="AL549" s="1"/>
      <c r="AM549" s="1"/>
      <c r="AN549" s="1"/>
      <c r="AO549" s="1"/>
      <c r="AP549" s="1"/>
      <c r="AQ549" s="1"/>
      <c r="AR549" s="1"/>
      <c r="AS549" s="1"/>
      <c r="AT549" s="1"/>
      <c r="AU549" s="1"/>
      <c r="AV549" s="1"/>
      <c r="AW549" s="1"/>
      <c r="AX549" s="1"/>
      <c r="AY549" s="1"/>
    </row>
    <row r="550" spans="1:51" ht="19.95" customHeight="1">
      <c r="A550" s="199"/>
      <c r="B550" s="24"/>
      <c r="C550" s="24"/>
      <c r="D550" s="24"/>
      <c r="E550" s="1332" t="s">
        <v>1750</v>
      </c>
      <c r="F550" s="1332"/>
      <c r="G550" s="1332"/>
      <c r="H550" s="1332"/>
      <c r="I550" s="1332"/>
      <c r="J550" s="1332"/>
      <c r="K550" s="1332"/>
      <c r="L550" s="1332"/>
      <c r="M550" s="1332"/>
      <c r="N550" s="200"/>
      <c r="O550" s="199"/>
      <c r="P550" s="24"/>
      <c r="Q550" s="24"/>
      <c r="R550" s="398"/>
      <c r="S550" s="398"/>
      <c r="T550" s="398"/>
      <c r="U550" s="398"/>
      <c r="V550" s="398"/>
      <c r="W550" s="398"/>
      <c r="X550" s="398"/>
      <c r="Y550" s="398"/>
      <c r="Z550" s="398"/>
      <c r="AA550" s="398"/>
      <c r="AB550" s="200"/>
      <c r="AC550" s="1"/>
      <c r="AD550" s="1"/>
      <c r="AE550" s="1"/>
      <c r="AF550" s="1"/>
      <c r="AG550" s="1"/>
      <c r="AH550" s="1"/>
      <c r="AI550" s="1"/>
      <c r="AJ550" s="1"/>
      <c r="AK550" s="1"/>
      <c r="AL550" s="1"/>
      <c r="AM550" s="1"/>
      <c r="AN550" s="1"/>
      <c r="AO550" s="1"/>
      <c r="AP550" s="1"/>
      <c r="AQ550" s="1"/>
      <c r="AR550" s="1"/>
      <c r="AS550" s="1"/>
      <c r="AT550" s="1"/>
      <c r="AU550" s="1"/>
      <c r="AV550" s="1"/>
      <c r="AW550" s="1"/>
      <c r="AX550" s="1"/>
      <c r="AY550" s="1"/>
    </row>
    <row r="551" spans="1:51" ht="19.95" customHeight="1">
      <c r="A551" s="199"/>
      <c r="B551" s="24"/>
      <c r="C551" s="24"/>
      <c r="D551" s="24"/>
      <c r="E551" s="1332"/>
      <c r="F551" s="1332"/>
      <c r="G551" s="1332"/>
      <c r="H551" s="1332"/>
      <c r="I551" s="1332"/>
      <c r="J551" s="1332"/>
      <c r="K551" s="1332"/>
      <c r="L551" s="1332"/>
      <c r="M551" s="1332"/>
      <c r="N551" s="200"/>
      <c r="O551" s="199"/>
      <c r="P551" s="24"/>
      <c r="Q551" s="24"/>
      <c r="R551" s="398"/>
      <c r="S551" s="398"/>
      <c r="T551" s="398"/>
      <c r="U551" s="398"/>
      <c r="V551" s="398"/>
      <c r="W551" s="398"/>
      <c r="X551" s="398"/>
      <c r="Y551" s="398"/>
      <c r="Z551" s="398"/>
      <c r="AA551" s="398"/>
      <c r="AB551" s="200"/>
      <c r="AC551" s="1"/>
      <c r="AD551" s="1"/>
      <c r="AE551" s="1"/>
      <c r="AF551" s="1"/>
      <c r="AG551" s="1"/>
      <c r="AH551" s="1"/>
      <c r="AI551" s="1"/>
      <c r="AJ551" s="1"/>
      <c r="AK551" s="1"/>
      <c r="AL551" s="1"/>
      <c r="AM551" s="1"/>
      <c r="AN551" s="1"/>
      <c r="AO551" s="1"/>
      <c r="AP551" s="1"/>
      <c r="AQ551" s="1"/>
      <c r="AR551" s="1"/>
      <c r="AS551" s="1"/>
      <c r="AT551" s="1"/>
      <c r="AU551" s="1"/>
      <c r="AV551" s="1"/>
      <c r="AW551" s="1"/>
      <c r="AX551" s="1"/>
      <c r="AY551" s="1"/>
    </row>
    <row r="552" spans="1:51" ht="19.95" customHeight="1">
      <c r="A552" s="199"/>
      <c r="B552" s="24"/>
      <c r="C552" s="24"/>
      <c r="D552" s="24"/>
      <c r="E552" s="1332"/>
      <c r="F552" s="1332"/>
      <c r="G552" s="1332"/>
      <c r="H552" s="1332"/>
      <c r="I552" s="1332"/>
      <c r="J552" s="1332"/>
      <c r="K552" s="1332"/>
      <c r="L552" s="1332"/>
      <c r="M552" s="1332"/>
      <c r="N552" s="200"/>
      <c r="O552" s="199"/>
      <c r="P552" s="24"/>
      <c r="Q552" s="24"/>
      <c r="R552" s="398"/>
      <c r="S552" s="398"/>
      <c r="T552" s="398"/>
      <c r="U552" s="398"/>
      <c r="V552" s="398"/>
      <c r="W552" s="398"/>
      <c r="X552" s="398"/>
      <c r="Y552" s="398"/>
      <c r="Z552" s="398"/>
      <c r="AA552" s="398"/>
      <c r="AB552" s="200"/>
      <c r="AC552" s="1"/>
      <c r="AD552" s="1"/>
      <c r="AE552" s="1"/>
      <c r="AF552" s="1"/>
      <c r="AG552" s="1"/>
      <c r="AH552" s="1"/>
      <c r="AI552" s="1"/>
      <c r="AJ552" s="1"/>
      <c r="AK552" s="1"/>
      <c r="AL552" s="1"/>
      <c r="AM552" s="1"/>
      <c r="AN552" s="1"/>
      <c r="AO552" s="1"/>
      <c r="AP552" s="1"/>
      <c r="AQ552" s="1"/>
      <c r="AR552" s="1"/>
      <c r="AS552" s="1"/>
      <c r="AT552" s="1"/>
      <c r="AU552" s="1"/>
      <c r="AV552" s="1"/>
      <c r="AW552" s="1"/>
      <c r="AX552" s="1"/>
      <c r="AY552" s="1"/>
    </row>
    <row r="553" spans="1:51" ht="19.95" customHeight="1">
      <c r="A553" s="199"/>
      <c r="B553" s="24"/>
      <c r="C553" s="24"/>
      <c r="D553" s="24"/>
      <c r="E553" s="1332"/>
      <c r="F553" s="1332"/>
      <c r="G553" s="1332"/>
      <c r="H553" s="1332"/>
      <c r="I553" s="1332"/>
      <c r="J553" s="1332"/>
      <c r="K553" s="1332"/>
      <c r="L553" s="1332"/>
      <c r="M553" s="1332"/>
      <c r="N553" s="200"/>
      <c r="O553" s="199"/>
      <c r="P553" s="24"/>
      <c r="Q553" s="24"/>
      <c r="R553" s="398"/>
      <c r="S553" s="398"/>
      <c r="T553" s="398"/>
      <c r="U553" s="398"/>
      <c r="V553" s="398"/>
      <c r="W553" s="398"/>
      <c r="X553" s="398"/>
      <c r="Y553" s="398"/>
      <c r="Z553" s="398"/>
      <c r="AA553" s="398"/>
      <c r="AB553" s="200"/>
      <c r="AC553" s="1"/>
      <c r="AD553" s="1"/>
      <c r="AE553" s="1"/>
      <c r="AF553" s="1"/>
      <c r="AG553" s="1"/>
      <c r="AH553" s="1"/>
      <c r="AI553" s="1"/>
      <c r="AJ553" s="1"/>
      <c r="AK553" s="1"/>
      <c r="AL553" s="1"/>
      <c r="AM553" s="1"/>
      <c r="AN553" s="1"/>
      <c r="AO553" s="1"/>
      <c r="AP553" s="1"/>
      <c r="AQ553" s="1"/>
      <c r="AR553" s="1"/>
      <c r="AS553" s="1"/>
      <c r="AT553" s="1"/>
      <c r="AU553" s="1"/>
      <c r="AV553" s="1"/>
      <c r="AW553" s="1"/>
      <c r="AX553" s="1"/>
      <c r="AY553" s="1"/>
    </row>
    <row r="554" spans="1:51" ht="19.95" customHeight="1">
      <c r="A554" s="199"/>
      <c r="B554" s="24"/>
      <c r="C554" s="24"/>
      <c r="D554" s="24"/>
      <c r="E554" s="1332"/>
      <c r="F554" s="1332"/>
      <c r="G554" s="1332"/>
      <c r="H554" s="1332"/>
      <c r="I554" s="1332"/>
      <c r="J554" s="1332"/>
      <c r="K554" s="1332"/>
      <c r="L554" s="1332"/>
      <c r="M554" s="1332"/>
      <c r="N554" s="200"/>
      <c r="O554" s="199"/>
      <c r="P554" s="24"/>
      <c r="Q554" s="24"/>
      <c r="R554" s="398"/>
      <c r="S554" s="398"/>
      <c r="T554" s="398"/>
      <c r="U554" s="398"/>
      <c r="V554" s="398"/>
      <c r="W554" s="398"/>
      <c r="X554" s="398"/>
      <c r="Y554" s="398"/>
      <c r="Z554" s="398"/>
      <c r="AA554" s="398"/>
      <c r="AB554" s="200"/>
      <c r="AC554" s="1"/>
      <c r="AD554" s="1"/>
      <c r="AE554" s="1"/>
      <c r="AF554" s="1"/>
      <c r="AG554" s="1"/>
      <c r="AH554" s="1"/>
      <c r="AI554" s="1"/>
      <c r="AJ554" s="1"/>
      <c r="AK554" s="1"/>
      <c r="AL554" s="1"/>
      <c r="AM554" s="1"/>
      <c r="AN554" s="1"/>
      <c r="AO554" s="1"/>
      <c r="AP554" s="1"/>
      <c r="AQ554" s="1"/>
      <c r="AR554" s="1"/>
      <c r="AS554" s="1"/>
      <c r="AT554" s="1"/>
      <c r="AU554" s="1"/>
      <c r="AV554" s="1"/>
      <c r="AW554" s="1"/>
      <c r="AX554" s="1"/>
      <c r="AY554" s="1"/>
    </row>
    <row r="555" spans="1:51" ht="19.95" customHeight="1">
      <c r="A555" s="199"/>
      <c r="B555" s="24"/>
      <c r="C555" s="24"/>
      <c r="D555" s="24"/>
      <c r="E555" s="1332"/>
      <c r="F555" s="1332"/>
      <c r="G555" s="1332"/>
      <c r="H555" s="1332"/>
      <c r="I555" s="1332"/>
      <c r="J555" s="1332"/>
      <c r="K555" s="1332"/>
      <c r="L555" s="1332"/>
      <c r="M555" s="1332"/>
      <c r="N555" s="200"/>
      <c r="O555" s="199"/>
      <c r="P555" s="24"/>
      <c r="Q555" s="24"/>
      <c r="R555" s="398"/>
      <c r="S555" s="398"/>
      <c r="T555" s="398"/>
      <c r="U555" s="398"/>
      <c r="V555" s="398"/>
      <c r="W555" s="398"/>
      <c r="X555" s="398"/>
      <c r="Y555" s="398"/>
      <c r="Z555" s="398"/>
      <c r="AA555" s="398"/>
      <c r="AB555" s="200"/>
      <c r="AC555" s="1"/>
      <c r="AD555" s="1"/>
      <c r="AE555" s="1"/>
      <c r="AF555" s="1"/>
      <c r="AG555" s="1"/>
      <c r="AH555" s="1"/>
      <c r="AI555" s="1"/>
      <c r="AJ555" s="1"/>
      <c r="AK555" s="1"/>
      <c r="AL555" s="1"/>
      <c r="AM555" s="1"/>
      <c r="AN555" s="1"/>
      <c r="AO555" s="1"/>
      <c r="AP555" s="1"/>
      <c r="AQ555" s="1"/>
      <c r="AR555" s="1"/>
      <c r="AS555" s="1"/>
      <c r="AT555" s="1"/>
      <c r="AU555" s="1"/>
      <c r="AV555" s="1"/>
      <c r="AW555" s="1"/>
      <c r="AX555" s="1"/>
      <c r="AY555" s="1"/>
    </row>
    <row r="556" spans="1:51" ht="19.95" customHeight="1">
      <c r="A556" s="199"/>
      <c r="B556" s="24"/>
      <c r="C556" s="24"/>
      <c r="D556" s="24"/>
      <c r="E556" s="1332"/>
      <c r="F556" s="1332"/>
      <c r="G556" s="1332"/>
      <c r="H556" s="1332"/>
      <c r="I556" s="1332"/>
      <c r="J556" s="1332"/>
      <c r="K556" s="1332"/>
      <c r="L556" s="1332"/>
      <c r="M556" s="1332"/>
      <c r="N556" s="200"/>
      <c r="O556" s="199"/>
      <c r="P556" s="24"/>
      <c r="Q556" s="24"/>
      <c r="R556" s="398"/>
      <c r="S556" s="398"/>
      <c r="T556" s="398"/>
      <c r="U556" s="398"/>
      <c r="V556" s="398"/>
      <c r="W556" s="398"/>
      <c r="X556" s="398"/>
      <c r="Y556" s="398"/>
      <c r="Z556" s="398"/>
      <c r="AA556" s="398"/>
      <c r="AB556" s="200"/>
      <c r="AC556" s="1"/>
      <c r="AD556" s="1"/>
      <c r="AE556" s="1"/>
      <c r="AF556" s="1"/>
      <c r="AG556" s="1"/>
      <c r="AH556" s="1"/>
      <c r="AI556" s="1"/>
      <c r="AJ556" s="1"/>
      <c r="AK556" s="1"/>
      <c r="AL556" s="1"/>
      <c r="AM556" s="1"/>
      <c r="AN556" s="1"/>
      <c r="AO556" s="1"/>
      <c r="AP556" s="1"/>
      <c r="AQ556" s="1"/>
      <c r="AR556" s="1"/>
      <c r="AS556" s="1"/>
      <c r="AT556" s="1"/>
      <c r="AU556" s="1"/>
      <c r="AV556" s="1"/>
      <c r="AW556" s="1"/>
      <c r="AX556" s="1"/>
      <c r="AY556" s="1"/>
    </row>
    <row r="557" spans="1:51" ht="10.050000000000001" customHeight="1">
      <c r="A557" s="199"/>
      <c r="B557" s="24"/>
      <c r="C557" s="24"/>
      <c r="D557" s="24"/>
      <c r="E557" s="24"/>
      <c r="F557" s="391"/>
      <c r="G557" s="391"/>
      <c r="H557" s="391"/>
      <c r="I557" s="391"/>
      <c r="J557" s="391"/>
      <c r="K557" s="391"/>
      <c r="L557" s="391"/>
      <c r="M557" s="391"/>
      <c r="N557" s="200"/>
      <c r="O557" s="199"/>
      <c r="P557" s="24"/>
      <c r="Q557" s="24"/>
      <c r="R557" s="398"/>
      <c r="S557" s="398"/>
      <c r="T557" s="398"/>
      <c r="U557" s="398"/>
      <c r="V557" s="398"/>
      <c r="W557" s="398"/>
      <c r="X557" s="398"/>
      <c r="Y557" s="398"/>
      <c r="Z557" s="398"/>
      <c r="AA557" s="398"/>
      <c r="AB557" s="200"/>
      <c r="AC557" s="1"/>
      <c r="AD557" s="1"/>
      <c r="AE557" s="1"/>
      <c r="AF557" s="1"/>
      <c r="AG557" s="1"/>
      <c r="AH557" s="1"/>
      <c r="AI557" s="1"/>
      <c r="AJ557" s="1"/>
      <c r="AK557" s="1"/>
      <c r="AL557" s="1"/>
      <c r="AM557" s="1"/>
      <c r="AN557" s="1"/>
      <c r="AO557" s="1"/>
      <c r="AP557" s="1"/>
      <c r="AQ557" s="1"/>
      <c r="AR557" s="1"/>
      <c r="AS557" s="1"/>
      <c r="AT557" s="1"/>
      <c r="AU557" s="1"/>
      <c r="AV557" s="1"/>
      <c r="AW557" s="1"/>
      <c r="AX557" s="1"/>
      <c r="AY557" s="1"/>
    </row>
    <row r="558" spans="1:51" ht="19.95" customHeight="1">
      <c r="A558" s="199"/>
      <c r="B558" s="1277" t="s">
        <v>1751</v>
      </c>
      <c r="C558" s="1277"/>
      <c r="D558" s="1277"/>
      <c r="E558" s="1277"/>
      <c r="F558" s="1277"/>
      <c r="G558" s="1277"/>
      <c r="H558" s="1277"/>
      <c r="I558" s="1277"/>
      <c r="J558" s="24"/>
      <c r="K558" s="24"/>
      <c r="L558" s="24"/>
      <c r="M558" s="24"/>
      <c r="N558" s="200"/>
      <c r="O558" s="199"/>
      <c r="P558" s="24"/>
      <c r="Q558" s="24"/>
      <c r="R558" s="398"/>
      <c r="S558" s="398"/>
      <c r="T558" s="398"/>
      <c r="U558" s="398"/>
      <c r="V558" s="398"/>
      <c r="W558" s="398"/>
      <c r="X558" s="398"/>
      <c r="Y558" s="398"/>
      <c r="Z558" s="398"/>
      <c r="AA558" s="398"/>
      <c r="AB558" s="200"/>
      <c r="AC558" s="1"/>
      <c r="AD558" s="1"/>
      <c r="AE558" s="1"/>
      <c r="AF558" s="1"/>
      <c r="AG558" s="1"/>
      <c r="AH558" s="1"/>
      <c r="AI558" s="1"/>
      <c r="AJ558" s="1"/>
      <c r="AK558" s="1"/>
      <c r="AL558" s="1"/>
      <c r="AM558" s="1"/>
      <c r="AN558" s="1"/>
      <c r="AO558" s="1"/>
      <c r="AP558" s="1"/>
      <c r="AQ558" s="1"/>
      <c r="AR558" s="1"/>
      <c r="AS558" s="1"/>
      <c r="AT558" s="1"/>
      <c r="AU558" s="1"/>
      <c r="AV558" s="1"/>
      <c r="AW558" s="1"/>
      <c r="AX558" s="1"/>
      <c r="AY558" s="1"/>
    </row>
    <row r="559" spans="1:51" ht="19.95" customHeight="1">
      <c r="A559" s="199"/>
      <c r="B559" s="1277"/>
      <c r="C559" s="1277"/>
      <c r="D559" s="1277"/>
      <c r="E559" s="1277"/>
      <c r="F559" s="1277"/>
      <c r="G559" s="1277"/>
      <c r="H559" s="1277"/>
      <c r="I559" s="1277"/>
      <c r="J559" s="24"/>
      <c r="K559" s="24"/>
      <c r="L559" s="24"/>
      <c r="M559" s="24"/>
      <c r="N559" s="200"/>
      <c r="O559" s="199"/>
      <c r="P559" s="24"/>
      <c r="Q559" s="24"/>
      <c r="R559" s="398"/>
      <c r="S559" s="398"/>
      <c r="T559" s="398"/>
      <c r="U559" s="398"/>
      <c r="V559" s="398"/>
      <c r="W559" s="398"/>
      <c r="X559" s="398"/>
      <c r="Y559" s="398"/>
      <c r="Z559" s="398"/>
      <c r="AA559" s="398"/>
      <c r="AB559" s="200"/>
      <c r="AC559" s="1"/>
      <c r="AD559" s="1"/>
      <c r="AE559" s="1"/>
      <c r="AF559" s="1"/>
      <c r="AG559" s="1"/>
      <c r="AH559" s="1"/>
      <c r="AI559" s="1"/>
      <c r="AJ559" s="1"/>
      <c r="AK559" s="1"/>
      <c r="AL559" s="1"/>
      <c r="AM559" s="1"/>
      <c r="AN559" s="1"/>
      <c r="AO559" s="1"/>
      <c r="AP559" s="1"/>
      <c r="AQ559" s="1"/>
      <c r="AR559" s="1"/>
      <c r="AS559" s="1"/>
      <c r="AT559" s="1"/>
      <c r="AU559" s="1"/>
      <c r="AV559" s="1"/>
      <c r="AW559" s="1"/>
      <c r="AX559" s="1"/>
      <c r="AY559" s="1"/>
    </row>
    <row r="560" spans="1:51" ht="19.95" customHeight="1">
      <c r="A560" s="199"/>
      <c r="B560" s="1277"/>
      <c r="C560" s="1277"/>
      <c r="D560" s="1277"/>
      <c r="E560" s="1277"/>
      <c r="F560" s="1277"/>
      <c r="G560" s="1277"/>
      <c r="H560" s="1277"/>
      <c r="I560" s="1277"/>
      <c r="J560" s="24"/>
      <c r="K560" s="24"/>
      <c r="L560" s="24"/>
      <c r="M560" s="24"/>
      <c r="N560" s="200"/>
      <c r="O560" s="199"/>
      <c r="P560" s="24"/>
      <c r="Q560" s="24"/>
      <c r="R560" s="398"/>
      <c r="S560" s="398"/>
      <c r="T560" s="398"/>
      <c r="U560" s="398"/>
      <c r="V560" s="398"/>
      <c r="W560" s="398"/>
      <c r="X560" s="398"/>
      <c r="Y560" s="398"/>
      <c r="Z560" s="398"/>
      <c r="AA560" s="398"/>
      <c r="AB560" s="200"/>
      <c r="AC560" s="1"/>
      <c r="AD560" s="1"/>
      <c r="AE560" s="1"/>
      <c r="AF560" s="1"/>
      <c r="AG560" s="1"/>
      <c r="AH560" s="1"/>
      <c r="AI560" s="1"/>
      <c r="AJ560" s="1"/>
      <c r="AK560" s="1"/>
      <c r="AL560" s="1"/>
      <c r="AM560" s="1"/>
      <c r="AN560" s="1"/>
      <c r="AO560" s="1"/>
      <c r="AP560" s="1"/>
      <c r="AQ560" s="1"/>
      <c r="AR560" s="1"/>
      <c r="AS560" s="1"/>
      <c r="AT560" s="1"/>
      <c r="AU560" s="1"/>
      <c r="AV560" s="1"/>
      <c r="AW560" s="1"/>
      <c r="AX560" s="1"/>
      <c r="AY560" s="1"/>
    </row>
    <row r="561" spans="1:60" ht="19.95" customHeight="1">
      <c r="A561" s="199"/>
      <c r="B561" s="1277"/>
      <c r="C561" s="1277"/>
      <c r="D561" s="1277"/>
      <c r="E561" s="1277"/>
      <c r="F561" s="1277"/>
      <c r="G561" s="1277"/>
      <c r="H561" s="1277"/>
      <c r="I561" s="1277"/>
      <c r="J561" s="24"/>
      <c r="K561" s="24"/>
      <c r="L561" s="24"/>
      <c r="M561" s="24"/>
      <c r="N561" s="200"/>
      <c r="O561" s="199"/>
      <c r="P561" s="24"/>
      <c r="Q561" s="24"/>
      <c r="R561" s="398"/>
      <c r="S561" s="398"/>
      <c r="T561" s="398"/>
      <c r="U561" s="398"/>
      <c r="V561" s="398"/>
      <c r="W561" s="398"/>
      <c r="X561" s="398"/>
      <c r="Y561" s="398"/>
      <c r="Z561" s="398"/>
      <c r="AA561" s="398"/>
      <c r="AB561" s="200"/>
      <c r="AC561" s="1"/>
      <c r="AD561" s="1"/>
      <c r="AE561" s="1"/>
      <c r="AF561" s="1"/>
      <c r="AG561" s="1"/>
      <c r="AH561" s="1"/>
      <c r="AI561" s="1"/>
      <c r="AJ561" s="1"/>
      <c r="AK561" s="1"/>
      <c r="AL561" s="1"/>
      <c r="AM561" s="1"/>
      <c r="AN561" s="1"/>
      <c r="AO561" s="1"/>
      <c r="AP561" s="1"/>
      <c r="AQ561" s="1"/>
      <c r="AR561" s="1"/>
      <c r="AS561" s="1"/>
      <c r="AT561" s="1"/>
      <c r="AU561" s="1"/>
      <c r="AV561" s="1"/>
      <c r="AW561" s="1"/>
      <c r="AX561" s="1"/>
      <c r="AY561" s="1"/>
    </row>
    <row r="562" spans="1:60" ht="19.95" customHeight="1">
      <c r="A562" s="199"/>
      <c r="B562" s="1277"/>
      <c r="C562" s="1277"/>
      <c r="D562" s="1277"/>
      <c r="E562" s="1277"/>
      <c r="F562" s="1277"/>
      <c r="G562" s="1277"/>
      <c r="H562" s="1277"/>
      <c r="I562" s="1277"/>
      <c r="J562" s="24"/>
      <c r="K562" s="24"/>
      <c r="L562" s="24"/>
      <c r="M562" s="24"/>
      <c r="N562" s="200"/>
      <c r="O562" s="199"/>
      <c r="P562" s="24"/>
      <c r="Q562" s="24"/>
      <c r="R562" s="398"/>
      <c r="S562" s="398"/>
      <c r="T562" s="398"/>
      <c r="U562" s="398"/>
      <c r="V562" s="398"/>
      <c r="W562" s="398"/>
      <c r="X562" s="398"/>
      <c r="Y562" s="398"/>
      <c r="Z562" s="398"/>
      <c r="AA562" s="398"/>
      <c r="AB562" s="200"/>
      <c r="AC562" s="1"/>
      <c r="AD562" s="1"/>
      <c r="AE562" s="1"/>
      <c r="AF562" s="1"/>
      <c r="AG562" s="1"/>
      <c r="AH562" s="1"/>
      <c r="AI562" s="1"/>
      <c r="AJ562" s="1"/>
      <c r="AK562" s="1"/>
      <c r="AL562" s="1"/>
      <c r="AM562" s="1"/>
      <c r="AN562" s="1"/>
      <c r="AO562" s="1"/>
      <c r="AP562" s="1"/>
      <c r="AQ562" s="1"/>
      <c r="AR562" s="1"/>
      <c r="AS562" s="1"/>
      <c r="AT562" s="1"/>
      <c r="AU562" s="1"/>
      <c r="AV562" s="1"/>
      <c r="AW562" s="1"/>
      <c r="AX562" s="1"/>
      <c r="AY562" s="1"/>
    </row>
    <row r="563" spans="1:60" ht="19.95" customHeight="1">
      <c r="A563" s="199"/>
      <c r="B563" s="1277"/>
      <c r="C563" s="1277"/>
      <c r="D563" s="1277"/>
      <c r="E563" s="1277"/>
      <c r="F563" s="1277"/>
      <c r="G563" s="1277"/>
      <c r="H563" s="1277"/>
      <c r="I563" s="1277"/>
      <c r="J563" s="24"/>
      <c r="K563" s="24"/>
      <c r="L563" s="24"/>
      <c r="M563" s="24"/>
      <c r="N563" s="200"/>
      <c r="O563" s="199"/>
      <c r="P563" s="24"/>
      <c r="Q563" s="24"/>
      <c r="R563" s="398"/>
      <c r="S563" s="398"/>
      <c r="T563" s="398"/>
      <c r="U563" s="398"/>
      <c r="V563" s="398"/>
      <c r="W563" s="398"/>
      <c r="X563" s="398"/>
      <c r="Y563" s="398"/>
      <c r="Z563" s="398"/>
      <c r="AA563" s="398"/>
      <c r="AB563" s="200"/>
      <c r="AC563" s="1"/>
      <c r="AD563" s="1"/>
      <c r="AE563" s="1"/>
      <c r="AF563" s="1"/>
      <c r="AG563" s="1"/>
      <c r="AH563" s="1"/>
      <c r="AI563" s="1"/>
      <c r="AJ563" s="1"/>
      <c r="AK563" s="1"/>
      <c r="AL563" s="1"/>
      <c r="AM563" s="1"/>
      <c r="AN563" s="1"/>
      <c r="AO563" s="1"/>
      <c r="AP563" s="1"/>
      <c r="AQ563" s="1"/>
      <c r="AR563" s="1"/>
      <c r="AS563" s="1"/>
      <c r="AT563" s="1"/>
      <c r="AU563" s="1"/>
      <c r="AV563" s="1"/>
      <c r="AW563" s="1"/>
      <c r="AX563" s="1"/>
      <c r="AY563" s="1"/>
    </row>
    <row r="564" spans="1:60" ht="19.95" customHeight="1">
      <c r="A564" s="199"/>
      <c r="B564" s="1277"/>
      <c r="C564" s="1277"/>
      <c r="D564" s="1277"/>
      <c r="E564" s="1277"/>
      <c r="F564" s="1277"/>
      <c r="G564" s="1277"/>
      <c r="H564" s="1277"/>
      <c r="I564" s="1277"/>
      <c r="J564" s="24"/>
      <c r="K564" s="24"/>
      <c r="L564" s="24"/>
      <c r="M564" s="24"/>
      <c r="N564" s="200"/>
      <c r="O564" s="199"/>
      <c r="P564" s="24"/>
      <c r="Q564" s="24"/>
      <c r="R564" s="398"/>
      <c r="S564" s="398"/>
      <c r="T564" s="398"/>
      <c r="U564" s="398"/>
      <c r="V564" s="398"/>
      <c r="W564" s="398"/>
      <c r="X564" s="398"/>
      <c r="Y564" s="398"/>
      <c r="Z564" s="398"/>
      <c r="AA564" s="398"/>
      <c r="AB564" s="200"/>
      <c r="AC564" s="1"/>
      <c r="AD564" s="1"/>
      <c r="AE564" s="1"/>
      <c r="AF564" s="1"/>
      <c r="AG564" s="1"/>
      <c r="AH564" s="1"/>
      <c r="AI564" s="1"/>
      <c r="AJ564" s="1"/>
      <c r="AK564" s="1"/>
      <c r="AL564" s="1"/>
      <c r="AM564" s="1"/>
      <c r="AN564" s="1"/>
      <c r="AO564" s="1"/>
      <c r="AP564" s="1"/>
      <c r="AQ564" s="1"/>
      <c r="AR564" s="1"/>
      <c r="AS564" s="1"/>
      <c r="AT564" s="1"/>
      <c r="AU564" s="1"/>
      <c r="AV564" s="1"/>
      <c r="AW564" s="1"/>
      <c r="AX564" s="1"/>
      <c r="AY564" s="1"/>
    </row>
    <row r="565" spans="1:60" ht="15" customHeight="1">
      <c r="A565" s="199"/>
      <c r="B565" s="24"/>
      <c r="C565" s="24"/>
      <c r="D565" s="24"/>
      <c r="E565" s="24"/>
      <c r="F565" s="24"/>
      <c r="G565" s="24"/>
      <c r="H565" s="24"/>
      <c r="I565" s="24"/>
      <c r="J565" s="24"/>
      <c r="K565" s="24"/>
      <c r="L565" s="24"/>
      <c r="M565" s="24"/>
      <c r="N565" s="200"/>
      <c r="O565" s="199"/>
      <c r="P565" s="24"/>
      <c r="Q565" s="24"/>
      <c r="R565" s="398"/>
      <c r="S565" s="398"/>
      <c r="T565" s="398"/>
      <c r="U565" s="398"/>
      <c r="V565" s="398"/>
      <c r="W565" s="398"/>
      <c r="X565" s="398"/>
      <c r="Y565" s="398"/>
      <c r="Z565" s="398"/>
      <c r="AA565" s="398"/>
      <c r="AB565" s="200"/>
      <c r="AC565" s="1"/>
      <c r="AD565" s="1"/>
      <c r="AE565" s="1"/>
      <c r="AF565" s="1"/>
      <c r="AG565" s="1"/>
      <c r="AH565" s="1"/>
      <c r="AI565" s="1"/>
      <c r="AJ565" s="1"/>
      <c r="AK565" s="1"/>
      <c r="AL565" s="1"/>
      <c r="AM565" s="1"/>
      <c r="AN565" s="1"/>
      <c r="AO565" s="1"/>
      <c r="AP565" s="1"/>
      <c r="AQ565" s="1"/>
      <c r="AR565" s="1"/>
      <c r="AS565" s="1"/>
      <c r="AT565" s="1"/>
      <c r="AU565" s="1"/>
      <c r="AV565" s="1"/>
      <c r="AW565" s="1"/>
      <c r="AX565" s="1"/>
      <c r="AY565" s="1"/>
    </row>
    <row r="566" spans="1:60" ht="25.05" customHeight="1">
      <c r="A566" s="199"/>
      <c r="B566" s="1277" t="s">
        <v>2025</v>
      </c>
      <c r="C566" s="1277"/>
      <c r="D566" s="1277"/>
      <c r="E566" s="1277"/>
      <c r="F566" s="1277"/>
      <c r="G566" s="1277"/>
      <c r="H566" s="1277"/>
      <c r="I566" s="1277"/>
      <c r="J566" s="1277"/>
      <c r="K566" s="1277"/>
      <c r="L566" s="1277"/>
      <c r="M566" s="1277"/>
      <c r="N566" s="200"/>
      <c r="O566" s="199"/>
      <c r="P566" s="24"/>
      <c r="Q566" s="24"/>
      <c r="R566" s="398"/>
      <c r="S566" s="398"/>
      <c r="T566" s="398"/>
      <c r="U566" s="398"/>
      <c r="V566" s="398"/>
      <c r="W566" s="398"/>
      <c r="X566" s="398"/>
      <c r="Y566" s="398"/>
      <c r="Z566" s="398"/>
      <c r="AA566" s="398"/>
      <c r="AB566" s="200"/>
      <c r="AC566" s="1"/>
      <c r="AD566" s="1"/>
      <c r="AE566" s="1"/>
      <c r="AF566" s="1"/>
      <c r="AG566" s="1"/>
      <c r="AH566" s="1"/>
      <c r="AI566" s="1"/>
      <c r="AJ566" s="1"/>
      <c r="AK566" s="1"/>
      <c r="AL566" s="1"/>
      <c r="AM566" s="1"/>
      <c r="AN566" s="1"/>
      <c r="AO566" s="1"/>
      <c r="AP566" s="1"/>
      <c r="AQ566" s="1"/>
      <c r="AR566" s="1"/>
      <c r="AS566" s="1"/>
      <c r="AT566" s="1"/>
      <c r="AU566" s="1"/>
      <c r="AV566" s="1"/>
      <c r="AW566" s="1"/>
      <c r="AX566" s="1"/>
      <c r="AY566" s="1"/>
    </row>
    <row r="567" spans="1:60" ht="25.05" customHeight="1">
      <c r="A567" s="199"/>
      <c r="B567" s="1277"/>
      <c r="C567" s="1277"/>
      <c r="D567" s="1277"/>
      <c r="E567" s="1277"/>
      <c r="F567" s="1277"/>
      <c r="G567" s="1277"/>
      <c r="H567" s="1277"/>
      <c r="I567" s="1277"/>
      <c r="J567" s="1277"/>
      <c r="K567" s="1277"/>
      <c r="L567" s="1277"/>
      <c r="M567" s="1277"/>
      <c r="N567" s="200"/>
      <c r="O567" s="199"/>
      <c r="P567" s="24"/>
      <c r="Q567" s="24"/>
      <c r="R567" s="398"/>
      <c r="S567" s="398"/>
      <c r="T567" s="398"/>
      <c r="U567" s="398"/>
      <c r="V567" s="398"/>
      <c r="W567" s="398"/>
      <c r="X567" s="398"/>
      <c r="Y567" s="398"/>
      <c r="Z567" s="398"/>
      <c r="AA567" s="398"/>
      <c r="AB567" s="200"/>
      <c r="AC567" s="1"/>
      <c r="AD567" s="1"/>
      <c r="AE567" s="1"/>
      <c r="AF567" s="1"/>
      <c r="AG567" s="1"/>
      <c r="AH567" s="1"/>
      <c r="AI567" s="1"/>
      <c r="AJ567" s="1"/>
      <c r="AK567" s="1"/>
      <c r="AL567" s="1"/>
      <c r="AM567" s="1"/>
      <c r="AN567" s="1"/>
      <c r="AO567" s="1"/>
      <c r="AP567" s="1"/>
      <c r="AQ567" s="1"/>
      <c r="AR567" s="1"/>
      <c r="AS567" s="1"/>
      <c r="AT567" s="1"/>
      <c r="AU567" s="1"/>
      <c r="AV567" s="1"/>
      <c r="AW567" s="1"/>
      <c r="AX567" s="1"/>
      <c r="AY567" s="1"/>
    </row>
    <row r="568" spans="1:60" ht="25.05" customHeight="1">
      <c r="A568" s="199"/>
      <c r="B568" s="1277"/>
      <c r="C568" s="1277"/>
      <c r="D568" s="1277"/>
      <c r="E568" s="1277"/>
      <c r="F568" s="1277"/>
      <c r="G568" s="1277"/>
      <c r="H568" s="1277"/>
      <c r="I568" s="1277"/>
      <c r="J568" s="1277"/>
      <c r="K568" s="1277"/>
      <c r="L568" s="1277"/>
      <c r="M568" s="1277"/>
      <c r="N568" s="200"/>
      <c r="O568" s="199"/>
      <c r="P568" s="24"/>
      <c r="Q568" s="24"/>
      <c r="R568" s="398"/>
      <c r="S568" s="398"/>
      <c r="T568" s="398"/>
      <c r="U568" s="398"/>
      <c r="V568" s="398"/>
      <c r="W568" s="398"/>
      <c r="X568" s="398"/>
      <c r="Y568" s="398"/>
      <c r="Z568" s="398"/>
      <c r="AA568" s="398"/>
      <c r="AB568" s="200"/>
      <c r="AC568" s="1"/>
      <c r="AD568" s="1"/>
      <c r="AE568" s="1"/>
      <c r="AF568" s="1"/>
      <c r="AG568" s="1"/>
      <c r="AH568" s="1"/>
      <c r="AI568" s="1"/>
      <c r="AJ568" s="1"/>
      <c r="AK568" s="1"/>
      <c r="AL568" s="1"/>
      <c r="AM568" s="1"/>
      <c r="AN568" s="1"/>
      <c r="AO568" s="1"/>
      <c r="AP568" s="1"/>
      <c r="AQ568" s="1"/>
      <c r="AR568" s="1"/>
      <c r="AS568" s="1"/>
      <c r="AT568" s="1"/>
      <c r="AU568" s="1"/>
      <c r="AV568" s="1"/>
      <c r="AW568" s="1"/>
      <c r="AX568" s="1"/>
      <c r="AY568" s="1"/>
    </row>
    <row r="569" spans="1:60" ht="25.05" customHeight="1">
      <c r="A569" s="199"/>
      <c r="B569" s="1277"/>
      <c r="C569" s="1277"/>
      <c r="D569" s="1277"/>
      <c r="E569" s="1277"/>
      <c r="F569" s="1277"/>
      <c r="G569" s="1277"/>
      <c r="H569" s="1277"/>
      <c r="I569" s="1277"/>
      <c r="J569" s="1277"/>
      <c r="K569" s="1277"/>
      <c r="L569" s="1277"/>
      <c r="M569" s="1277"/>
      <c r="N569" s="200"/>
      <c r="O569" s="199"/>
      <c r="P569" s="24"/>
      <c r="Q569" s="24"/>
      <c r="R569" s="398"/>
      <c r="S569" s="398"/>
      <c r="T569" s="398"/>
      <c r="U569" s="398"/>
      <c r="V569" s="398"/>
      <c r="W569" s="398"/>
      <c r="X569" s="398"/>
      <c r="Y569" s="398"/>
      <c r="Z569" s="398"/>
      <c r="AA569" s="398"/>
      <c r="AB569" s="200"/>
      <c r="AC569" s="1"/>
      <c r="AD569" s="1"/>
      <c r="AE569" s="1"/>
      <c r="AF569" s="1"/>
      <c r="AG569" s="1"/>
      <c r="AH569" s="1"/>
      <c r="AI569" s="1"/>
      <c r="AJ569" s="1"/>
      <c r="AK569" s="1"/>
      <c r="AL569" s="1"/>
      <c r="AM569" s="1"/>
      <c r="AN569" s="1"/>
      <c r="AO569" s="1"/>
      <c r="AP569" s="1"/>
      <c r="AQ569" s="1"/>
      <c r="AR569" s="1"/>
      <c r="AS569" s="1"/>
      <c r="AT569" s="1"/>
      <c r="AU569" s="1"/>
      <c r="AV569" s="1"/>
      <c r="AW569" s="1"/>
      <c r="AX569" s="1"/>
      <c r="AY569" s="1"/>
    </row>
    <row r="570" spans="1:60" ht="10.050000000000001" customHeight="1">
      <c r="A570" s="199"/>
      <c r="B570" s="24"/>
      <c r="C570" s="24"/>
      <c r="D570" s="24"/>
      <c r="E570" s="24"/>
      <c r="F570" s="24"/>
      <c r="G570" s="24"/>
      <c r="H570" s="24"/>
      <c r="I570" s="24"/>
      <c r="J570" s="24"/>
      <c r="K570" s="24"/>
      <c r="L570" s="24"/>
      <c r="M570" s="24"/>
      <c r="N570" s="200"/>
      <c r="O570" s="199"/>
      <c r="P570" s="24"/>
      <c r="Q570" s="24"/>
      <c r="R570" s="398"/>
      <c r="S570" s="398"/>
      <c r="T570" s="398"/>
      <c r="U570" s="398"/>
      <c r="V570" s="398"/>
      <c r="W570" s="398"/>
      <c r="X570" s="398"/>
      <c r="Y570" s="398"/>
      <c r="Z570" s="398"/>
      <c r="AA570" s="398"/>
      <c r="AB570" s="200"/>
      <c r="AC570" s="1"/>
      <c r="AD570" s="1"/>
      <c r="AE570" s="1"/>
      <c r="AF570" s="1"/>
      <c r="AG570" s="1"/>
      <c r="AH570" s="1"/>
      <c r="AI570" s="1"/>
      <c r="AJ570" s="1"/>
      <c r="AK570" s="1"/>
      <c r="AL570" s="1"/>
      <c r="AM570" s="1"/>
      <c r="AN570" s="1"/>
      <c r="AO570" s="1"/>
      <c r="AP570" s="1"/>
      <c r="AQ570" s="1"/>
      <c r="AR570" s="1"/>
      <c r="AS570" s="1"/>
      <c r="AT570" s="1"/>
      <c r="AU570" s="1"/>
      <c r="AV570" s="1"/>
      <c r="AW570" s="1"/>
      <c r="AX570" s="1"/>
      <c r="AY570" s="1"/>
    </row>
    <row r="571" spans="1:60" ht="30" customHeight="1">
      <c r="A571" s="210" t="s">
        <v>1148</v>
      </c>
      <c r="B571" s="396" t="s">
        <v>2017</v>
      </c>
      <c r="C571" s="582"/>
      <c r="D571" s="582"/>
      <c r="E571" s="583"/>
      <c r="F571" s="584"/>
      <c r="G571" s="582"/>
      <c r="H571" s="582"/>
      <c r="I571" s="582"/>
      <c r="J571" s="582"/>
      <c r="K571" s="373"/>
      <c r="L571" s="373"/>
      <c r="M571" s="373"/>
      <c r="N571" s="211" t="s">
        <v>1149</v>
      </c>
      <c r="O571" s="372"/>
      <c r="P571" s="396" t="s">
        <v>1273</v>
      </c>
      <c r="Q571" s="373"/>
      <c r="R571" s="373"/>
      <c r="S571" s="373"/>
      <c r="T571" s="373"/>
      <c r="U571" s="373"/>
      <c r="V571" s="373"/>
      <c r="W571" s="373"/>
      <c r="X571" s="373"/>
      <c r="Y571" s="373"/>
      <c r="Z571" s="373"/>
      <c r="AA571" s="373"/>
      <c r="AB571" s="211" t="s">
        <v>1149</v>
      </c>
      <c r="AC571" s="577"/>
      <c r="AD571" s="1"/>
      <c r="AE571" s="577"/>
      <c r="AF571" s="577"/>
      <c r="AG571" s="577"/>
      <c r="AH571" s="577"/>
      <c r="AI571" s="577"/>
      <c r="AJ571" s="577"/>
      <c r="AK571" s="577"/>
      <c r="AL571" s="577"/>
      <c r="AM571" s="577"/>
      <c r="AN571" s="577"/>
      <c r="AO571" s="577"/>
      <c r="AP571" s="577"/>
      <c r="AQ571" s="577"/>
      <c r="AR571" s="577"/>
      <c r="AS571" s="577"/>
      <c r="AT571" s="577"/>
      <c r="AU571" s="577"/>
      <c r="AV571" s="577"/>
      <c r="AW571" s="577"/>
      <c r="AX571" s="577"/>
      <c r="AY571" s="577"/>
    </row>
    <row r="572" spans="1:60" ht="10.050000000000001" customHeight="1">
      <c r="A572" s="199"/>
      <c r="B572" s="24"/>
      <c r="C572" s="24"/>
      <c r="D572" s="24"/>
      <c r="E572" s="24"/>
      <c r="F572" s="24"/>
      <c r="G572" s="24"/>
      <c r="H572" s="24"/>
      <c r="I572" s="24"/>
      <c r="J572" s="24"/>
      <c r="K572" s="24"/>
      <c r="L572" s="24"/>
      <c r="M572" s="24"/>
      <c r="N572" s="200"/>
      <c r="O572" s="199"/>
      <c r="P572" s="24"/>
      <c r="Q572" s="24"/>
      <c r="R572" s="398"/>
      <c r="S572" s="398"/>
      <c r="T572" s="398"/>
      <c r="U572" s="398"/>
      <c r="V572" s="398"/>
      <c r="W572" s="398"/>
      <c r="X572" s="398"/>
      <c r="Y572" s="398"/>
      <c r="Z572" s="398"/>
      <c r="AA572" s="398"/>
      <c r="AB572" s="200"/>
      <c r="AC572" s="1"/>
      <c r="AD572" s="1"/>
      <c r="AE572" s="1"/>
      <c r="AF572" s="1"/>
      <c r="AG572" s="1"/>
      <c r="AH572" s="1"/>
      <c r="AI572" s="1"/>
      <c r="AJ572" s="1"/>
      <c r="AK572" s="1"/>
      <c r="AL572" s="1"/>
      <c r="AM572" s="1"/>
      <c r="AN572" s="1"/>
      <c r="AO572" s="1"/>
      <c r="AP572" s="1"/>
      <c r="AQ572" s="1"/>
      <c r="AR572" s="1"/>
      <c r="AS572" s="1"/>
      <c r="AT572" s="1"/>
      <c r="AU572" s="1"/>
      <c r="AV572" s="1"/>
      <c r="AW572" s="1"/>
      <c r="AX572" s="1"/>
      <c r="AY572" s="1"/>
    </row>
    <row r="573" spans="1:60" ht="19.95" customHeight="1">
      <c r="A573" s="199"/>
      <c r="B573" s="586" t="s">
        <v>2018</v>
      </c>
      <c r="C573" s="586"/>
      <c r="D573" s="586"/>
      <c r="E573" s="586"/>
      <c r="F573" s="586"/>
      <c r="G573" s="586"/>
      <c r="H573" s="586"/>
      <c r="I573" s="586"/>
      <c r="J573" s="586"/>
      <c r="K573" s="586"/>
      <c r="L573" s="586"/>
      <c r="M573" s="24"/>
      <c r="N573" s="200"/>
      <c r="O573" s="199"/>
      <c r="P573" s="24"/>
      <c r="Q573" s="24"/>
      <c r="R573" s="398"/>
      <c r="S573" s="398"/>
      <c r="T573" s="398"/>
      <c r="U573" s="398"/>
      <c r="V573" s="398"/>
      <c r="W573" s="398"/>
      <c r="X573" s="398"/>
      <c r="Y573" s="398"/>
      <c r="Z573" s="398"/>
      <c r="AA573" s="398"/>
      <c r="AB573" s="200"/>
      <c r="AC573" s="1"/>
      <c r="AD573" s="1"/>
      <c r="AE573" s="1"/>
      <c r="AF573" s="1"/>
      <c r="AG573" s="1"/>
      <c r="AH573" s="1"/>
      <c r="AI573" s="1"/>
      <c r="AJ573" s="1"/>
      <c r="AK573" s="1"/>
      <c r="AL573" s="1"/>
      <c r="AM573" s="1"/>
      <c r="AN573" s="1"/>
      <c r="AO573" s="1"/>
      <c r="AP573" s="1"/>
      <c r="AQ573" s="1"/>
      <c r="AR573" s="1"/>
      <c r="AS573" s="1"/>
      <c r="AT573" s="1"/>
      <c r="AU573" s="1"/>
      <c r="AV573" s="1"/>
      <c r="AW573" s="1"/>
      <c r="AX573" s="1"/>
      <c r="AY573" s="1"/>
    </row>
    <row r="574" spans="1:60" ht="4.95" customHeight="1">
      <c r="A574" s="199"/>
      <c r="B574" s="24"/>
      <c r="C574" s="24"/>
      <c r="D574" s="24"/>
      <c r="E574" s="24"/>
      <c r="F574" s="24"/>
      <c r="G574" s="24"/>
      <c r="H574" s="24"/>
      <c r="I574" s="24"/>
      <c r="J574" s="24"/>
      <c r="K574" s="24"/>
      <c r="L574" s="24"/>
      <c r="M574" s="24"/>
      <c r="N574" s="200"/>
      <c r="O574" s="199"/>
      <c r="P574" s="24"/>
      <c r="Q574" s="24"/>
      <c r="R574" s="398"/>
      <c r="S574" s="398"/>
      <c r="T574" s="398"/>
      <c r="U574" s="398"/>
      <c r="V574" s="398"/>
      <c r="W574" s="398"/>
      <c r="X574" s="398"/>
      <c r="Y574" s="398"/>
      <c r="Z574" s="398"/>
      <c r="AA574" s="398"/>
      <c r="AB574" s="200"/>
      <c r="AC574" s="1"/>
      <c r="AD574" s="1"/>
      <c r="AE574" s="1"/>
      <c r="AF574" s="1"/>
      <c r="AG574" s="1"/>
      <c r="AH574" s="1"/>
      <c r="AI574" s="1"/>
      <c r="AJ574" s="1"/>
      <c r="AK574" s="1"/>
      <c r="AL574" s="1"/>
      <c r="AM574" s="1"/>
      <c r="AN574" s="1"/>
      <c r="AO574" s="1"/>
      <c r="AP574" s="1"/>
      <c r="AQ574" s="1"/>
      <c r="AR574" s="1"/>
      <c r="AS574" s="1"/>
      <c r="AT574" s="1"/>
      <c r="AU574" s="1"/>
      <c r="AV574" s="1"/>
      <c r="AW574" s="1"/>
      <c r="AX574" s="1"/>
      <c r="AY574" s="1"/>
    </row>
    <row r="575" spans="1:60" ht="19.95" customHeight="1">
      <c r="A575" s="199"/>
      <c r="B575" s="1299" t="s">
        <v>1769</v>
      </c>
      <c r="C575" s="1299"/>
      <c r="D575" s="1299"/>
      <c r="E575" s="1299"/>
      <c r="F575" s="1299"/>
      <c r="G575" s="1299"/>
      <c r="H575" s="1299"/>
      <c r="I575" s="1299"/>
      <c r="J575" s="1299"/>
      <c r="K575" s="1299"/>
      <c r="L575" s="1299"/>
      <c r="M575" s="1299"/>
      <c r="N575" s="200"/>
      <c r="O575" s="199"/>
      <c r="P575" s="24"/>
      <c r="Q575" s="24"/>
      <c r="R575" s="398"/>
      <c r="S575" s="398"/>
      <c r="T575" s="398"/>
      <c r="U575" s="398"/>
      <c r="V575" s="398"/>
      <c r="W575" s="398"/>
      <c r="X575" s="398"/>
      <c r="Y575" s="398"/>
      <c r="Z575" s="398"/>
      <c r="AA575" s="398"/>
      <c r="AB575" s="200"/>
      <c r="AC575" s="1"/>
      <c r="AD575" s="1"/>
      <c r="AE575" s="1"/>
      <c r="AF575" s="1"/>
      <c r="AG575" s="1"/>
      <c r="AH575" s="1"/>
      <c r="AI575" s="1"/>
      <c r="AJ575" s="1"/>
      <c r="AK575" s="1"/>
      <c r="AL575" s="1"/>
      <c r="AM575" s="1"/>
      <c r="AN575" s="1"/>
      <c r="AO575" s="1"/>
      <c r="AP575" s="1"/>
      <c r="AQ575" s="1"/>
      <c r="AR575" s="1"/>
      <c r="AS575" s="1"/>
      <c r="AT575" s="1"/>
      <c r="AU575" s="1"/>
      <c r="AV575" s="1"/>
      <c r="AW575" s="1"/>
      <c r="AX575" s="1"/>
      <c r="AY575" s="1"/>
      <c r="BF575" s="459" t="str">
        <f>CONCATENATE(BH575,BI575,BJ575,BK575,BL575,BM575,BN575,BO575)</f>
        <v/>
      </c>
      <c r="BH575" s="469"/>
    </row>
    <row r="576" spans="1:60" ht="19.95" customHeight="1">
      <c r="A576" s="199"/>
      <c r="B576" s="1299"/>
      <c r="C576" s="1299"/>
      <c r="D576" s="1299"/>
      <c r="E576" s="1299"/>
      <c r="F576" s="1299"/>
      <c r="G576" s="1299"/>
      <c r="H576" s="1299"/>
      <c r="I576" s="1299"/>
      <c r="J576" s="1299"/>
      <c r="K576" s="1299"/>
      <c r="L576" s="1299"/>
      <c r="M576" s="1299"/>
      <c r="N576" s="200"/>
      <c r="O576" s="199"/>
      <c r="P576" s="24"/>
      <c r="Q576" s="24"/>
      <c r="R576" s="398"/>
      <c r="S576" s="398"/>
      <c r="T576" s="398"/>
      <c r="U576" s="398"/>
      <c r="V576" s="398"/>
      <c r="W576" s="398"/>
      <c r="X576" s="398"/>
      <c r="Y576" s="398"/>
      <c r="Z576" s="398"/>
      <c r="AA576" s="398"/>
      <c r="AB576" s="200"/>
      <c r="AC576" s="1"/>
      <c r="AD576" s="1"/>
      <c r="AE576" s="1"/>
      <c r="AF576" s="1"/>
      <c r="AG576" s="1"/>
      <c r="AH576" s="1"/>
      <c r="AI576" s="1"/>
      <c r="AJ576" s="1"/>
      <c r="AK576" s="1"/>
      <c r="AL576" s="1"/>
      <c r="AM576" s="1"/>
      <c r="AN576" s="1"/>
      <c r="AO576" s="1"/>
      <c r="AP576" s="1"/>
      <c r="AQ576" s="1"/>
      <c r="AR576" s="1"/>
      <c r="AS576" s="1"/>
      <c r="AT576" s="1"/>
      <c r="AU576" s="1"/>
      <c r="AV576" s="1"/>
      <c r="AW576" s="1"/>
      <c r="AX576" s="1"/>
      <c r="AY576" s="1"/>
    </row>
    <row r="577" spans="1:62" ht="19.95" customHeight="1">
      <c r="A577" s="199"/>
      <c r="B577" s="1299"/>
      <c r="C577" s="1299"/>
      <c r="D577" s="1299"/>
      <c r="E577" s="1299"/>
      <c r="F577" s="1299"/>
      <c r="G577" s="1299"/>
      <c r="H577" s="1299"/>
      <c r="I577" s="1299"/>
      <c r="J577" s="1299"/>
      <c r="K577" s="1299"/>
      <c r="L577" s="1299"/>
      <c r="M577" s="1299"/>
      <c r="N577" s="200"/>
      <c r="O577" s="199"/>
      <c r="P577" s="24"/>
      <c r="Q577" s="24"/>
      <c r="R577" s="398"/>
      <c r="S577" s="398"/>
      <c r="T577" s="398"/>
      <c r="U577" s="398"/>
      <c r="V577" s="398"/>
      <c r="W577" s="398"/>
      <c r="X577" s="398"/>
      <c r="Y577" s="398"/>
      <c r="Z577" s="398"/>
      <c r="AA577" s="398"/>
      <c r="AB577" s="200"/>
      <c r="AC577" s="1"/>
      <c r="AD577" s="1"/>
      <c r="AE577" s="1"/>
      <c r="AF577" s="1"/>
      <c r="AG577" s="1"/>
      <c r="AH577" s="1"/>
      <c r="AI577" s="1"/>
      <c r="AJ577" s="1"/>
      <c r="AK577" s="1"/>
      <c r="AL577" s="1"/>
      <c r="AM577" s="1"/>
      <c r="AN577" s="1"/>
      <c r="AO577" s="1"/>
      <c r="AP577" s="1"/>
      <c r="AQ577" s="1"/>
      <c r="AR577" s="1"/>
      <c r="AS577" s="1"/>
      <c r="AT577" s="1"/>
      <c r="AU577" s="1"/>
      <c r="AV577" s="1"/>
      <c r="AW577" s="1"/>
      <c r="AX577" s="1"/>
      <c r="AY577" s="1"/>
    </row>
    <row r="578" spans="1:62" ht="19.95" customHeight="1">
      <c r="A578" s="199"/>
      <c r="B578" s="1299"/>
      <c r="C578" s="1299"/>
      <c r="D578" s="1299"/>
      <c r="E578" s="1299"/>
      <c r="F578" s="1299"/>
      <c r="G578" s="1299"/>
      <c r="H578" s="1299"/>
      <c r="I578" s="1299"/>
      <c r="J578" s="1299"/>
      <c r="K578" s="1299"/>
      <c r="L578" s="1299"/>
      <c r="M578" s="1299"/>
      <c r="N578" s="200"/>
      <c r="O578" s="199"/>
      <c r="P578" s="24"/>
      <c r="Q578" s="24"/>
      <c r="R578" s="398"/>
      <c r="S578" s="398"/>
      <c r="T578" s="398"/>
      <c r="U578" s="398"/>
      <c r="V578" s="398"/>
      <c r="W578" s="398"/>
      <c r="X578" s="398"/>
      <c r="Y578" s="398"/>
      <c r="Z578" s="398"/>
      <c r="AA578" s="398"/>
      <c r="AB578" s="200"/>
      <c r="AC578" s="1"/>
      <c r="AD578" s="1"/>
      <c r="AE578" s="1"/>
      <c r="AF578" s="1"/>
      <c r="AG578" s="1"/>
      <c r="AH578" s="1"/>
      <c r="AI578" s="1"/>
      <c r="AJ578" s="1"/>
      <c r="AK578" s="1"/>
      <c r="AL578" s="1"/>
      <c r="AM578" s="1"/>
      <c r="AN578" s="1"/>
      <c r="AO578" s="1"/>
      <c r="AP578" s="1"/>
      <c r="AQ578" s="1"/>
      <c r="AR578" s="1"/>
      <c r="AS578" s="1"/>
      <c r="AT578" s="1"/>
      <c r="AU578" s="1"/>
      <c r="AV578" s="1"/>
      <c r="AW578" s="1"/>
      <c r="AX578" s="1"/>
      <c r="AY578" s="1"/>
      <c r="BF578" s="595" t="str">
        <f>IF(OR($I$1094=0,$I$1096=0,$B$1124=""),BH578,BF580)</f>
        <v>You need not step onto this path alone. I can coach you to build up your brand as one who builds bridges between opposing political sides. Or simply consult with me on how to apply this to your practice. That includes addressing any client distrust in your expertise. If you can afford FREE, then you can afford me. I am not charging anything upfront, as I too am building up my brand.</v>
      </c>
      <c r="BH578" s="465"/>
    </row>
    <row r="579" spans="1:62" ht="4.95" customHeight="1">
      <c r="A579" s="199"/>
      <c r="B579" s="24"/>
      <c r="C579" s="24"/>
      <c r="D579" s="24"/>
      <c r="E579" s="24"/>
      <c r="F579" s="24"/>
      <c r="G579" s="24"/>
      <c r="H579" s="24"/>
      <c r="I579" s="24"/>
      <c r="J579" s="24"/>
      <c r="K579" s="24"/>
      <c r="L579" s="24"/>
      <c r="M579" s="24"/>
      <c r="N579" s="200"/>
      <c r="O579" s="199"/>
      <c r="P579" s="24"/>
      <c r="Q579" s="24"/>
      <c r="R579" s="398"/>
      <c r="S579" s="398"/>
      <c r="T579" s="398"/>
      <c r="U579" s="398"/>
      <c r="V579" s="398"/>
      <c r="W579" s="398"/>
      <c r="X579" s="398"/>
      <c r="Y579" s="398"/>
      <c r="Z579" s="398"/>
      <c r="AA579" s="398"/>
      <c r="AB579" s="200"/>
      <c r="AC579" s="1"/>
      <c r="AD579" s="1"/>
      <c r="AE579" s="1"/>
      <c r="AF579" s="1"/>
      <c r="AG579" s="1"/>
      <c r="AH579" s="1"/>
      <c r="AI579" s="1"/>
      <c r="AJ579" s="1"/>
      <c r="AK579" s="1"/>
      <c r="AL579" s="1"/>
      <c r="AM579" s="1"/>
      <c r="AN579" s="1"/>
      <c r="AO579" s="1"/>
      <c r="AP579" s="1"/>
      <c r="AQ579" s="1"/>
      <c r="AR579" s="1"/>
      <c r="AS579" s="1"/>
      <c r="AT579" s="1"/>
      <c r="AU579" s="1"/>
      <c r="AV579" s="1"/>
      <c r="AW579" s="1"/>
      <c r="AX579" s="1"/>
      <c r="AY579" s="1"/>
    </row>
    <row r="580" spans="1:62" ht="22.95" customHeight="1">
      <c r="A580" s="199"/>
      <c r="B580" s="1299" t="str">
        <f>BF580</f>
        <v>You need not step onto this path alone. I can coach you to build up your brand as one who builds bridges between opposing political sides. Or simply consult with me on how to apply this to your practice. That includes addressing any client distrust in your expertise. If you can afford FREE, then you can afford me. I am not charging anything upfront, as I too am building up my brand.</v>
      </c>
      <c r="C580" s="1299"/>
      <c r="D580" s="1299"/>
      <c r="E580" s="1299"/>
      <c r="F580" s="1299"/>
      <c r="G580" s="1299"/>
      <c r="H580" s="1299"/>
      <c r="I580" s="1299"/>
      <c r="J580" s="1299"/>
      <c r="K580" s="1299"/>
      <c r="L580" s="1299"/>
      <c r="M580" s="1299"/>
      <c r="N580" s="200"/>
      <c r="O580" s="199"/>
      <c r="P580" s="24"/>
      <c r="Q580" s="24"/>
      <c r="R580" s="398"/>
      <c r="S580" s="398"/>
      <c r="T580" s="398"/>
      <c r="U580" s="398"/>
      <c r="V580" s="398"/>
      <c r="W580" s="398"/>
      <c r="X580" s="398"/>
      <c r="Y580" s="398"/>
      <c r="Z580" s="398"/>
      <c r="AA580" s="398"/>
      <c r="AB580" s="200"/>
      <c r="AC580" s="1"/>
      <c r="AD580" s="1"/>
      <c r="AE580" s="1"/>
      <c r="AF580" s="1"/>
      <c r="AG580" s="1"/>
      <c r="AH580" s="1"/>
      <c r="AI580" s="1"/>
      <c r="AJ580" s="1"/>
      <c r="AK580" s="1"/>
      <c r="AL580" s="1"/>
      <c r="AM580" s="1"/>
      <c r="AN580" s="1"/>
      <c r="AO580" s="1"/>
      <c r="AP580" s="1"/>
      <c r="AQ580" s="1"/>
      <c r="AR580" s="1"/>
      <c r="AS580" s="1"/>
      <c r="AT580" s="1"/>
      <c r="AU580" s="1"/>
      <c r="AV580" s="1"/>
      <c r="AW580" s="1"/>
      <c r="AX580" s="1"/>
      <c r="AY580" s="1"/>
      <c r="BF580" s="459" t="str">
        <f>CONCATENATE(BH580,BI580,BJ580,BK580,BL580,BM580,BN580,BO580)</f>
        <v>You need not step onto this path alone. I can coach you to build up your brand as one who builds bridges between opposing political sides. Or simply consult with me on how to apply this to your practice. That includes addressing any client distrust in your expertise. If you can afford FREE, then you can afford me. I am not charging anything upfront, as I too am building up my brand.</v>
      </c>
      <c r="BH580" s="567" t="s">
        <v>1813</v>
      </c>
      <c r="BI580" s="2" t="str">
        <f>IF(E1160=1,BI581,BI582)</f>
        <v>That includes addressing any client distrust in your expertise.</v>
      </c>
      <c r="BJ580" s="567" t="s">
        <v>1814</v>
      </c>
    </row>
    <row r="581" spans="1:62" ht="22.95" customHeight="1">
      <c r="A581" s="199"/>
      <c r="B581" s="1299"/>
      <c r="C581" s="1299"/>
      <c r="D581" s="1299"/>
      <c r="E581" s="1299"/>
      <c r="F581" s="1299"/>
      <c r="G581" s="1299"/>
      <c r="H581" s="1299"/>
      <c r="I581" s="1299"/>
      <c r="J581" s="1299"/>
      <c r="K581" s="1299"/>
      <c r="L581" s="1299"/>
      <c r="M581" s="1299"/>
      <c r="N581" s="200"/>
      <c r="O581" s="199"/>
      <c r="P581" s="24"/>
      <c r="Q581" s="24"/>
      <c r="R581" s="398"/>
      <c r="S581" s="398"/>
      <c r="T581" s="398"/>
      <c r="U581" s="398"/>
      <c r="V581" s="398"/>
      <c r="W581" s="398"/>
      <c r="X581" s="398"/>
      <c r="Y581" s="398"/>
      <c r="Z581" s="398"/>
      <c r="AA581" s="398"/>
      <c r="AB581" s="200"/>
      <c r="AC581" s="1"/>
      <c r="AD581" s="1"/>
      <c r="AE581" s="1"/>
      <c r="AF581" s="1"/>
      <c r="AG581" s="1"/>
      <c r="AH581" s="1"/>
      <c r="AI581" s="1"/>
      <c r="AJ581" s="1"/>
      <c r="AK581" s="1"/>
      <c r="AL581" s="1"/>
      <c r="AM581" s="1"/>
      <c r="AN581" s="1"/>
      <c r="AO581" s="1"/>
      <c r="AP581" s="1"/>
      <c r="AQ581" s="1"/>
      <c r="AR581" s="1"/>
      <c r="AS581" s="1"/>
      <c r="AT581" s="1"/>
      <c r="AU581" s="1"/>
      <c r="AV581" s="1"/>
      <c r="AW581" s="1"/>
      <c r="AX581" s="1"/>
      <c r="AY581" s="1"/>
      <c r="BI581" s="2" t="s">
        <v>1816</v>
      </c>
    </row>
    <row r="582" spans="1:62" ht="22.95" customHeight="1">
      <c r="A582" s="199"/>
      <c r="B582" s="1299"/>
      <c r="C582" s="1299"/>
      <c r="D582" s="1299"/>
      <c r="E582" s="1299"/>
      <c r="F582" s="1299"/>
      <c r="G582" s="1299"/>
      <c r="H582" s="1299"/>
      <c r="I582" s="1299"/>
      <c r="J582" s="1299"/>
      <c r="K582" s="1299"/>
      <c r="L582" s="1299"/>
      <c r="M582" s="1299"/>
      <c r="N582" s="200"/>
      <c r="O582" s="199"/>
      <c r="P582" s="24"/>
      <c r="Q582" s="24"/>
      <c r="R582" s="398"/>
      <c r="S582" s="398"/>
      <c r="T582" s="398"/>
      <c r="U582" s="398"/>
      <c r="V582" s="398"/>
      <c r="W582" s="398"/>
      <c r="X582" s="398"/>
      <c r="Y582" s="398"/>
      <c r="Z582" s="398"/>
      <c r="AA582" s="398"/>
      <c r="AB582" s="200"/>
      <c r="AC582" s="1"/>
      <c r="AD582" s="1"/>
      <c r="AE582" s="1"/>
      <c r="AF582" s="1"/>
      <c r="AG582" s="1"/>
      <c r="AH582" s="1"/>
      <c r="AI582" s="1"/>
      <c r="AJ582" s="1"/>
      <c r="AK582" s="1"/>
      <c r="AL582" s="1"/>
      <c r="AM582" s="1"/>
      <c r="AN582" s="1"/>
      <c r="AO582" s="1"/>
      <c r="AP582" s="1"/>
      <c r="AQ582" s="1"/>
      <c r="AR582" s="1"/>
      <c r="AS582" s="1"/>
      <c r="AT582" s="1"/>
      <c r="AU582" s="1"/>
      <c r="AV582" s="1"/>
      <c r="AW582" s="1"/>
      <c r="AX582" s="1"/>
      <c r="AY582" s="1"/>
      <c r="BI582" s="2" t="s">
        <v>1815</v>
      </c>
    </row>
    <row r="583" spans="1:62" ht="22.95" customHeight="1">
      <c r="A583" s="199"/>
      <c r="B583" s="1299"/>
      <c r="C583" s="1299"/>
      <c r="D583" s="1299"/>
      <c r="E583" s="1299"/>
      <c r="F583" s="1299"/>
      <c r="G583" s="1299"/>
      <c r="H583" s="1299"/>
      <c r="I583" s="1299"/>
      <c r="J583" s="1299"/>
      <c r="K583" s="1299"/>
      <c r="L583" s="1299"/>
      <c r="M583" s="1299"/>
      <c r="N583" s="200"/>
      <c r="O583" s="199"/>
      <c r="P583" s="24"/>
      <c r="Q583" s="24"/>
      <c r="R583" s="398"/>
      <c r="S583" s="398"/>
      <c r="T583" s="398"/>
      <c r="U583" s="398"/>
      <c r="V583" s="398"/>
      <c r="W583" s="398"/>
      <c r="X583" s="398"/>
      <c r="Y583" s="398"/>
      <c r="Z583" s="398"/>
      <c r="AA583" s="398"/>
      <c r="AB583" s="200"/>
      <c r="AC583" s="1"/>
      <c r="AD583" s="1"/>
      <c r="AE583" s="1"/>
      <c r="AF583" s="1"/>
      <c r="AG583" s="1"/>
      <c r="AH583" s="1"/>
      <c r="AI583" s="1"/>
      <c r="AJ583" s="1"/>
      <c r="AK583" s="1"/>
      <c r="AL583" s="1"/>
      <c r="AM583" s="1"/>
      <c r="AN583" s="1"/>
      <c r="AO583" s="1"/>
      <c r="AP583" s="1"/>
      <c r="AQ583" s="1"/>
      <c r="AR583" s="1"/>
      <c r="AS583" s="1"/>
      <c r="AT583" s="1"/>
      <c r="AU583" s="1"/>
      <c r="AV583" s="1"/>
      <c r="AW583" s="1"/>
      <c r="AX583" s="1"/>
      <c r="AY583" s="1"/>
    </row>
    <row r="584" spans="1:62" ht="4.95" customHeight="1">
      <c r="A584" s="199"/>
      <c r="B584" s="24"/>
      <c r="C584" s="24"/>
      <c r="D584" s="24"/>
      <c r="E584" s="24"/>
      <c r="F584" s="24"/>
      <c r="G584" s="24"/>
      <c r="H584" s="24"/>
      <c r="I584" s="24"/>
      <c r="J584" s="24"/>
      <c r="K584" s="24"/>
      <c r="L584" s="24"/>
      <c r="M584" s="24"/>
      <c r="N584" s="200"/>
      <c r="O584" s="199"/>
      <c r="P584" s="24"/>
      <c r="Q584" s="24"/>
      <c r="R584" s="398"/>
      <c r="S584" s="398"/>
      <c r="T584" s="398"/>
      <c r="U584" s="398"/>
      <c r="V584" s="398"/>
      <c r="W584" s="398"/>
      <c r="X584" s="398"/>
      <c r="Y584" s="398"/>
      <c r="Z584" s="398"/>
      <c r="AA584" s="398"/>
      <c r="AB584" s="200"/>
      <c r="AC584" s="1"/>
      <c r="AD584" s="1"/>
      <c r="AE584" s="1"/>
      <c r="AF584" s="1"/>
      <c r="AG584" s="1"/>
      <c r="AH584" s="1"/>
      <c r="AI584" s="1"/>
      <c r="AJ584" s="1"/>
      <c r="AK584" s="1"/>
      <c r="AL584" s="1"/>
      <c r="AM584" s="1"/>
      <c r="AN584" s="1"/>
      <c r="AO584" s="1"/>
      <c r="AP584" s="1"/>
      <c r="AQ584" s="1"/>
      <c r="AR584" s="1"/>
      <c r="AS584" s="1"/>
      <c r="AT584" s="1"/>
      <c r="AU584" s="1"/>
      <c r="AV584" s="1"/>
      <c r="AW584" s="1"/>
      <c r="AX584" s="1"/>
      <c r="AY584" s="1"/>
    </row>
    <row r="585" spans="1:62" ht="25.05" customHeight="1">
      <c r="A585" s="199"/>
      <c r="B585" s="1300" t="s">
        <v>1782</v>
      </c>
      <c r="C585" s="1301"/>
      <c r="D585" s="1301"/>
      <c r="E585" s="1301"/>
      <c r="F585" s="1301"/>
      <c r="G585" s="1301"/>
      <c r="H585" s="1301"/>
      <c r="I585" s="1301"/>
      <c r="J585" s="1301"/>
      <c r="K585" s="1301"/>
      <c r="L585" s="1301"/>
      <c r="M585" s="1301"/>
      <c r="N585" s="200"/>
      <c r="O585" s="199"/>
      <c r="P585" s="24"/>
      <c r="Q585" s="24"/>
      <c r="R585" s="398"/>
      <c r="S585" s="398"/>
      <c r="T585" s="398"/>
      <c r="U585" s="398"/>
      <c r="V585" s="398"/>
      <c r="W585" s="398"/>
      <c r="X585" s="398"/>
      <c r="Y585" s="398"/>
      <c r="Z585" s="398"/>
      <c r="AA585" s="398"/>
      <c r="AB585" s="200"/>
      <c r="AC585" s="1"/>
      <c r="AD585" s="1"/>
      <c r="AE585" s="1"/>
      <c r="AF585" s="1"/>
      <c r="AG585" s="1"/>
      <c r="AH585" s="1"/>
      <c r="AI585" s="1"/>
      <c r="AJ585" s="1"/>
      <c r="AK585" s="1"/>
      <c r="AL585" s="1"/>
      <c r="AM585" s="1"/>
      <c r="AN585" s="1"/>
      <c r="AO585" s="1"/>
      <c r="AP585" s="1"/>
      <c r="AQ585" s="1"/>
      <c r="AR585" s="1"/>
      <c r="AS585" s="1"/>
      <c r="AT585" s="1"/>
      <c r="AU585" s="1"/>
      <c r="AV585" s="1"/>
      <c r="AW585" s="1"/>
      <c r="AX585" s="1"/>
      <c r="AY585" s="1"/>
      <c r="BF585" s="459" t="str">
        <f>CONCATENATE(BH585,BI585,BJ585,BK585,BL585,BM585,BN585,BO585)</f>
        <v/>
      </c>
      <c r="BH585" s="469"/>
    </row>
    <row r="586" spans="1:62" ht="25.05" customHeight="1">
      <c r="A586" s="199"/>
      <c r="B586" s="1301"/>
      <c r="C586" s="1301"/>
      <c r="D586" s="1301"/>
      <c r="E586" s="1301"/>
      <c r="F586" s="1301"/>
      <c r="G586" s="1301"/>
      <c r="H586" s="1301"/>
      <c r="I586" s="1301"/>
      <c r="J586" s="1301"/>
      <c r="K586" s="1301"/>
      <c r="L586" s="1301"/>
      <c r="M586" s="1301"/>
      <c r="N586" s="200"/>
      <c r="O586" s="199"/>
      <c r="P586" s="24"/>
      <c r="Q586" s="24"/>
      <c r="R586" s="398"/>
      <c r="S586" s="398"/>
      <c r="T586" s="398"/>
      <c r="U586" s="398"/>
      <c r="V586" s="398"/>
      <c r="W586" s="398"/>
      <c r="X586" s="398"/>
      <c r="Y586" s="398"/>
      <c r="Z586" s="398"/>
      <c r="AA586" s="398"/>
      <c r="AB586" s="200"/>
      <c r="AC586" s="1"/>
      <c r="AD586" s="1"/>
      <c r="AE586" s="1"/>
      <c r="AF586" s="1"/>
      <c r="AG586" s="1"/>
      <c r="AH586" s="1"/>
      <c r="AI586" s="1"/>
      <c r="AJ586" s="1"/>
      <c r="AK586" s="1"/>
      <c r="AL586" s="1"/>
      <c r="AM586" s="1"/>
      <c r="AN586" s="1"/>
      <c r="AO586" s="1"/>
      <c r="AP586" s="1"/>
      <c r="AQ586" s="1"/>
      <c r="AR586" s="1"/>
      <c r="AS586" s="1"/>
      <c r="AT586" s="1"/>
      <c r="AU586" s="1"/>
      <c r="AV586" s="1"/>
      <c r="AW586" s="1"/>
      <c r="AX586" s="1"/>
      <c r="AY586" s="1"/>
    </row>
    <row r="587" spans="1:62" ht="25.05" customHeight="1">
      <c r="A587" s="199"/>
      <c r="B587" s="1301"/>
      <c r="C587" s="1301"/>
      <c r="D587" s="1301"/>
      <c r="E587" s="1301"/>
      <c r="F587" s="1301"/>
      <c r="G587" s="1301"/>
      <c r="H587" s="1301"/>
      <c r="I587" s="1301"/>
      <c r="J587" s="1301"/>
      <c r="K587" s="1301"/>
      <c r="L587" s="1301"/>
      <c r="M587" s="1301"/>
      <c r="N587" s="200"/>
      <c r="O587" s="199"/>
      <c r="P587" s="24"/>
      <c r="Q587" s="24"/>
      <c r="R587" s="398"/>
      <c r="S587" s="398"/>
      <c r="T587" s="398"/>
      <c r="U587" s="398"/>
      <c r="V587" s="398"/>
      <c r="W587" s="398"/>
      <c r="X587" s="398"/>
      <c r="Y587" s="398"/>
      <c r="Z587" s="398"/>
      <c r="AA587" s="398"/>
      <c r="AB587" s="200"/>
      <c r="AC587" s="1"/>
      <c r="AD587" s="1"/>
      <c r="AE587" s="1"/>
      <c r="AF587" s="1"/>
      <c r="AG587" s="1"/>
      <c r="AH587" s="1"/>
      <c r="AI587" s="1"/>
      <c r="AJ587" s="1"/>
      <c r="AK587" s="1"/>
      <c r="AL587" s="1"/>
      <c r="AM587" s="1"/>
      <c r="AN587" s="1"/>
      <c r="AO587" s="1"/>
      <c r="AP587" s="1"/>
      <c r="AQ587" s="1"/>
      <c r="AR587" s="1"/>
      <c r="AS587" s="1"/>
      <c r="AT587" s="1"/>
      <c r="AU587" s="1"/>
      <c r="AV587" s="1"/>
      <c r="AW587" s="1"/>
      <c r="AX587" s="1"/>
      <c r="AY587" s="1"/>
    </row>
    <row r="588" spans="1:62" ht="25.05" customHeight="1">
      <c r="A588" s="199"/>
      <c r="B588" s="1301"/>
      <c r="C588" s="1301"/>
      <c r="D588" s="1301"/>
      <c r="E588" s="1301"/>
      <c r="F588" s="1301"/>
      <c r="G588" s="1301"/>
      <c r="H588" s="1301"/>
      <c r="I588" s="1301"/>
      <c r="J588" s="1301"/>
      <c r="K588" s="1301"/>
      <c r="L588" s="1301"/>
      <c r="M588" s="1301"/>
      <c r="N588" s="200"/>
      <c r="O588" s="199"/>
      <c r="P588" s="24"/>
      <c r="Q588" s="24"/>
      <c r="R588" s="398"/>
      <c r="S588" s="398"/>
      <c r="T588" s="398"/>
      <c r="U588" s="398"/>
      <c r="V588" s="398"/>
      <c r="W588" s="398"/>
      <c r="X588" s="398"/>
      <c r="Y588" s="398"/>
      <c r="Z588" s="398"/>
      <c r="AA588" s="398"/>
      <c r="AB588" s="200"/>
      <c r="AC588" s="1"/>
      <c r="AD588" s="1"/>
      <c r="AE588" s="1"/>
      <c r="AF588" s="1"/>
      <c r="AG588" s="1"/>
      <c r="AH588" s="1"/>
      <c r="AI588" s="1"/>
      <c r="AJ588" s="1"/>
      <c r="AK588" s="1"/>
      <c r="AL588" s="1"/>
      <c r="AM588" s="1"/>
      <c r="AN588" s="1"/>
      <c r="AO588" s="1"/>
      <c r="AP588" s="1"/>
      <c r="AQ588" s="1"/>
      <c r="AR588" s="1"/>
      <c r="AS588" s="1"/>
      <c r="AT588" s="1"/>
      <c r="AU588" s="1"/>
      <c r="AV588" s="1"/>
      <c r="AW588" s="1"/>
      <c r="AX588" s="1"/>
      <c r="AY588" s="1"/>
    </row>
    <row r="589" spans="1:62" ht="4.95" customHeight="1">
      <c r="A589" s="199"/>
      <c r="B589" s="24"/>
      <c r="C589" s="24"/>
      <c r="D589" s="24"/>
      <c r="E589" s="24"/>
      <c r="F589" s="24"/>
      <c r="G589" s="24"/>
      <c r="H589" s="24"/>
      <c r="I589" s="24"/>
      <c r="J589" s="24"/>
      <c r="K589" s="24"/>
      <c r="L589" s="24"/>
      <c r="M589" s="24"/>
      <c r="N589" s="200"/>
      <c r="O589" s="199"/>
      <c r="P589" s="24"/>
      <c r="Q589" s="24"/>
      <c r="R589" s="398"/>
      <c r="S589" s="398"/>
      <c r="T589" s="398"/>
      <c r="U589" s="398"/>
      <c r="V589" s="398"/>
      <c r="W589" s="398"/>
      <c r="X589" s="398"/>
      <c r="Y589" s="398"/>
      <c r="Z589" s="398"/>
      <c r="AA589" s="398"/>
      <c r="AB589" s="200"/>
      <c r="AC589" s="1"/>
      <c r="AD589" s="1"/>
      <c r="AE589" s="1"/>
      <c r="AF589" s="1"/>
      <c r="AG589" s="1"/>
      <c r="AH589" s="1"/>
      <c r="AI589" s="1"/>
      <c r="AJ589" s="1"/>
      <c r="AK589" s="1"/>
      <c r="AL589" s="1"/>
      <c r="AM589" s="1"/>
      <c r="AN589" s="1"/>
      <c r="AO589" s="1"/>
      <c r="AP589" s="1"/>
      <c r="AQ589" s="1"/>
      <c r="AR589" s="1"/>
      <c r="AS589" s="1"/>
      <c r="AT589" s="1"/>
      <c r="AU589" s="1"/>
      <c r="AV589" s="1"/>
      <c r="AW589" s="1"/>
      <c r="AX589" s="1"/>
      <c r="AY589" s="1"/>
    </row>
    <row r="590" spans="1:62" ht="28.95" customHeight="1">
      <c r="A590" s="199"/>
      <c r="B590" s="1299" t="s">
        <v>1770</v>
      </c>
      <c r="C590" s="1299"/>
      <c r="D590" s="1299"/>
      <c r="E590" s="1299"/>
      <c r="F590" s="1299"/>
      <c r="G590" s="1299"/>
      <c r="H590" s="1299"/>
      <c r="I590" s="1299"/>
      <c r="J590" s="1299"/>
      <c r="K590" s="1299"/>
      <c r="L590" s="1299"/>
      <c r="M590" s="1299"/>
      <c r="N590" s="200"/>
      <c r="O590" s="199"/>
      <c r="P590" s="24"/>
      <c r="Q590" s="24"/>
      <c r="R590" s="398"/>
      <c r="S590" s="398"/>
      <c r="T590" s="398"/>
      <c r="U590" s="398"/>
      <c r="V590" s="398"/>
      <c r="W590" s="398"/>
      <c r="X590" s="398"/>
      <c r="Y590" s="398"/>
      <c r="Z590" s="398"/>
      <c r="AA590" s="398"/>
      <c r="AB590" s="200"/>
      <c r="AC590" s="1"/>
      <c r="AD590" s="1"/>
      <c r="AE590" s="1"/>
      <c r="AF590" s="1"/>
      <c r="AG590" s="1"/>
      <c r="AH590" s="1"/>
      <c r="AI590" s="1"/>
      <c r="AJ590" s="1"/>
      <c r="AK590" s="1"/>
      <c r="AL590" s="1"/>
      <c r="AM590" s="1"/>
      <c r="AN590" s="1"/>
      <c r="AO590" s="1"/>
      <c r="AP590" s="1"/>
      <c r="AQ590" s="1"/>
      <c r="AR590" s="1"/>
      <c r="AS590" s="1"/>
      <c r="AT590" s="1"/>
      <c r="AU590" s="1"/>
      <c r="AV590" s="1"/>
      <c r="AW590" s="1"/>
      <c r="AX590" s="1"/>
      <c r="AY590" s="1"/>
      <c r="BF590" s="459" t="str">
        <f>CONCATENATE(BH590,BI590,BJ590,BK590,BL590,BM590,BN590,BO590)</f>
        <v/>
      </c>
      <c r="BH590" s="469"/>
    </row>
    <row r="591" spans="1:62" ht="28.95" customHeight="1">
      <c r="A591" s="199"/>
      <c r="B591" s="1299"/>
      <c r="C591" s="1299"/>
      <c r="D591" s="1299"/>
      <c r="E591" s="1299"/>
      <c r="F591" s="1299"/>
      <c r="G591" s="1299"/>
      <c r="H591" s="1299"/>
      <c r="I591" s="1299"/>
      <c r="J591" s="1299"/>
      <c r="K591" s="1299"/>
      <c r="L591" s="1299"/>
      <c r="M591" s="1299"/>
      <c r="N591" s="200"/>
      <c r="O591" s="199"/>
      <c r="P591" s="24"/>
      <c r="Q591" s="24"/>
      <c r="R591" s="398"/>
      <c r="S591" s="398"/>
      <c r="T591" s="398"/>
      <c r="U591" s="398"/>
      <c r="V591" s="398"/>
      <c r="W591" s="398"/>
      <c r="X591" s="398"/>
      <c r="Y591" s="398"/>
      <c r="Z591" s="398"/>
      <c r="AA591" s="398"/>
      <c r="AB591" s="200"/>
      <c r="AC591" s="1"/>
      <c r="AD591" s="1"/>
      <c r="AE591" s="1"/>
      <c r="AF591" s="1"/>
      <c r="AG591" s="1"/>
      <c r="AH591" s="1"/>
      <c r="AI591" s="1"/>
      <c r="AJ591" s="1"/>
      <c r="AK591" s="1"/>
      <c r="AL591" s="1"/>
      <c r="AM591" s="1"/>
      <c r="AN591" s="1"/>
      <c r="AO591" s="1"/>
      <c r="AP591" s="1"/>
      <c r="AQ591" s="1"/>
      <c r="AR591" s="1"/>
      <c r="AS591" s="1"/>
      <c r="AT591" s="1"/>
      <c r="AU591" s="1"/>
      <c r="AV591" s="1"/>
      <c r="AW591" s="1"/>
      <c r="AX591" s="1"/>
      <c r="AY591" s="1"/>
    </row>
    <row r="592" spans="1:62" ht="28.95" customHeight="1">
      <c r="A592" s="199"/>
      <c r="B592" s="1299"/>
      <c r="C592" s="1299"/>
      <c r="D592" s="1299"/>
      <c r="E592" s="1299"/>
      <c r="F592" s="1299"/>
      <c r="G592" s="1299"/>
      <c r="H592" s="1299"/>
      <c r="I592" s="1299"/>
      <c r="J592" s="1299"/>
      <c r="K592" s="1299"/>
      <c r="L592" s="1299"/>
      <c r="M592" s="1299"/>
      <c r="N592" s="200"/>
      <c r="O592" s="199"/>
      <c r="P592" s="24"/>
      <c r="Q592" s="24"/>
      <c r="R592" s="398"/>
      <c r="S592" s="398"/>
      <c r="T592" s="398"/>
      <c r="U592" s="398"/>
      <c r="V592" s="398"/>
      <c r="W592" s="398"/>
      <c r="X592" s="398"/>
      <c r="Y592" s="398"/>
      <c r="Z592" s="398"/>
      <c r="AA592" s="398"/>
      <c r="AB592" s="200"/>
      <c r="AC592" s="1"/>
      <c r="AD592" s="1"/>
      <c r="AE592" s="1"/>
      <c r="AF592" s="1"/>
      <c r="AG592" s="1"/>
      <c r="AH592" s="1"/>
      <c r="AI592" s="1"/>
      <c r="AJ592" s="1"/>
      <c r="AK592" s="1"/>
      <c r="AL592" s="1"/>
      <c r="AM592" s="1"/>
      <c r="AN592" s="1"/>
      <c r="AO592" s="1"/>
      <c r="AP592" s="1"/>
      <c r="AQ592" s="1"/>
      <c r="AR592" s="1"/>
      <c r="AS592" s="1"/>
      <c r="AT592" s="1"/>
      <c r="AU592" s="1"/>
      <c r="AV592" s="1"/>
      <c r="AW592" s="1"/>
      <c r="AX592" s="1"/>
      <c r="AY592" s="1"/>
    </row>
    <row r="593" spans="1:51" ht="28.95" customHeight="1">
      <c r="A593" s="199"/>
      <c r="B593" s="1299"/>
      <c r="C593" s="1299"/>
      <c r="D593" s="1299"/>
      <c r="E593" s="1299"/>
      <c r="F593" s="1299"/>
      <c r="G593" s="1299"/>
      <c r="H593" s="1299"/>
      <c r="I593" s="1299"/>
      <c r="J593" s="1299"/>
      <c r="K593" s="1299"/>
      <c r="L593" s="1299"/>
      <c r="M593" s="1299"/>
      <c r="N593" s="200"/>
      <c r="O593" s="199"/>
      <c r="P593" s="24"/>
      <c r="Q593" s="24"/>
      <c r="R593" s="398"/>
      <c r="S593" s="398"/>
      <c r="T593" s="398"/>
      <c r="U593" s="398"/>
      <c r="V593" s="398"/>
      <c r="W593" s="398"/>
      <c r="X593" s="398"/>
      <c r="Y593" s="398"/>
      <c r="Z593" s="398"/>
      <c r="AA593" s="398"/>
      <c r="AB593" s="200"/>
      <c r="AC593" s="1"/>
      <c r="AD593" s="1"/>
      <c r="AE593" s="1"/>
      <c r="AF593" s="1"/>
      <c r="AG593" s="1"/>
      <c r="AH593" s="1"/>
      <c r="AI593" s="1"/>
      <c r="AJ593" s="1"/>
      <c r="AK593" s="1"/>
      <c r="AL593" s="1"/>
      <c r="AM593" s="1"/>
      <c r="AN593" s="1"/>
      <c r="AO593" s="1"/>
      <c r="AP593" s="1"/>
      <c r="AQ593" s="1"/>
      <c r="AR593" s="1"/>
      <c r="AS593" s="1"/>
      <c r="AT593" s="1"/>
      <c r="AU593" s="1"/>
      <c r="AV593" s="1"/>
      <c r="AW593" s="1"/>
      <c r="AX593" s="1"/>
      <c r="AY593" s="1"/>
    </row>
    <row r="594" spans="1:51" ht="4.95" customHeight="1">
      <c r="A594" s="199"/>
      <c r="B594" s="24"/>
      <c r="C594" s="24"/>
      <c r="D594" s="24"/>
      <c r="E594" s="24"/>
      <c r="F594" s="24"/>
      <c r="G594" s="24"/>
      <c r="H594" s="24"/>
      <c r="I594" s="24"/>
      <c r="J594" s="24"/>
      <c r="K594" s="24"/>
      <c r="L594" s="24"/>
      <c r="M594" s="24"/>
      <c r="N594" s="200"/>
      <c r="O594" s="199"/>
      <c r="P594" s="24"/>
      <c r="Q594" s="24"/>
      <c r="R594" s="398"/>
      <c r="S594" s="398"/>
      <c r="T594" s="398"/>
      <c r="U594" s="398"/>
      <c r="V594" s="398"/>
      <c r="W594" s="398"/>
      <c r="X594" s="398"/>
      <c r="Y594" s="398"/>
      <c r="Z594" s="398"/>
      <c r="AA594" s="398"/>
      <c r="AB594" s="200"/>
      <c r="AC594" s="1"/>
      <c r="AD594" s="1"/>
      <c r="AE594" s="1"/>
      <c r="AF594" s="1"/>
      <c r="AG594" s="1"/>
      <c r="AH594" s="1"/>
      <c r="AI594" s="1"/>
      <c r="AJ594" s="1"/>
      <c r="AK594" s="1"/>
      <c r="AL594" s="1"/>
      <c r="AM594" s="1"/>
      <c r="AN594" s="1"/>
      <c r="AO594" s="1"/>
      <c r="AP594" s="1"/>
      <c r="AQ594" s="1"/>
      <c r="AR594" s="1"/>
      <c r="AS594" s="1"/>
      <c r="AT594" s="1"/>
      <c r="AU594" s="1"/>
      <c r="AV594" s="1"/>
      <c r="AW594" s="1"/>
      <c r="AX594" s="1"/>
      <c r="AY594" s="1"/>
    </row>
    <row r="595" spans="1:51" ht="15" customHeight="1">
      <c r="A595" s="199"/>
      <c r="B595" s="24"/>
      <c r="C595" s="24"/>
      <c r="D595" s="24"/>
      <c r="E595" s="24"/>
      <c r="F595" s="24"/>
      <c r="G595" s="24"/>
      <c r="H595" s="24"/>
      <c r="I595" s="24"/>
      <c r="J595" s="24"/>
      <c r="K595" s="24"/>
      <c r="L595" s="24"/>
      <c r="M595" s="24"/>
      <c r="N595" s="200"/>
      <c r="O595" s="199"/>
      <c r="P595" s="24"/>
      <c r="Q595" s="24"/>
      <c r="R595" s="398"/>
      <c r="S595" s="398"/>
      <c r="T595" s="398"/>
      <c r="U595" s="398"/>
      <c r="V595" s="398"/>
      <c r="W595" s="398"/>
      <c r="X595" s="398"/>
      <c r="Y595" s="398"/>
      <c r="Z595" s="398"/>
      <c r="AA595" s="398"/>
      <c r="AB595" s="200"/>
      <c r="AC595" s="1"/>
      <c r="AD595" s="1"/>
      <c r="AE595" s="1"/>
      <c r="AF595" s="1"/>
      <c r="AG595" s="1"/>
      <c r="AH595" s="1"/>
      <c r="AI595" s="1"/>
      <c r="AJ595" s="1"/>
      <c r="AK595" s="1"/>
      <c r="AL595" s="1"/>
      <c r="AM595" s="1"/>
      <c r="AN595" s="1"/>
      <c r="AO595" s="1"/>
      <c r="AP595" s="1"/>
      <c r="AQ595" s="1"/>
      <c r="AR595" s="1"/>
      <c r="AS595" s="1"/>
      <c r="AT595" s="1"/>
      <c r="AU595" s="1"/>
      <c r="AV595" s="1"/>
      <c r="AW595" s="1"/>
      <c r="AX595" s="1"/>
      <c r="AY595" s="1"/>
    </row>
    <row r="596" spans="1:51" ht="16.95" customHeight="1">
      <c r="A596" s="199"/>
      <c r="B596" s="24"/>
      <c r="C596" s="24"/>
      <c r="D596" s="24"/>
      <c r="E596" s="24"/>
      <c r="F596" s="24"/>
      <c r="G596" s="24"/>
      <c r="H596" s="24"/>
      <c r="I596" s="24"/>
      <c r="J596" s="24"/>
      <c r="K596" s="24"/>
      <c r="L596" s="24"/>
      <c r="M596" s="24"/>
      <c r="N596" s="200"/>
      <c r="O596" s="199"/>
      <c r="P596" s="24"/>
      <c r="Q596" s="24"/>
      <c r="R596" s="398"/>
      <c r="S596" s="398"/>
      <c r="T596" s="398"/>
      <c r="U596" s="398"/>
      <c r="V596" s="398"/>
      <c r="W596" s="398"/>
      <c r="X596" s="398"/>
      <c r="Y596" s="398"/>
      <c r="Z596" s="398"/>
      <c r="AA596" s="398"/>
      <c r="AB596" s="200"/>
      <c r="AC596" s="1"/>
      <c r="AD596" s="1"/>
      <c r="AE596" s="1"/>
      <c r="AF596" s="1"/>
      <c r="AG596" s="1"/>
      <c r="AH596" s="1"/>
      <c r="AI596" s="1"/>
      <c r="AJ596" s="1"/>
      <c r="AK596" s="1"/>
      <c r="AL596" s="1"/>
      <c r="AM596" s="1"/>
      <c r="AN596" s="1"/>
      <c r="AO596" s="1"/>
      <c r="AP596" s="1"/>
      <c r="AQ596" s="1"/>
      <c r="AR596" s="1"/>
      <c r="AS596" s="1"/>
      <c r="AT596" s="1"/>
      <c r="AU596" s="1"/>
      <c r="AV596" s="1"/>
      <c r="AW596" s="1"/>
      <c r="AX596" s="1"/>
      <c r="AY596" s="1"/>
    </row>
    <row r="597" spans="1:51" ht="16.95" customHeight="1">
      <c r="A597" s="199"/>
      <c r="B597" s="24"/>
      <c r="C597" s="24"/>
      <c r="D597" s="24"/>
      <c r="E597" s="24"/>
      <c r="F597" s="24"/>
      <c r="G597" s="24"/>
      <c r="H597" s="24"/>
      <c r="I597" s="24"/>
      <c r="J597" s="24"/>
      <c r="K597" s="24"/>
      <c r="L597" s="24"/>
      <c r="M597" s="24"/>
      <c r="N597" s="200"/>
      <c r="O597" s="199"/>
      <c r="P597" s="24"/>
      <c r="Q597" s="24"/>
      <c r="R597" s="398"/>
      <c r="S597" s="398"/>
      <c r="T597" s="398"/>
      <c r="U597" s="398"/>
      <c r="V597" s="398"/>
      <c r="W597" s="398"/>
      <c r="X597" s="398"/>
      <c r="Y597" s="398"/>
      <c r="Z597" s="398"/>
      <c r="AA597" s="398"/>
      <c r="AB597" s="200"/>
      <c r="AC597" s="1"/>
      <c r="AD597" s="1"/>
      <c r="AE597" s="1"/>
      <c r="AF597" s="1"/>
      <c r="AG597" s="1"/>
      <c r="AH597" s="1"/>
      <c r="AI597" s="1"/>
      <c r="AJ597" s="1"/>
      <c r="AK597" s="1"/>
      <c r="AL597" s="1"/>
      <c r="AM597" s="1"/>
      <c r="AN597" s="1"/>
      <c r="AO597" s="1"/>
      <c r="AP597" s="1"/>
      <c r="AQ597" s="1"/>
      <c r="AR597" s="1"/>
      <c r="AS597" s="1"/>
      <c r="AT597" s="1"/>
      <c r="AU597" s="1"/>
      <c r="AV597" s="1"/>
      <c r="AW597" s="1"/>
      <c r="AX597" s="1"/>
      <c r="AY597" s="1"/>
    </row>
    <row r="598" spans="1:51" ht="16.95" customHeight="1">
      <c r="A598" s="199"/>
      <c r="B598" s="24"/>
      <c r="C598" s="24"/>
      <c r="D598" s="24"/>
      <c r="E598" s="24"/>
      <c r="F598" s="24"/>
      <c r="G598" s="24"/>
      <c r="H598" s="24"/>
      <c r="I598" s="24"/>
      <c r="J598" s="24"/>
      <c r="K598" s="24"/>
      <c r="L598" s="24"/>
      <c r="M598" s="24"/>
      <c r="N598" s="200"/>
      <c r="O598" s="199"/>
      <c r="P598" s="24"/>
      <c r="Q598" s="24"/>
      <c r="R598" s="398"/>
      <c r="S598" s="398"/>
      <c r="T598" s="398"/>
      <c r="U598" s="398"/>
      <c r="V598" s="398"/>
      <c r="W598" s="398"/>
      <c r="X598" s="398"/>
      <c r="Y598" s="398"/>
      <c r="Z598" s="398"/>
      <c r="AA598" s="398"/>
      <c r="AB598" s="200"/>
      <c r="AC598" s="1"/>
      <c r="AD598" s="1"/>
      <c r="AE598" s="1"/>
      <c r="AF598" s="1"/>
      <c r="AG598" s="1"/>
      <c r="AH598" s="1"/>
      <c r="AI598" s="1"/>
      <c r="AJ598" s="1"/>
      <c r="AK598" s="1"/>
      <c r="AL598" s="1"/>
      <c r="AM598" s="1"/>
      <c r="AN598" s="1"/>
      <c r="AO598" s="1"/>
      <c r="AP598" s="1"/>
      <c r="AQ598" s="1"/>
      <c r="AR598" s="1"/>
      <c r="AS598" s="1"/>
      <c r="AT598" s="1"/>
      <c r="AU598" s="1"/>
      <c r="AV598" s="1"/>
      <c r="AW598" s="1"/>
      <c r="AX598" s="1"/>
      <c r="AY598" s="1"/>
    </row>
    <row r="599" spans="1:51" ht="16.95" customHeight="1">
      <c r="A599" s="199"/>
      <c r="B599" s="24"/>
      <c r="C599" s="24"/>
      <c r="D599" s="24"/>
      <c r="E599" s="24"/>
      <c r="F599" s="24"/>
      <c r="G599" s="24"/>
      <c r="H599" s="24"/>
      <c r="I599" s="24"/>
      <c r="J599" s="24"/>
      <c r="K599" s="24"/>
      <c r="L599" s="24"/>
      <c r="M599" s="24"/>
      <c r="N599" s="200"/>
      <c r="O599" s="199"/>
      <c r="P599" s="24"/>
      <c r="Q599" s="24"/>
      <c r="R599" s="398"/>
      <c r="S599" s="398"/>
      <c r="T599" s="398"/>
      <c r="U599" s="398"/>
      <c r="V599" s="398"/>
      <c r="W599" s="398"/>
      <c r="X599" s="398"/>
      <c r="Y599" s="398"/>
      <c r="Z599" s="398"/>
      <c r="AA599" s="398"/>
      <c r="AB599" s="200"/>
      <c r="AC599" s="1"/>
      <c r="AD599" s="1"/>
      <c r="AE599" s="1"/>
      <c r="AF599" s="1"/>
      <c r="AG599" s="1"/>
      <c r="AH599" s="1"/>
      <c r="AI599" s="1"/>
      <c r="AJ599" s="1"/>
      <c r="AK599" s="1"/>
      <c r="AL599" s="1"/>
      <c r="AM599" s="1"/>
      <c r="AN599" s="1"/>
      <c r="AO599" s="1"/>
      <c r="AP599" s="1"/>
      <c r="AQ599" s="1"/>
      <c r="AR599" s="1"/>
      <c r="AS599" s="1"/>
      <c r="AT599" s="1"/>
      <c r="AU599" s="1"/>
      <c r="AV599" s="1"/>
      <c r="AW599" s="1"/>
      <c r="AX599" s="1"/>
      <c r="AY599" s="1"/>
    </row>
    <row r="600" spans="1:51" ht="16.95" customHeight="1">
      <c r="A600" s="199"/>
      <c r="B600" s="24"/>
      <c r="C600" s="24"/>
      <c r="D600" s="24"/>
      <c r="E600" s="24"/>
      <c r="F600" s="24"/>
      <c r="G600" s="24"/>
      <c r="H600" s="24"/>
      <c r="I600" s="24"/>
      <c r="J600" s="24"/>
      <c r="K600" s="24"/>
      <c r="L600" s="24"/>
      <c r="M600" s="24"/>
      <c r="N600" s="200"/>
      <c r="O600" s="199"/>
      <c r="P600" s="24"/>
      <c r="Q600" s="24"/>
      <c r="R600" s="398"/>
      <c r="S600" s="398"/>
      <c r="T600" s="398"/>
      <c r="U600" s="398"/>
      <c r="V600" s="398"/>
      <c r="W600" s="398"/>
      <c r="X600" s="398"/>
      <c r="Y600" s="398"/>
      <c r="Z600" s="398"/>
      <c r="AA600" s="398"/>
      <c r="AB600" s="200"/>
      <c r="AC600" s="1"/>
      <c r="AD600" s="1"/>
      <c r="AE600" s="1"/>
      <c r="AF600" s="1"/>
      <c r="AG600" s="1"/>
      <c r="AH600" s="1"/>
      <c r="AI600" s="1"/>
      <c r="AJ600" s="1"/>
      <c r="AK600" s="1"/>
      <c r="AL600" s="1"/>
      <c r="AM600" s="1"/>
      <c r="AN600" s="1"/>
      <c r="AO600" s="1"/>
      <c r="AP600" s="1"/>
      <c r="AQ600" s="1"/>
      <c r="AR600" s="1"/>
      <c r="AS600" s="1"/>
      <c r="AT600" s="1"/>
      <c r="AU600" s="1"/>
      <c r="AV600" s="1"/>
      <c r="AW600" s="1"/>
      <c r="AX600" s="1"/>
      <c r="AY600" s="1"/>
    </row>
    <row r="601" spans="1:51" ht="16.95" customHeight="1">
      <c r="A601" s="199"/>
      <c r="B601" s="24"/>
      <c r="C601" s="24"/>
      <c r="D601" s="24"/>
      <c r="E601" s="24"/>
      <c r="F601" s="24"/>
      <c r="G601" s="24"/>
      <c r="H601" s="24"/>
      <c r="I601" s="24"/>
      <c r="J601" s="24"/>
      <c r="K601" s="24"/>
      <c r="L601" s="24"/>
      <c r="M601" s="24"/>
      <c r="N601" s="200"/>
      <c r="O601" s="199"/>
      <c r="P601" s="24"/>
      <c r="Q601" s="24"/>
      <c r="R601" s="398"/>
      <c r="S601" s="398"/>
      <c r="T601" s="398"/>
      <c r="U601" s="398"/>
      <c r="V601" s="398"/>
      <c r="W601" s="398"/>
      <c r="X601" s="398"/>
      <c r="Y601" s="398"/>
      <c r="Z601" s="398"/>
      <c r="AA601" s="398"/>
      <c r="AB601" s="200"/>
      <c r="AC601" s="1"/>
      <c r="AD601" s="1"/>
      <c r="AE601" s="1"/>
      <c r="AF601" s="1"/>
      <c r="AG601" s="1"/>
      <c r="AH601" s="1"/>
      <c r="AI601" s="1"/>
      <c r="AJ601" s="1"/>
      <c r="AK601" s="1"/>
      <c r="AL601" s="1"/>
      <c r="AM601" s="1"/>
      <c r="AN601" s="1"/>
      <c r="AO601" s="1"/>
      <c r="AP601" s="1"/>
      <c r="AQ601" s="1"/>
      <c r="AR601" s="1"/>
      <c r="AS601" s="1"/>
      <c r="AT601" s="1"/>
      <c r="AU601" s="1"/>
      <c r="AV601" s="1"/>
      <c r="AW601" s="1"/>
      <c r="AX601" s="1"/>
      <c r="AY601" s="1"/>
    </row>
    <row r="602" spans="1:51" ht="16.95" customHeight="1">
      <c r="A602" s="199"/>
      <c r="B602" s="24"/>
      <c r="C602" s="24"/>
      <c r="D602" s="24"/>
      <c r="E602" s="24"/>
      <c r="F602" s="24"/>
      <c r="G602" s="24"/>
      <c r="H602" s="24"/>
      <c r="I602" s="24"/>
      <c r="J602" s="24"/>
      <c r="K602" s="24"/>
      <c r="L602" s="24"/>
      <c r="M602" s="24"/>
      <c r="N602" s="200"/>
      <c r="O602" s="199"/>
      <c r="P602" s="24"/>
      <c r="Q602" s="24"/>
      <c r="R602" s="398"/>
      <c r="S602" s="398"/>
      <c r="T602" s="398"/>
      <c r="U602" s="398"/>
      <c r="V602" s="398"/>
      <c r="W602" s="398"/>
      <c r="X602" s="398"/>
      <c r="Y602" s="398"/>
      <c r="Z602" s="398"/>
      <c r="AA602" s="398"/>
      <c r="AB602" s="200"/>
      <c r="AC602" s="1"/>
      <c r="AD602" s="1"/>
      <c r="AE602" s="1"/>
      <c r="AF602" s="1"/>
      <c r="AG602" s="1"/>
      <c r="AH602" s="1"/>
      <c r="AI602" s="1"/>
      <c r="AJ602" s="1"/>
      <c r="AK602" s="1"/>
      <c r="AL602" s="1"/>
      <c r="AM602" s="1"/>
      <c r="AN602" s="1"/>
      <c r="AO602" s="1"/>
      <c r="AP602" s="1"/>
      <c r="AQ602" s="1"/>
      <c r="AR602" s="1"/>
      <c r="AS602" s="1"/>
      <c r="AT602" s="1"/>
      <c r="AU602" s="1"/>
      <c r="AV602" s="1"/>
      <c r="AW602" s="1"/>
      <c r="AX602" s="1"/>
      <c r="AY602" s="1"/>
    </row>
    <row r="603" spans="1:51" ht="16.95" customHeight="1">
      <c r="A603" s="199"/>
      <c r="B603" s="24"/>
      <c r="C603" s="24"/>
      <c r="D603" s="24"/>
      <c r="E603" s="24"/>
      <c r="F603" s="24"/>
      <c r="G603" s="24"/>
      <c r="H603" s="24"/>
      <c r="I603" s="24"/>
      <c r="J603" s="24"/>
      <c r="K603" s="24"/>
      <c r="L603" s="24"/>
      <c r="M603" s="24"/>
      <c r="N603" s="200"/>
      <c r="O603" s="199"/>
      <c r="P603" s="24"/>
      <c r="Q603" s="24"/>
      <c r="R603" s="398"/>
      <c r="S603" s="398"/>
      <c r="T603" s="398"/>
      <c r="U603" s="398"/>
      <c r="V603" s="398"/>
      <c r="W603" s="398"/>
      <c r="X603" s="398"/>
      <c r="Y603" s="398"/>
      <c r="Z603" s="398"/>
      <c r="AA603" s="398"/>
      <c r="AB603" s="200"/>
      <c r="AC603" s="1"/>
      <c r="AD603" s="1"/>
      <c r="AE603" s="1"/>
      <c r="AF603" s="1"/>
      <c r="AG603" s="1"/>
      <c r="AH603" s="1"/>
      <c r="AI603" s="1"/>
      <c r="AJ603" s="1"/>
      <c r="AK603" s="1"/>
      <c r="AL603" s="1"/>
      <c r="AM603" s="1"/>
      <c r="AN603" s="1"/>
      <c r="AO603" s="1"/>
      <c r="AP603" s="1"/>
      <c r="AQ603" s="1"/>
      <c r="AR603" s="1"/>
      <c r="AS603" s="1"/>
      <c r="AT603" s="1"/>
      <c r="AU603" s="1"/>
      <c r="AV603" s="1"/>
      <c r="AW603" s="1"/>
      <c r="AX603" s="1"/>
      <c r="AY603" s="1"/>
    </row>
    <row r="604" spans="1:51" ht="16.95" customHeight="1">
      <c r="A604" s="199"/>
      <c r="B604" s="24"/>
      <c r="C604" s="24"/>
      <c r="D604" s="24"/>
      <c r="E604" s="24"/>
      <c r="F604" s="24"/>
      <c r="G604" s="24"/>
      <c r="H604" s="24"/>
      <c r="I604" s="24"/>
      <c r="J604" s="24"/>
      <c r="K604" s="24"/>
      <c r="L604" s="24"/>
      <c r="M604" s="24"/>
      <c r="N604" s="200"/>
      <c r="O604" s="199"/>
      <c r="P604" s="24"/>
      <c r="Q604" s="24"/>
      <c r="R604" s="398"/>
      <c r="S604" s="398"/>
      <c r="T604" s="398"/>
      <c r="U604" s="398"/>
      <c r="V604" s="398"/>
      <c r="W604" s="398"/>
      <c r="X604" s="398"/>
      <c r="Y604" s="398"/>
      <c r="Z604" s="398"/>
      <c r="AA604" s="398"/>
      <c r="AB604" s="200"/>
      <c r="AC604" s="1"/>
      <c r="AD604" s="1"/>
      <c r="AE604" s="1"/>
      <c r="AF604" s="1"/>
      <c r="AG604" s="1"/>
      <c r="AH604" s="1"/>
      <c r="AI604" s="1"/>
      <c r="AJ604" s="1"/>
      <c r="AK604" s="1"/>
      <c r="AL604" s="1"/>
      <c r="AM604" s="1"/>
      <c r="AN604" s="1"/>
      <c r="AO604" s="1"/>
      <c r="AP604" s="1"/>
      <c r="AQ604" s="1"/>
      <c r="AR604" s="1"/>
      <c r="AS604" s="1"/>
      <c r="AT604" s="1"/>
      <c r="AU604" s="1"/>
      <c r="AV604" s="1"/>
      <c r="AW604" s="1"/>
      <c r="AX604" s="1"/>
      <c r="AY604" s="1"/>
    </row>
    <row r="605" spans="1:51" ht="16.95" customHeight="1">
      <c r="A605" s="199"/>
      <c r="B605" s="24"/>
      <c r="C605" s="24"/>
      <c r="D605" s="24"/>
      <c r="E605" s="24"/>
      <c r="F605" s="24"/>
      <c r="G605" s="24"/>
      <c r="H605" s="24"/>
      <c r="I605" s="24"/>
      <c r="J605" s="24"/>
      <c r="K605" s="24"/>
      <c r="L605" s="24"/>
      <c r="M605" s="24"/>
      <c r="N605" s="200"/>
      <c r="O605" s="199"/>
      <c r="P605" s="24"/>
      <c r="Q605" s="24"/>
      <c r="R605" s="398"/>
      <c r="S605" s="398"/>
      <c r="T605" s="398"/>
      <c r="U605" s="398"/>
      <c r="V605" s="398"/>
      <c r="W605" s="398"/>
      <c r="X605" s="398"/>
      <c r="Y605" s="398"/>
      <c r="Z605" s="398"/>
      <c r="AA605" s="398"/>
      <c r="AB605" s="200"/>
      <c r="AC605" s="1"/>
      <c r="AD605" s="1"/>
      <c r="AE605" s="1"/>
      <c r="AF605" s="1"/>
      <c r="AG605" s="1"/>
      <c r="AH605" s="1"/>
      <c r="AI605" s="1"/>
      <c r="AJ605" s="1"/>
      <c r="AK605" s="1"/>
      <c r="AL605" s="1"/>
      <c r="AM605" s="1"/>
      <c r="AN605" s="1"/>
      <c r="AO605" s="1"/>
      <c r="AP605" s="1"/>
      <c r="AQ605" s="1"/>
      <c r="AR605" s="1"/>
      <c r="AS605" s="1"/>
      <c r="AT605" s="1"/>
      <c r="AU605" s="1"/>
      <c r="AV605" s="1"/>
      <c r="AW605" s="1"/>
      <c r="AX605" s="1"/>
      <c r="AY605" s="1"/>
    </row>
    <row r="606" spans="1:51" ht="15" customHeight="1">
      <c r="A606" s="199"/>
      <c r="B606" s="24"/>
      <c r="C606" s="24"/>
      <c r="D606" s="24"/>
      <c r="E606" s="24"/>
      <c r="F606" s="24"/>
      <c r="G606" s="24"/>
      <c r="H606" s="24"/>
      <c r="I606" s="24"/>
      <c r="J606" s="24"/>
      <c r="K606" s="24"/>
      <c r="L606" s="24"/>
      <c r="M606" s="24"/>
      <c r="N606" s="200"/>
      <c r="O606" s="199"/>
      <c r="P606" s="24"/>
      <c r="Q606" s="24"/>
      <c r="R606" s="398"/>
      <c r="S606" s="398"/>
      <c r="T606" s="398"/>
      <c r="U606" s="398"/>
      <c r="V606" s="398"/>
      <c r="W606" s="398"/>
      <c r="X606" s="398"/>
      <c r="Y606" s="398"/>
      <c r="Z606" s="398"/>
      <c r="AA606" s="398"/>
      <c r="AB606" s="200"/>
      <c r="AC606" s="1"/>
      <c r="AD606" s="1"/>
      <c r="AE606" s="1"/>
      <c r="AF606" s="1"/>
      <c r="AG606" s="1"/>
      <c r="AH606" s="1"/>
      <c r="AI606" s="1"/>
      <c r="AJ606" s="1"/>
      <c r="AK606" s="1"/>
      <c r="AL606" s="1"/>
      <c r="AM606" s="1"/>
      <c r="AN606" s="1"/>
      <c r="AO606" s="1"/>
      <c r="AP606" s="1"/>
      <c r="AQ606" s="1"/>
      <c r="AR606" s="1"/>
      <c r="AS606" s="1"/>
      <c r="AT606" s="1"/>
      <c r="AU606" s="1"/>
      <c r="AV606" s="1"/>
      <c r="AW606" s="1"/>
      <c r="AX606" s="1"/>
      <c r="AY606" s="1"/>
    </row>
    <row r="607" spans="1:51" ht="4.95" customHeight="1">
      <c r="A607" s="199"/>
      <c r="B607" s="24"/>
      <c r="C607" s="24"/>
      <c r="D607" s="24"/>
      <c r="E607" s="24"/>
      <c r="F607" s="24"/>
      <c r="G607" s="24"/>
      <c r="H607" s="24"/>
      <c r="I607" s="24"/>
      <c r="J607" s="24"/>
      <c r="K607" s="24"/>
      <c r="L607" s="24"/>
      <c r="M607" s="24"/>
      <c r="N607" s="200"/>
      <c r="O607" s="199"/>
      <c r="P607" s="24"/>
      <c r="Q607" s="24"/>
      <c r="R607" s="398"/>
      <c r="S607" s="398"/>
      <c r="T607" s="398"/>
      <c r="U607" s="398"/>
      <c r="V607" s="398"/>
      <c r="W607" s="398"/>
      <c r="X607" s="398"/>
      <c r="Y607" s="398"/>
      <c r="Z607" s="398"/>
      <c r="AA607" s="398"/>
      <c r="AB607" s="200"/>
      <c r="AC607" s="1"/>
      <c r="AD607" s="1"/>
      <c r="AE607" s="1"/>
      <c r="AF607" s="1"/>
      <c r="AG607" s="1"/>
      <c r="AH607" s="1"/>
      <c r="AI607" s="1"/>
      <c r="AJ607" s="1"/>
      <c r="AK607" s="1"/>
      <c r="AL607" s="1"/>
      <c r="AM607" s="1"/>
      <c r="AN607" s="1"/>
      <c r="AO607" s="1"/>
      <c r="AP607" s="1"/>
      <c r="AQ607" s="1"/>
      <c r="AR607" s="1"/>
      <c r="AS607" s="1"/>
      <c r="AT607" s="1"/>
      <c r="AU607" s="1"/>
      <c r="AV607" s="1"/>
      <c r="AW607" s="1"/>
      <c r="AX607" s="1"/>
      <c r="AY607" s="1"/>
    </row>
    <row r="608" spans="1:51" ht="30" customHeight="1">
      <c r="A608" s="210" t="s">
        <v>1148</v>
      </c>
      <c r="B608" s="396" t="s">
        <v>1752</v>
      </c>
      <c r="C608" s="582"/>
      <c r="D608" s="582"/>
      <c r="E608" s="583"/>
      <c r="F608" s="584"/>
      <c r="G608" s="582"/>
      <c r="H608" s="582"/>
      <c r="I608" s="582"/>
      <c r="J608" s="582"/>
      <c r="K608" s="373"/>
      <c r="L608" s="373"/>
      <c r="M608" s="373"/>
      <c r="N608" s="211" t="s">
        <v>1149</v>
      </c>
      <c r="O608" s="372"/>
      <c r="P608" s="396" t="s">
        <v>1273</v>
      </c>
      <c r="Q608" s="373"/>
      <c r="R608" s="373"/>
      <c r="S608" s="373"/>
      <c r="T608" s="373"/>
      <c r="U608" s="373"/>
      <c r="V608" s="373"/>
      <c r="W608" s="373"/>
      <c r="X608" s="373"/>
      <c r="Y608" s="373"/>
      <c r="Z608" s="373"/>
      <c r="AA608" s="373"/>
      <c r="AB608" s="211" t="s">
        <v>1149</v>
      </c>
      <c r="AC608" s="577"/>
      <c r="AD608" s="1"/>
      <c r="AE608" s="577"/>
      <c r="AF608" s="577"/>
      <c r="AG608" s="577"/>
      <c r="AH608" s="577"/>
      <c r="AI608" s="577"/>
      <c r="AJ608" s="577"/>
      <c r="AK608" s="577"/>
      <c r="AL608" s="577"/>
      <c r="AM608" s="577"/>
      <c r="AN608" s="577"/>
      <c r="AO608" s="577"/>
      <c r="AP608" s="577"/>
      <c r="AQ608" s="577"/>
      <c r="AR608" s="577"/>
      <c r="AS608" s="577"/>
      <c r="AT608" s="577"/>
      <c r="AU608" s="577"/>
      <c r="AV608" s="577"/>
      <c r="AW608" s="577"/>
      <c r="AX608" s="577"/>
      <c r="AY608" s="577"/>
    </row>
    <row r="609" spans="1:51" ht="10.050000000000001" customHeight="1">
      <c r="A609" s="199"/>
      <c r="B609" s="24"/>
      <c r="C609" s="24"/>
      <c r="D609" s="24"/>
      <c r="E609" s="24"/>
      <c r="F609" s="24"/>
      <c r="G609" s="24"/>
      <c r="H609" s="24"/>
      <c r="I609" s="24"/>
      <c r="J609" s="24"/>
      <c r="K609" s="24"/>
      <c r="L609" s="24"/>
      <c r="M609" s="24"/>
      <c r="N609" s="200"/>
      <c r="O609" s="199"/>
      <c r="P609" s="24"/>
      <c r="Q609" s="24"/>
      <c r="R609" s="398"/>
      <c r="S609" s="398"/>
      <c r="T609" s="398"/>
      <c r="U609" s="398"/>
      <c r="V609" s="398"/>
      <c r="W609" s="398"/>
      <c r="X609" s="398"/>
      <c r="Y609" s="398"/>
      <c r="Z609" s="398"/>
      <c r="AA609" s="398"/>
      <c r="AB609" s="200"/>
      <c r="AC609" s="1"/>
      <c r="AD609" s="1"/>
      <c r="AE609" s="1"/>
      <c r="AF609" s="1"/>
      <c r="AG609" s="1"/>
      <c r="AH609" s="1"/>
      <c r="AI609" s="1"/>
      <c r="AJ609" s="1"/>
      <c r="AK609" s="1"/>
      <c r="AL609" s="1"/>
      <c r="AM609" s="1"/>
      <c r="AN609" s="1"/>
      <c r="AO609" s="1"/>
      <c r="AP609" s="1"/>
      <c r="AQ609" s="1"/>
      <c r="AR609" s="1"/>
      <c r="AS609" s="1"/>
      <c r="AT609" s="1"/>
      <c r="AU609" s="1"/>
      <c r="AV609" s="1"/>
      <c r="AW609" s="1"/>
      <c r="AX609" s="1"/>
      <c r="AY609" s="1"/>
    </row>
    <row r="610" spans="1:51" ht="79.95" customHeight="1">
      <c r="A610" s="199"/>
      <c r="B610" s="1294" t="s">
        <v>2026</v>
      </c>
      <c r="C610" s="1294"/>
      <c r="D610" s="1294"/>
      <c r="E610" s="1294"/>
      <c r="F610" s="1294"/>
      <c r="G610" s="1294"/>
      <c r="H610" s="1294"/>
      <c r="I610" s="1294"/>
      <c r="J610" s="1294"/>
      <c r="K610" s="1294"/>
      <c r="L610" s="1294"/>
      <c r="M610" s="1294"/>
      <c r="N610" s="200"/>
      <c r="O610" s="199"/>
      <c r="P610" s="24"/>
      <c r="Q610" s="24"/>
      <c r="R610" s="398"/>
      <c r="S610" s="398"/>
      <c r="T610" s="398"/>
      <c r="U610" s="398"/>
      <c r="V610" s="398"/>
      <c r="W610" s="398"/>
      <c r="X610" s="398"/>
      <c r="Y610" s="398"/>
      <c r="Z610" s="398"/>
      <c r="AA610" s="398"/>
      <c r="AB610" s="200"/>
      <c r="AC610" s="1"/>
      <c r="AD610" s="1"/>
      <c r="AE610" s="1"/>
      <c r="AF610" s="1"/>
      <c r="AG610" s="1"/>
      <c r="AH610" s="1"/>
      <c r="AI610" s="1"/>
      <c r="AJ610" s="1"/>
      <c r="AK610" s="1"/>
      <c r="AL610" s="1"/>
      <c r="AM610" s="1"/>
      <c r="AN610" s="1"/>
      <c r="AO610" s="1"/>
      <c r="AP610" s="1"/>
      <c r="AQ610" s="1"/>
      <c r="AR610" s="1"/>
      <c r="AS610" s="1"/>
      <c r="AT610" s="1"/>
      <c r="AU610" s="1"/>
      <c r="AV610" s="1"/>
      <c r="AW610" s="1"/>
      <c r="AX610" s="1"/>
      <c r="AY610" s="1"/>
    </row>
    <row r="611" spans="1:51" ht="4.95" customHeight="1">
      <c r="A611" s="199"/>
      <c r="B611" s="24"/>
      <c r="C611" s="24"/>
      <c r="D611" s="24"/>
      <c r="E611" s="24"/>
      <c r="F611" s="24"/>
      <c r="G611" s="24"/>
      <c r="H611" s="24"/>
      <c r="I611" s="24"/>
      <c r="J611" s="24"/>
      <c r="K611" s="24"/>
      <c r="L611" s="24"/>
      <c r="M611" s="24"/>
      <c r="N611" s="200"/>
      <c r="O611" s="199"/>
      <c r="P611" s="24"/>
      <c r="Q611" s="24"/>
      <c r="R611" s="398"/>
      <c r="S611" s="398"/>
      <c r="T611" s="398"/>
      <c r="U611" s="398"/>
      <c r="V611" s="398"/>
      <c r="W611" s="398"/>
      <c r="X611" s="398"/>
      <c r="Y611" s="398"/>
      <c r="Z611" s="398"/>
      <c r="AA611" s="398"/>
      <c r="AB611" s="200"/>
      <c r="AC611" s="1"/>
      <c r="AD611" s="1"/>
      <c r="AE611" s="1"/>
      <c r="AF611" s="1"/>
      <c r="AG611" s="1"/>
      <c r="AH611" s="1"/>
      <c r="AI611" s="1"/>
      <c r="AJ611" s="1"/>
      <c r="AK611" s="1"/>
      <c r="AL611" s="1"/>
      <c r="AM611" s="1"/>
      <c r="AN611" s="1"/>
      <c r="AO611" s="1"/>
      <c r="AP611" s="1"/>
      <c r="AQ611" s="1"/>
      <c r="AR611" s="1"/>
      <c r="AS611" s="1"/>
      <c r="AT611" s="1"/>
      <c r="AU611" s="1"/>
      <c r="AV611" s="1"/>
      <c r="AW611" s="1"/>
      <c r="AX611" s="1"/>
      <c r="AY611" s="1"/>
    </row>
    <row r="612" spans="1:51" s="504" customFormat="1" ht="33" customHeight="1">
      <c r="A612" s="499"/>
      <c r="B612" s="1312" t="s">
        <v>1767</v>
      </c>
      <c r="C612" s="1312"/>
      <c r="D612" s="1312"/>
      <c r="E612" s="1312"/>
      <c r="F612" s="1312"/>
      <c r="G612" s="1312"/>
      <c r="H612" s="538"/>
      <c r="I612" s="501"/>
      <c r="J612" s="501"/>
      <c r="K612" s="501"/>
      <c r="L612" s="501"/>
      <c r="M612" s="501"/>
      <c r="N612" s="502"/>
      <c r="O612" s="499"/>
      <c r="P612" s="501"/>
      <c r="Q612" s="501"/>
      <c r="R612" s="503"/>
      <c r="S612" s="503"/>
      <c r="T612" s="503"/>
      <c r="U612" s="503"/>
      <c r="V612" s="503"/>
      <c r="W612" s="503"/>
      <c r="X612" s="503"/>
      <c r="Y612" s="503"/>
      <c r="Z612" s="503"/>
      <c r="AA612" s="503"/>
      <c r="AB612" s="502"/>
      <c r="AC612" s="578"/>
      <c r="AD612" s="578"/>
      <c r="AE612" s="578"/>
      <c r="AF612" s="578"/>
      <c r="AG612" s="578"/>
      <c r="AH612" s="578"/>
      <c r="AI612" s="578"/>
      <c r="AJ612" s="578"/>
      <c r="AK612" s="578"/>
      <c r="AL612" s="578"/>
      <c r="AM612" s="578"/>
      <c r="AN612" s="578"/>
      <c r="AO612" s="578"/>
      <c r="AP612" s="578"/>
      <c r="AQ612" s="578"/>
      <c r="AR612" s="578"/>
      <c r="AS612" s="578"/>
      <c r="AT612" s="578"/>
      <c r="AU612" s="578"/>
      <c r="AV612" s="578"/>
      <c r="AW612" s="578"/>
      <c r="AX612" s="578"/>
      <c r="AY612" s="578"/>
    </row>
    <row r="613" spans="1:51" ht="19.05" customHeight="1">
      <c r="A613" s="199"/>
      <c r="B613" s="1322" t="s">
        <v>1772</v>
      </c>
      <c r="C613" s="1322"/>
      <c r="D613" s="1322"/>
      <c r="E613" s="1322"/>
      <c r="F613" s="1322"/>
      <c r="G613" s="1322"/>
      <c r="H613" s="1322"/>
      <c r="I613" s="24"/>
      <c r="J613" s="24"/>
      <c r="K613" s="24"/>
      <c r="L613" s="24"/>
      <c r="M613" s="24"/>
      <c r="N613" s="200"/>
      <c r="O613" s="199"/>
      <c r="P613" s="24"/>
      <c r="Q613" s="24"/>
      <c r="R613" s="398"/>
      <c r="S613" s="398"/>
      <c r="T613" s="398"/>
      <c r="U613" s="398"/>
      <c r="V613" s="398"/>
      <c r="W613" s="398"/>
      <c r="X613" s="398"/>
      <c r="Y613" s="398"/>
      <c r="Z613" s="398"/>
      <c r="AA613" s="398"/>
      <c r="AB613" s="200"/>
      <c r="AC613" s="1"/>
      <c r="AD613" s="1"/>
      <c r="AE613" s="1"/>
      <c r="AF613" s="1"/>
      <c r="AG613" s="1"/>
      <c r="AH613" s="1"/>
      <c r="AI613" s="1"/>
      <c r="AJ613" s="1"/>
      <c r="AK613" s="1"/>
      <c r="AL613" s="1"/>
      <c r="AM613" s="1"/>
      <c r="AN613" s="1"/>
      <c r="AO613" s="1"/>
      <c r="AP613" s="1"/>
      <c r="AQ613" s="1"/>
      <c r="AR613" s="1"/>
      <c r="AS613" s="1"/>
      <c r="AT613" s="1"/>
      <c r="AU613" s="1"/>
      <c r="AV613" s="1"/>
      <c r="AW613" s="1"/>
      <c r="AX613" s="1"/>
      <c r="AY613" s="1"/>
    </row>
    <row r="614" spans="1:51" ht="19.05" customHeight="1">
      <c r="A614" s="199"/>
      <c r="B614" s="1322"/>
      <c r="C614" s="1322"/>
      <c r="D614" s="1322"/>
      <c r="E614" s="1322"/>
      <c r="F614" s="1322"/>
      <c r="G614" s="1322"/>
      <c r="H614" s="1322"/>
      <c r="I614" s="24"/>
      <c r="J614" s="24"/>
      <c r="K614" s="24"/>
      <c r="L614" s="24"/>
      <c r="M614" s="24"/>
      <c r="N614" s="200"/>
      <c r="O614" s="199"/>
      <c r="P614" s="24"/>
      <c r="Q614" s="24"/>
      <c r="R614" s="398"/>
      <c r="S614" s="398"/>
      <c r="T614" s="398"/>
      <c r="U614" s="398"/>
      <c r="V614" s="398"/>
      <c r="W614" s="398"/>
      <c r="X614" s="398"/>
      <c r="Y614" s="398"/>
      <c r="Z614" s="398"/>
      <c r="AA614" s="398"/>
      <c r="AB614" s="200"/>
      <c r="AC614" s="1"/>
      <c r="AD614" s="1"/>
      <c r="AE614" s="1"/>
      <c r="AF614" s="1"/>
      <c r="AG614" s="1"/>
      <c r="AH614" s="1"/>
      <c r="AI614" s="1"/>
      <c r="AJ614" s="1"/>
      <c r="AK614" s="1"/>
      <c r="AL614" s="1"/>
      <c r="AM614" s="1"/>
      <c r="AN614" s="1"/>
      <c r="AO614" s="1"/>
      <c r="AP614" s="1"/>
      <c r="AQ614" s="1"/>
      <c r="AR614" s="1"/>
      <c r="AS614" s="1"/>
      <c r="AT614" s="1"/>
      <c r="AU614" s="1"/>
      <c r="AV614" s="1"/>
      <c r="AW614" s="1"/>
      <c r="AX614" s="1"/>
      <c r="AY614" s="1"/>
    </row>
    <row r="615" spans="1:51" ht="19.05" customHeight="1">
      <c r="A615" s="199"/>
      <c r="B615" s="1322"/>
      <c r="C615" s="1322"/>
      <c r="D615" s="1322"/>
      <c r="E615" s="1322"/>
      <c r="F615" s="1322"/>
      <c r="G615" s="1322"/>
      <c r="H615" s="1322"/>
      <c r="I615" s="24"/>
      <c r="J615" s="24"/>
      <c r="K615" s="24"/>
      <c r="L615" s="24"/>
      <c r="M615" s="24"/>
      <c r="N615" s="200"/>
      <c r="O615" s="199"/>
      <c r="P615" s="24"/>
      <c r="Q615" s="24"/>
      <c r="R615" s="398"/>
      <c r="S615" s="398"/>
      <c r="T615" s="398"/>
      <c r="U615" s="398"/>
      <c r="V615" s="398"/>
      <c r="W615" s="398"/>
      <c r="X615" s="398"/>
      <c r="Y615" s="398"/>
      <c r="Z615" s="398"/>
      <c r="AA615" s="398"/>
      <c r="AB615" s="200"/>
      <c r="AC615" s="1"/>
      <c r="AD615" s="1"/>
      <c r="AE615" s="1"/>
      <c r="AF615" s="1"/>
      <c r="AG615" s="1"/>
      <c r="AH615" s="1"/>
      <c r="AI615" s="1"/>
      <c r="AJ615" s="1"/>
      <c r="AK615" s="1"/>
      <c r="AL615" s="1"/>
      <c r="AM615" s="1"/>
      <c r="AN615" s="1"/>
      <c r="AO615" s="1"/>
      <c r="AP615" s="1"/>
      <c r="AQ615" s="1"/>
      <c r="AR615" s="1"/>
      <c r="AS615" s="1"/>
      <c r="AT615" s="1"/>
      <c r="AU615" s="1"/>
      <c r="AV615" s="1"/>
      <c r="AW615" s="1"/>
      <c r="AX615" s="1"/>
      <c r="AY615" s="1"/>
    </row>
    <row r="616" spans="1:51" ht="19.05" customHeight="1">
      <c r="A616" s="199"/>
      <c r="B616" s="1322"/>
      <c r="C616" s="1322"/>
      <c r="D616" s="1322"/>
      <c r="E616" s="1322"/>
      <c r="F616" s="1322"/>
      <c r="G616" s="1322"/>
      <c r="H616" s="1322"/>
      <c r="I616" s="24"/>
      <c r="J616" s="24"/>
      <c r="K616" s="24"/>
      <c r="L616" s="24"/>
      <c r="M616" s="24"/>
      <c r="N616" s="200"/>
      <c r="O616" s="199"/>
      <c r="P616" s="24"/>
      <c r="Q616" s="24"/>
      <c r="R616" s="398"/>
      <c r="S616" s="398"/>
      <c r="T616" s="398"/>
      <c r="U616" s="398"/>
      <c r="V616" s="398"/>
      <c r="W616" s="398"/>
      <c r="X616" s="398"/>
      <c r="Y616" s="398"/>
      <c r="Z616" s="398"/>
      <c r="AA616" s="398"/>
      <c r="AB616" s="200"/>
      <c r="AC616" s="1"/>
      <c r="AD616" s="1"/>
      <c r="AE616" s="1"/>
      <c r="AF616" s="1"/>
      <c r="AG616" s="1"/>
      <c r="AH616" s="1"/>
      <c r="AI616" s="1"/>
      <c r="AJ616" s="1"/>
      <c r="AK616" s="1"/>
      <c r="AL616" s="1"/>
      <c r="AM616" s="1"/>
      <c r="AN616" s="1"/>
      <c r="AO616" s="1"/>
      <c r="AP616" s="1"/>
      <c r="AQ616" s="1"/>
      <c r="AR616" s="1"/>
      <c r="AS616" s="1"/>
      <c r="AT616" s="1"/>
      <c r="AU616" s="1"/>
      <c r="AV616" s="1"/>
      <c r="AW616" s="1"/>
      <c r="AX616" s="1"/>
      <c r="AY616" s="1"/>
    </row>
    <row r="617" spans="1:51" ht="19.05" customHeight="1">
      <c r="A617" s="199"/>
      <c r="B617" s="1322"/>
      <c r="C617" s="1322"/>
      <c r="D617" s="1322"/>
      <c r="E617" s="1322"/>
      <c r="F617" s="1322"/>
      <c r="G617" s="1322"/>
      <c r="H617" s="1322"/>
      <c r="I617" s="24"/>
      <c r="J617" s="24"/>
      <c r="K617" s="24"/>
      <c r="L617" s="24"/>
      <c r="M617" s="24"/>
      <c r="N617" s="200"/>
      <c r="O617" s="199"/>
      <c r="P617" s="24"/>
      <c r="Q617" s="24"/>
      <c r="R617" s="398"/>
      <c r="S617" s="398"/>
      <c r="T617" s="398"/>
      <c r="U617" s="398"/>
      <c r="V617" s="398"/>
      <c r="W617" s="398"/>
      <c r="X617" s="398"/>
      <c r="Y617" s="398"/>
      <c r="Z617" s="398"/>
      <c r="AA617" s="398"/>
      <c r="AB617" s="200"/>
      <c r="AC617" s="1"/>
      <c r="AD617" s="1"/>
      <c r="AE617" s="1"/>
      <c r="AF617" s="1"/>
      <c r="AG617" s="1"/>
      <c r="AH617" s="1"/>
      <c r="AI617" s="1"/>
      <c r="AJ617" s="1"/>
      <c r="AK617" s="1"/>
      <c r="AL617" s="1"/>
      <c r="AM617" s="1"/>
      <c r="AN617" s="1"/>
      <c r="AO617" s="1"/>
      <c r="AP617" s="1"/>
      <c r="AQ617" s="1"/>
      <c r="AR617" s="1"/>
      <c r="AS617" s="1"/>
      <c r="AT617" s="1"/>
      <c r="AU617" s="1"/>
      <c r="AV617" s="1"/>
      <c r="AW617" s="1"/>
      <c r="AX617" s="1"/>
      <c r="AY617" s="1"/>
    </row>
    <row r="618" spans="1:51" ht="19.05" customHeight="1">
      <c r="A618" s="199"/>
      <c r="B618" s="1322"/>
      <c r="C618" s="1322"/>
      <c r="D618" s="1322"/>
      <c r="E618" s="1322"/>
      <c r="F618" s="1322"/>
      <c r="G618" s="1322"/>
      <c r="H618" s="1322"/>
      <c r="I618" s="24"/>
      <c r="J618" s="24"/>
      <c r="K618" s="24"/>
      <c r="L618" s="24"/>
      <c r="M618" s="24"/>
      <c r="N618" s="200"/>
      <c r="O618" s="199"/>
      <c r="P618" s="24"/>
      <c r="Q618" s="24"/>
      <c r="R618" s="398"/>
      <c r="S618" s="398"/>
      <c r="T618" s="398"/>
      <c r="U618" s="398"/>
      <c r="V618" s="398"/>
      <c r="W618" s="398"/>
      <c r="X618" s="398"/>
      <c r="Y618" s="398"/>
      <c r="Z618" s="398"/>
      <c r="AA618" s="398"/>
      <c r="AB618" s="200"/>
      <c r="AC618" s="1"/>
      <c r="AD618" s="1"/>
      <c r="AE618" s="1"/>
      <c r="AF618" s="1"/>
      <c r="AG618" s="1"/>
      <c r="AH618" s="1"/>
      <c r="AI618" s="1"/>
      <c r="AJ618" s="1"/>
      <c r="AK618" s="1"/>
      <c r="AL618" s="1"/>
      <c r="AM618" s="1"/>
      <c r="AN618" s="1"/>
      <c r="AO618" s="1"/>
      <c r="AP618" s="1"/>
      <c r="AQ618" s="1"/>
      <c r="AR618" s="1"/>
      <c r="AS618" s="1"/>
      <c r="AT618" s="1"/>
      <c r="AU618" s="1"/>
      <c r="AV618" s="1"/>
      <c r="AW618" s="1"/>
      <c r="AX618" s="1"/>
      <c r="AY618" s="1"/>
    </row>
    <row r="619" spans="1:51" ht="4.95" customHeight="1">
      <c r="A619" s="199"/>
      <c r="B619" s="390"/>
      <c r="C619" s="390"/>
      <c r="D619" s="390"/>
      <c r="E619" s="390"/>
      <c r="F619" s="390"/>
      <c r="G619" s="390"/>
      <c r="H619" s="390"/>
      <c r="I619" s="24"/>
      <c r="J619" s="24"/>
      <c r="K619" s="24"/>
      <c r="L619" s="24"/>
      <c r="M619" s="24"/>
      <c r="N619" s="200"/>
      <c r="O619" s="199"/>
      <c r="P619" s="24"/>
      <c r="Q619" s="24"/>
      <c r="R619" s="398"/>
      <c r="S619" s="398"/>
      <c r="T619" s="398"/>
      <c r="U619" s="398"/>
      <c r="V619" s="398"/>
      <c r="W619" s="398"/>
      <c r="X619" s="398"/>
      <c r="Y619" s="398"/>
      <c r="Z619" s="398"/>
      <c r="AA619" s="398"/>
      <c r="AB619" s="200"/>
      <c r="AC619" s="1"/>
      <c r="AD619" s="1"/>
      <c r="AE619" s="1"/>
      <c r="AF619" s="1"/>
      <c r="AG619" s="1"/>
      <c r="AH619" s="1"/>
      <c r="AI619" s="1"/>
      <c r="AJ619" s="1"/>
      <c r="AK619" s="1"/>
      <c r="AL619" s="1"/>
      <c r="AM619" s="1"/>
      <c r="AN619" s="1"/>
      <c r="AO619" s="1"/>
      <c r="AP619" s="1"/>
      <c r="AQ619" s="1"/>
      <c r="AR619" s="1"/>
      <c r="AS619" s="1"/>
      <c r="AT619" s="1"/>
      <c r="AU619" s="1"/>
      <c r="AV619" s="1"/>
      <c r="AW619" s="1"/>
      <c r="AX619" s="1"/>
      <c r="AY619" s="1"/>
    </row>
    <row r="620" spans="1:51" ht="16.95" customHeight="1">
      <c r="A620" s="199"/>
      <c r="B620" s="1322" t="s">
        <v>2027</v>
      </c>
      <c r="C620" s="1322"/>
      <c r="D620" s="1322"/>
      <c r="E620" s="1322"/>
      <c r="F620" s="1322"/>
      <c r="G620" s="1322"/>
      <c r="H620" s="1322"/>
      <c r="I620" s="1322"/>
      <c r="J620" s="1322"/>
      <c r="K620" s="1322"/>
      <c r="L620" s="1322"/>
      <c r="M620" s="1322"/>
      <c r="N620" s="200"/>
      <c r="O620" s="199"/>
      <c r="P620" s="24"/>
      <c r="Q620" s="24"/>
      <c r="R620" s="398"/>
      <c r="S620" s="398"/>
      <c r="T620" s="398"/>
      <c r="U620" s="398"/>
      <c r="V620" s="398"/>
      <c r="W620" s="398"/>
      <c r="X620" s="398"/>
      <c r="Y620" s="398"/>
      <c r="Z620" s="398"/>
      <c r="AA620" s="398"/>
      <c r="AB620" s="200"/>
      <c r="AC620" s="1"/>
      <c r="AD620" s="1"/>
      <c r="AE620" s="1"/>
      <c r="AF620" s="1"/>
      <c r="AG620" s="1"/>
      <c r="AH620" s="1"/>
      <c r="AI620" s="1"/>
      <c r="AJ620" s="1"/>
      <c r="AK620" s="1"/>
      <c r="AL620" s="1"/>
      <c r="AM620" s="1"/>
      <c r="AN620" s="1"/>
      <c r="AO620" s="1"/>
      <c r="AP620" s="1"/>
      <c r="AQ620" s="1"/>
      <c r="AR620" s="1"/>
      <c r="AS620" s="1"/>
      <c r="AT620" s="1"/>
      <c r="AU620" s="1"/>
      <c r="AV620" s="1"/>
      <c r="AW620" s="1"/>
      <c r="AX620" s="1"/>
      <c r="AY620" s="1"/>
    </row>
    <row r="621" spans="1:51" ht="16.95" customHeight="1">
      <c r="A621" s="199"/>
      <c r="B621" s="1322"/>
      <c r="C621" s="1322"/>
      <c r="D621" s="1322"/>
      <c r="E621" s="1322"/>
      <c r="F621" s="1322"/>
      <c r="G621" s="1322"/>
      <c r="H621" s="1322"/>
      <c r="I621" s="1322"/>
      <c r="J621" s="1322"/>
      <c r="K621" s="1322"/>
      <c r="L621" s="1322"/>
      <c r="M621" s="1322"/>
      <c r="N621" s="200"/>
      <c r="O621" s="199"/>
      <c r="P621" s="24"/>
      <c r="Q621" s="24"/>
      <c r="R621" s="398"/>
      <c r="S621" s="398"/>
      <c r="T621" s="398"/>
      <c r="U621" s="398"/>
      <c r="V621" s="398"/>
      <c r="W621" s="398"/>
      <c r="X621" s="398"/>
      <c r="Y621" s="398"/>
      <c r="Z621" s="398"/>
      <c r="AA621" s="398"/>
      <c r="AB621" s="200"/>
      <c r="AC621" s="1"/>
      <c r="AD621" s="1"/>
      <c r="AE621" s="1"/>
      <c r="AF621" s="1"/>
      <c r="AG621" s="1"/>
      <c r="AH621" s="1"/>
      <c r="AI621" s="1"/>
      <c r="AJ621" s="1"/>
      <c r="AK621" s="1"/>
      <c r="AL621" s="1"/>
      <c r="AM621" s="1"/>
      <c r="AN621" s="1"/>
      <c r="AO621" s="1"/>
      <c r="AP621" s="1"/>
      <c r="AQ621" s="1"/>
      <c r="AR621" s="1"/>
      <c r="AS621" s="1"/>
      <c r="AT621" s="1"/>
      <c r="AU621" s="1"/>
      <c r="AV621" s="1"/>
      <c r="AW621" s="1"/>
      <c r="AX621" s="1"/>
      <c r="AY621" s="1"/>
    </row>
    <row r="622" spans="1:51" ht="16.95" customHeight="1">
      <c r="A622" s="199"/>
      <c r="B622" s="1322"/>
      <c r="C622" s="1322"/>
      <c r="D622" s="1322"/>
      <c r="E622" s="1322"/>
      <c r="F622" s="1322"/>
      <c r="G622" s="1322"/>
      <c r="H622" s="1322"/>
      <c r="I622" s="1322"/>
      <c r="J622" s="1322"/>
      <c r="K622" s="1322"/>
      <c r="L622" s="1322"/>
      <c r="M622" s="1322"/>
      <c r="N622" s="200"/>
      <c r="O622" s="199"/>
      <c r="P622" s="24"/>
      <c r="Q622" s="24"/>
      <c r="R622" s="398"/>
      <c r="S622" s="398"/>
      <c r="T622" s="398"/>
      <c r="U622" s="398"/>
      <c r="V622" s="398"/>
      <c r="W622" s="398"/>
      <c r="X622" s="398"/>
      <c r="Y622" s="398"/>
      <c r="Z622" s="398"/>
      <c r="AA622" s="398"/>
      <c r="AB622" s="200"/>
      <c r="AC622" s="1"/>
      <c r="AD622" s="1"/>
      <c r="AE622" s="1"/>
      <c r="AF622" s="1"/>
      <c r="AG622" s="1"/>
      <c r="AH622" s="1"/>
      <c r="AI622" s="1"/>
      <c r="AJ622" s="1"/>
      <c r="AK622" s="1"/>
      <c r="AL622" s="1"/>
      <c r="AM622" s="1"/>
      <c r="AN622" s="1"/>
      <c r="AO622" s="1"/>
      <c r="AP622" s="1"/>
      <c r="AQ622" s="1"/>
      <c r="AR622" s="1"/>
      <c r="AS622" s="1"/>
      <c r="AT622" s="1"/>
      <c r="AU622" s="1"/>
      <c r="AV622" s="1"/>
      <c r="AW622" s="1"/>
      <c r="AX622" s="1"/>
      <c r="AY622" s="1"/>
    </row>
    <row r="623" spans="1:51" ht="16.95" customHeight="1">
      <c r="A623" s="199"/>
      <c r="B623" s="1322"/>
      <c r="C623" s="1322"/>
      <c r="D623" s="1322"/>
      <c r="E623" s="1322"/>
      <c r="F623" s="1322"/>
      <c r="G623" s="1322"/>
      <c r="H623" s="1322"/>
      <c r="I623" s="1322"/>
      <c r="J623" s="1322"/>
      <c r="K623" s="1322"/>
      <c r="L623" s="1322"/>
      <c r="M623" s="1322"/>
      <c r="N623" s="200"/>
      <c r="O623" s="199"/>
      <c r="P623" s="24"/>
      <c r="Q623" s="24"/>
      <c r="R623" s="398"/>
      <c r="S623" s="398"/>
      <c r="T623" s="398"/>
      <c r="U623" s="398"/>
      <c r="V623" s="398"/>
      <c r="W623" s="398"/>
      <c r="X623" s="398"/>
      <c r="Y623" s="398"/>
      <c r="Z623" s="398"/>
      <c r="AA623" s="398"/>
      <c r="AB623" s="200"/>
      <c r="AC623" s="1"/>
      <c r="AD623" s="1"/>
      <c r="AE623" s="1"/>
      <c r="AF623" s="1"/>
      <c r="AG623" s="1"/>
      <c r="AH623" s="1"/>
      <c r="AI623" s="1"/>
      <c r="AJ623" s="1"/>
      <c r="AK623" s="1"/>
      <c r="AL623" s="1"/>
      <c r="AM623" s="1"/>
      <c r="AN623" s="1"/>
      <c r="AO623" s="1"/>
      <c r="AP623" s="1"/>
      <c r="AQ623" s="1"/>
      <c r="AR623" s="1"/>
      <c r="AS623" s="1"/>
      <c r="AT623" s="1"/>
      <c r="AU623" s="1"/>
      <c r="AV623" s="1"/>
      <c r="AW623" s="1"/>
      <c r="AX623" s="1"/>
      <c r="AY623" s="1"/>
    </row>
    <row r="624" spans="1:51" ht="4.95" customHeight="1">
      <c r="A624" s="199"/>
      <c r="B624" s="24"/>
      <c r="C624" s="24"/>
      <c r="D624" s="24"/>
      <c r="E624" s="24"/>
      <c r="F624" s="24"/>
      <c r="G624" s="24"/>
      <c r="H624" s="24"/>
      <c r="I624" s="24"/>
      <c r="J624" s="24"/>
      <c r="K624" s="24"/>
      <c r="L624" s="24"/>
      <c r="M624" s="24"/>
      <c r="N624" s="200"/>
      <c r="O624" s="199"/>
      <c r="P624" s="24"/>
      <c r="Q624" s="24"/>
      <c r="R624" s="398"/>
      <c r="S624" s="398"/>
      <c r="T624" s="398"/>
      <c r="U624" s="398"/>
      <c r="V624" s="398"/>
      <c r="W624" s="398"/>
      <c r="X624" s="398"/>
      <c r="Y624" s="398"/>
      <c r="Z624" s="398"/>
      <c r="AA624" s="398"/>
      <c r="AB624" s="200"/>
      <c r="AC624" s="1"/>
      <c r="AD624" s="1"/>
      <c r="AE624" s="1"/>
      <c r="AF624" s="1"/>
      <c r="AG624" s="1"/>
      <c r="AH624" s="1"/>
      <c r="AI624" s="1"/>
      <c r="AJ624" s="1"/>
      <c r="AK624" s="1"/>
      <c r="AL624" s="1"/>
      <c r="AM624" s="1"/>
      <c r="AN624" s="1"/>
      <c r="AO624" s="1"/>
      <c r="AP624" s="1"/>
      <c r="AQ624" s="1"/>
      <c r="AR624" s="1"/>
      <c r="AS624" s="1"/>
      <c r="AT624" s="1"/>
      <c r="AU624" s="1"/>
      <c r="AV624" s="1"/>
      <c r="AW624" s="1"/>
      <c r="AX624" s="1"/>
      <c r="AY624" s="1"/>
    </row>
    <row r="625" spans="1:51" ht="33" customHeight="1">
      <c r="A625" s="199"/>
      <c r="B625" s="1312" t="s">
        <v>1771</v>
      </c>
      <c r="C625" s="1312"/>
      <c r="D625" s="1312"/>
      <c r="E625" s="1312"/>
      <c r="F625" s="1312"/>
      <c r="G625" s="1312"/>
      <c r="H625" s="24"/>
      <c r="I625" s="24"/>
      <c r="J625" s="24"/>
      <c r="K625" s="24"/>
      <c r="L625" s="24"/>
      <c r="M625" s="24"/>
      <c r="N625" s="200"/>
      <c r="O625" s="199"/>
      <c r="P625" s="24"/>
      <c r="Q625" s="24"/>
      <c r="R625" s="398"/>
      <c r="S625" s="398"/>
      <c r="T625" s="398"/>
      <c r="U625" s="398"/>
      <c r="V625" s="398"/>
      <c r="W625" s="398"/>
      <c r="X625" s="398"/>
      <c r="Y625" s="398"/>
      <c r="Z625" s="398"/>
      <c r="AA625" s="398"/>
      <c r="AB625" s="200"/>
      <c r="AC625" s="1"/>
      <c r="AD625" s="1"/>
      <c r="AE625" s="1"/>
      <c r="AF625" s="1"/>
      <c r="AG625" s="1"/>
      <c r="AH625" s="1"/>
      <c r="AI625" s="1"/>
      <c r="AJ625" s="1"/>
      <c r="AK625" s="1"/>
      <c r="AL625" s="1"/>
      <c r="AM625" s="1"/>
      <c r="AN625" s="1"/>
      <c r="AO625" s="1"/>
      <c r="AP625" s="1"/>
      <c r="AQ625" s="1"/>
      <c r="AR625" s="1"/>
      <c r="AS625" s="1"/>
      <c r="AT625" s="1"/>
      <c r="AU625" s="1"/>
      <c r="AV625" s="1"/>
      <c r="AW625" s="1"/>
      <c r="AX625" s="1"/>
      <c r="AY625" s="1"/>
    </row>
    <row r="626" spans="1:51" ht="19.95" customHeight="1">
      <c r="A626" s="199"/>
      <c r="B626" s="1322" t="s">
        <v>2023</v>
      </c>
      <c r="C626" s="1322"/>
      <c r="D626" s="1322"/>
      <c r="E626" s="1322"/>
      <c r="F626" s="1322"/>
      <c r="G626" s="1322"/>
      <c r="H626" s="505"/>
      <c r="I626" s="24"/>
      <c r="J626" s="24"/>
      <c r="K626" s="24"/>
      <c r="L626" s="24"/>
      <c r="M626" s="24"/>
      <c r="N626" s="200"/>
      <c r="O626" s="199"/>
      <c r="P626" s="24"/>
      <c r="Q626" s="24"/>
      <c r="R626" s="398"/>
      <c r="S626" s="398"/>
      <c r="T626" s="398"/>
      <c r="U626" s="398"/>
      <c r="V626" s="398"/>
      <c r="W626" s="398"/>
      <c r="X626" s="398"/>
      <c r="Y626" s="398"/>
      <c r="Z626" s="398"/>
      <c r="AA626" s="398"/>
      <c r="AB626" s="200"/>
      <c r="AC626" s="1"/>
      <c r="AD626" s="1"/>
      <c r="AE626" s="1"/>
      <c r="AF626" s="1"/>
      <c r="AG626" s="1"/>
      <c r="AH626" s="1"/>
      <c r="AI626" s="1"/>
      <c r="AJ626" s="1"/>
      <c r="AK626" s="1"/>
      <c r="AL626" s="1"/>
      <c r="AM626" s="1"/>
      <c r="AN626" s="1"/>
      <c r="AO626" s="1"/>
      <c r="AP626" s="1"/>
      <c r="AQ626" s="1"/>
      <c r="AR626" s="1"/>
      <c r="AS626" s="1"/>
      <c r="AT626" s="1"/>
      <c r="AU626" s="1"/>
      <c r="AV626" s="1"/>
      <c r="AW626" s="1"/>
      <c r="AX626" s="1"/>
      <c r="AY626" s="1"/>
    </row>
    <row r="627" spans="1:51" ht="19.95" customHeight="1">
      <c r="A627" s="199"/>
      <c r="B627" s="1322"/>
      <c r="C627" s="1322"/>
      <c r="D627" s="1322"/>
      <c r="E627" s="1322"/>
      <c r="F627" s="1322"/>
      <c r="G627" s="1322"/>
      <c r="H627" s="505"/>
      <c r="I627" s="24"/>
      <c r="J627" s="24"/>
      <c r="K627" s="24"/>
      <c r="L627" s="24"/>
      <c r="M627" s="24"/>
      <c r="N627" s="200"/>
      <c r="O627" s="199"/>
      <c r="P627" s="24"/>
      <c r="Q627" s="24"/>
      <c r="R627" s="398"/>
      <c r="S627" s="398"/>
      <c r="T627" s="398"/>
      <c r="U627" s="398"/>
      <c r="V627" s="398"/>
      <c r="W627" s="398"/>
      <c r="X627" s="398"/>
      <c r="Y627" s="398"/>
      <c r="Z627" s="398"/>
      <c r="AA627" s="398"/>
      <c r="AB627" s="200"/>
      <c r="AC627" s="1"/>
      <c r="AD627" s="1"/>
      <c r="AE627" s="1"/>
      <c r="AF627" s="1"/>
      <c r="AG627" s="1"/>
      <c r="AH627" s="1"/>
      <c r="AI627" s="1"/>
      <c r="AJ627" s="1"/>
      <c r="AK627" s="1"/>
      <c r="AL627" s="1"/>
      <c r="AM627" s="1"/>
      <c r="AN627" s="1"/>
      <c r="AO627" s="1"/>
      <c r="AP627" s="1"/>
      <c r="AQ627" s="1"/>
      <c r="AR627" s="1"/>
      <c r="AS627" s="1"/>
      <c r="AT627" s="1"/>
      <c r="AU627" s="1"/>
      <c r="AV627" s="1"/>
      <c r="AW627" s="1"/>
      <c r="AX627" s="1"/>
      <c r="AY627" s="1"/>
    </row>
    <row r="628" spans="1:51" ht="19.95" customHeight="1">
      <c r="A628" s="199"/>
      <c r="B628" s="1322"/>
      <c r="C628" s="1322"/>
      <c r="D628" s="1322"/>
      <c r="E628" s="1322"/>
      <c r="F628" s="1322"/>
      <c r="G628" s="1322"/>
      <c r="H628" s="505"/>
      <c r="I628" s="24"/>
      <c r="J628" s="24"/>
      <c r="K628" s="24"/>
      <c r="L628" s="24"/>
      <c r="M628" s="24"/>
      <c r="N628" s="200"/>
      <c r="O628" s="199"/>
      <c r="P628" s="24"/>
      <c r="Q628" s="24"/>
      <c r="R628" s="398"/>
      <c r="S628" s="398"/>
      <c r="T628" s="398"/>
      <c r="U628" s="398"/>
      <c r="V628" s="398"/>
      <c r="W628" s="398"/>
      <c r="X628" s="398"/>
      <c r="Y628" s="398"/>
      <c r="Z628" s="398"/>
      <c r="AA628" s="398"/>
      <c r="AB628" s="200"/>
      <c r="AC628" s="1"/>
      <c r="AD628" s="1"/>
      <c r="AE628" s="1"/>
      <c r="AF628" s="1"/>
      <c r="AG628" s="1"/>
      <c r="AH628" s="1"/>
      <c r="AI628" s="1"/>
      <c r="AJ628" s="1"/>
      <c r="AK628" s="1"/>
      <c r="AL628" s="1"/>
      <c r="AM628" s="1"/>
      <c r="AN628" s="1"/>
      <c r="AO628" s="1"/>
      <c r="AP628" s="1"/>
      <c r="AQ628" s="1"/>
      <c r="AR628" s="1"/>
      <c r="AS628" s="1"/>
      <c r="AT628" s="1"/>
      <c r="AU628" s="1"/>
      <c r="AV628" s="1"/>
      <c r="AW628" s="1"/>
      <c r="AX628" s="1"/>
      <c r="AY628" s="1"/>
    </row>
    <row r="629" spans="1:51" ht="19.95" customHeight="1">
      <c r="A629" s="199"/>
      <c r="B629" s="1322"/>
      <c r="C629" s="1322"/>
      <c r="D629" s="1322"/>
      <c r="E629" s="1322"/>
      <c r="F629" s="1322"/>
      <c r="G629" s="1322"/>
      <c r="H629" s="505"/>
      <c r="I629" s="24"/>
      <c r="J629" s="24"/>
      <c r="K629" s="24"/>
      <c r="L629" s="24"/>
      <c r="M629" s="24"/>
      <c r="N629" s="200"/>
      <c r="O629" s="199"/>
      <c r="P629" s="24"/>
      <c r="Q629" s="24"/>
      <c r="R629" s="398"/>
      <c r="S629" s="398"/>
      <c r="T629" s="398"/>
      <c r="U629" s="398"/>
      <c r="V629" s="398"/>
      <c r="W629" s="398"/>
      <c r="X629" s="398"/>
      <c r="Y629" s="398"/>
      <c r="Z629" s="398"/>
      <c r="AA629" s="398"/>
      <c r="AB629" s="200"/>
      <c r="AC629" s="1"/>
      <c r="AD629" s="1"/>
      <c r="AE629" s="1"/>
      <c r="AF629" s="1"/>
      <c r="AG629" s="1"/>
      <c r="AH629" s="1"/>
      <c r="AI629" s="1"/>
      <c r="AJ629" s="1"/>
      <c r="AK629" s="1"/>
      <c r="AL629" s="1"/>
      <c r="AM629" s="1"/>
      <c r="AN629" s="1"/>
      <c r="AO629" s="1"/>
      <c r="AP629" s="1"/>
      <c r="AQ629" s="1"/>
      <c r="AR629" s="1"/>
      <c r="AS629" s="1"/>
      <c r="AT629" s="1"/>
      <c r="AU629" s="1"/>
      <c r="AV629" s="1"/>
      <c r="AW629" s="1"/>
      <c r="AX629" s="1"/>
      <c r="AY629" s="1"/>
    </row>
    <row r="630" spans="1:51" ht="19.95" customHeight="1">
      <c r="A630" s="199"/>
      <c r="B630" s="1322"/>
      <c r="C630" s="1322"/>
      <c r="D630" s="1322"/>
      <c r="E630" s="1322"/>
      <c r="F630" s="1322"/>
      <c r="G630" s="1322"/>
      <c r="H630" s="505"/>
      <c r="I630" s="24"/>
      <c r="J630" s="24"/>
      <c r="K630" s="24"/>
      <c r="L630" s="24"/>
      <c r="M630" s="24"/>
      <c r="N630" s="200"/>
      <c r="O630" s="199"/>
      <c r="P630" s="24"/>
      <c r="Q630" s="24"/>
      <c r="R630" s="398"/>
      <c r="S630" s="398"/>
      <c r="T630" s="398"/>
      <c r="U630" s="398"/>
      <c r="V630" s="398"/>
      <c r="W630" s="398"/>
      <c r="X630" s="398"/>
      <c r="Y630" s="398"/>
      <c r="Z630" s="398"/>
      <c r="AA630" s="398"/>
      <c r="AB630" s="200"/>
      <c r="AC630" s="1"/>
      <c r="AD630" s="1"/>
      <c r="AE630" s="1"/>
      <c r="AF630" s="1"/>
      <c r="AG630" s="1"/>
      <c r="AH630" s="1"/>
      <c r="AI630" s="1"/>
      <c r="AJ630" s="1"/>
      <c r="AK630" s="1"/>
      <c r="AL630" s="1"/>
      <c r="AM630" s="1"/>
      <c r="AN630" s="1"/>
      <c r="AO630" s="1"/>
      <c r="AP630" s="1"/>
      <c r="AQ630" s="1"/>
      <c r="AR630" s="1"/>
      <c r="AS630" s="1"/>
      <c r="AT630" s="1"/>
      <c r="AU630" s="1"/>
      <c r="AV630" s="1"/>
      <c r="AW630" s="1"/>
      <c r="AX630" s="1"/>
      <c r="AY630" s="1"/>
    </row>
    <row r="631" spans="1:51" ht="19.95" customHeight="1">
      <c r="A631" s="199"/>
      <c r="B631" s="1322"/>
      <c r="C631" s="1322"/>
      <c r="D631" s="1322"/>
      <c r="E631" s="1322"/>
      <c r="F631" s="1322"/>
      <c r="G631" s="1322"/>
      <c r="H631" s="505"/>
      <c r="I631" s="24"/>
      <c r="J631" s="24"/>
      <c r="K631" s="24"/>
      <c r="L631" s="24"/>
      <c r="M631" s="24"/>
      <c r="N631" s="200"/>
      <c r="O631" s="199"/>
      <c r="P631" s="24"/>
      <c r="Q631" s="24"/>
      <c r="R631" s="398"/>
      <c r="S631" s="398"/>
      <c r="T631" s="398"/>
      <c r="U631" s="398"/>
      <c r="V631" s="398"/>
      <c r="W631" s="398"/>
      <c r="X631" s="398"/>
      <c r="Y631" s="398"/>
      <c r="Z631" s="398"/>
      <c r="AA631" s="398"/>
      <c r="AB631" s="200"/>
      <c r="AC631" s="1"/>
      <c r="AD631" s="1"/>
      <c r="AE631" s="1"/>
      <c r="AF631" s="1"/>
      <c r="AG631" s="1"/>
      <c r="AH631" s="1"/>
      <c r="AI631" s="1"/>
      <c r="AJ631" s="1"/>
      <c r="AK631" s="1"/>
      <c r="AL631" s="1"/>
      <c r="AM631" s="1"/>
      <c r="AN631" s="1"/>
      <c r="AO631" s="1"/>
      <c r="AP631" s="1"/>
      <c r="AQ631" s="1"/>
      <c r="AR631" s="1"/>
      <c r="AS631" s="1"/>
      <c r="AT631" s="1"/>
      <c r="AU631" s="1"/>
      <c r="AV631" s="1"/>
      <c r="AW631" s="1"/>
      <c r="AX631" s="1"/>
      <c r="AY631" s="1"/>
    </row>
    <row r="632" spans="1:51" ht="19.95" customHeight="1">
      <c r="A632" s="199"/>
      <c r="B632" s="1322"/>
      <c r="C632" s="1322"/>
      <c r="D632" s="1322"/>
      <c r="E632" s="1322"/>
      <c r="F632" s="1322"/>
      <c r="G632" s="1322"/>
      <c r="H632" s="505"/>
      <c r="I632" s="24"/>
      <c r="J632" s="24"/>
      <c r="K632" s="24"/>
      <c r="L632" s="24"/>
      <c r="M632" s="24"/>
      <c r="N632" s="200"/>
      <c r="O632" s="199"/>
      <c r="P632" s="24"/>
      <c r="Q632" s="24"/>
      <c r="R632" s="398"/>
      <c r="S632" s="398"/>
      <c r="T632" s="398"/>
      <c r="U632" s="398"/>
      <c r="V632" s="398"/>
      <c r="W632" s="398"/>
      <c r="X632" s="398"/>
      <c r="Y632" s="398"/>
      <c r="Z632" s="398"/>
      <c r="AA632" s="398"/>
      <c r="AB632" s="200"/>
      <c r="AC632" s="1"/>
      <c r="AD632" s="1"/>
      <c r="AE632" s="1"/>
      <c r="AF632" s="1"/>
      <c r="AG632" s="1"/>
      <c r="AH632" s="1"/>
      <c r="AI632" s="1"/>
      <c r="AJ632" s="1"/>
      <c r="AK632" s="1"/>
      <c r="AL632" s="1"/>
      <c r="AM632" s="1"/>
      <c r="AN632" s="1"/>
      <c r="AO632" s="1"/>
      <c r="AP632" s="1"/>
      <c r="AQ632" s="1"/>
      <c r="AR632" s="1"/>
      <c r="AS632" s="1"/>
      <c r="AT632" s="1"/>
      <c r="AU632" s="1"/>
      <c r="AV632" s="1"/>
      <c r="AW632" s="1"/>
      <c r="AX632" s="1"/>
      <c r="AY632" s="1"/>
    </row>
    <row r="633" spans="1:51" ht="19.95" customHeight="1">
      <c r="A633" s="199"/>
      <c r="B633" s="1322"/>
      <c r="C633" s="1322"/>
      <c r="D633" s="1322"/>
      <c r="E633" s="1322"/>
      <c r="F633" s="1322"/>
      <c r="G633" s="1322"/>
      <c r="H633" s="505"/>
      <c r="I633" s="24"/>
      <c r="J633" s="24"/>
      <c r="K633" s="24"/>
      <c r="L633" s="24"/>
      <c r="M633" s="24"/>
      <c r="N633" s="200"/>
      <c r="O633" s="199"/>
      <c r="P633" s="24"/>
      <c r="Q633" s="24"/>
      <c r="R633" s="398"/>
      <c r="S633" s="398"/>
      <c r="T633" s="398"/>
      <c r="U633" s="398"/>
      <c r="V633" s="398"/>
      <c r="W633" s="398"/>
      <c r="X633" s="398"/>
      <c r="Y633" s="398"/>
      <c r="Z633" s="398"/>
      <c r="AA633" s="398"/>
      <c r="AB633" s="200"/>
      <c r="AC633" s="1"/>
      <c r="AD633" s="1"/>
      <c r="AE633" s="1"/>
      <c r="AF633" s="1"/>
      <c r="AG633" s="1"/>
      <c r="AH633" s="1"/>
      <c r="AI633" s="1"/>
      <c r="AJ633" s="1"/>
      <c r="AK633" s="1"/>
      <c r="AL633" s="1"/>
      <c r="AM633" s="1"/>
      <c r="AN633" s="1"/>
      <c r="AO633" s="1"/>
      <c r="AP633" s="1"/>
      <c r="AQ633" s="1"/>
      <c r="AR633" s="1"/>
      <c r="AS633" s="1"/>
      <c r="AT633" s="1"/>
      <c r="AU633" s="1"/>
      <c r="AV633" s="1"/>
      <c r="AW633" s="1"/>
      <c r="AX633" s="1"/>
      <c r="AY633" s="1"/>
    </row>
    <row r="634" spans="1:51" ht="19.95" customHeight="1">
      <c r="A634" s="199"/>
      <c r="B634" s="1322"/>
      <c r="C634" s="1322"/>
      <c r="D634" s="1322"/>
      <c r="E634" s="1322"/>
      <c r="F634" s="1322"/>
      <c r="G634" s="1322"/>
      <c r="H634" s="505"/>
      <c r="I634" s="24"/>
      <c r="J634" s="24"/>
      <c r="K634" s="24"/>
      <c r="L634" s="24"/>
      <c r="M634" s="24"/>
      <c r="N634" s="200"/>
      <c r="O634" s="199"/>
      <c r="P634" s="24"/>
      <c r="Q634" s="24"/>
      <c r="R634" s="398"/>
      <c r="S634" s="398"/>
      <c r="T634" s="398"/>
      <c r="U634" s="398"/>
      <c r="V634" s="398"/>
      <c r="W634" s="398"/>
      <c r="X634" s="398"/>
      <c r="Y634" s="398"/>
      <c r="Z634" s="398"/>
      <c r="AA634" s="398"/>
      <c r="AB634" s="200"/>
      <c r="AC634" s="1"/>
      <c r="AD634" s="1"/>
      <c r="AE634" s="1"/>
      <c r="AF634" s="1"/>
      <c r="AG634" s="1"/>
      <c r="AH634" s="1"/>
      <c r="AI634" s="1"/>
      <c r="AJ634" s="1"/>
      <c r="AK634" s="1"/>
      <c r="AL634" s="1"/>
      <c r="AM634" s="1"/>
      <c r="AN634" s="1"/>
      <c r="AO634" s="1"/>
      <c r="AP634" s="1"/>
      <c r="AQ634" s="1"/>
      <c r="AR634" s="1"/>
      <c r="AS634" s="1"/>
      <c r="AT634" s="1"/>
      <c r="AU634" s="1"/>
      <c r="AV634" s="1"/>
      <c r="AW634" s="1"/>
      <c r="AX634" s="1"/>
      <c r="AY634" s="1"/>
    </row>
    <row r="635" spans="1:51" ht="4.95" customHeight="1">
      <c r="A635" s="199"/>
      <c r="B635" s="24"/>
      <c r="C635" s="24"/>
      <c r="D635" s="24"/>
      <c r="E635" s="24"/>
      <c r="F635" s="24"/>
      <c r="G635" s="24"/>
      <c r="H635" s="24"/>
      <c r="I635" s="24"/>
      <c r="J635" s="24"/>
      <c r="K635" s="24"/>
      <c r="L635" s="24"/>
      <c r="M635" s="24"/>
      <c r="N635" s="200"/>
      <c r="O635" s="199"/>
      <c r="P635" s="24"/>
      <c r="Q635" s="24"/>
      <c r="R635" s="398"/>
      <c r="S635" s="398"/>
      <c r="T635" s="398"/>
      <c r="U635" s="398"/>
      <c r="V635" s="398"/>
      <c r="W635" s="398"/>
      <c r="X635" s="398"/>
      <c r="Y635" s="398"/>
      <c r="Z635" s="398"/>
      <c r="AA635" s="398"/>
      <c r="AB635" s="200"/>
      <c r="AC635" s="1"/>
      <c r="AD635" s="1"/>
      <c r="AE635" s="1"/>
      <c r="AF635" s="1"/>
      <c r="AG635" s="1"/>
      <c r="AH635" s="1"/>
      <c r="AI635" s="1"/>
      <c r="AJ635" s="1"/>
      <c r="AK635" s="1"/>
      <c r="AL635" s="1"/>
      <c r="AM635" s="1"/>
      <c r="AN635" s="1"/>
      <c r="AO635" s="1"/>
      <c r="AP635" s="1"/>
      <c r="AQ635" s="1"/>
      <c r="AR635" s="1"/>
      <c r="AS635" s="1"/>
      <c r="AT635" s="1"/>
      <c r="AU635" s="1"/>
      <c r="AV635" s="1"/>
      <c r="AW635" s="1"/>
      <c r="AX635" s="1"/>
      <c r="AY635" s="1"/>
    </row>
    <row r="636" spans="1:51" ht="22.05" customHeight="1">
      <c r="A636" s="199"/>
      <c r="B636" s="1322" t="s">
        <v>2028</v>
      </c>
      <c r="C636" s="1322"/>
      <c r="D636" s="1322"/>
      <c r="E636" s="1322"/>
      <c r="F636" s="1322"/>
      <c r="G636" s="1322"/>
      <c r="H636" s="1322"/>
      <c r="I636" s="1322"/>
      <c r="J636" s="1322"/>
      <c r="K636" s="1322"/>
      <c r="L636" s="1322"/>
      <c r="M636" s="1322"/>
      <c r="N636" s="200"/>
      <c r="O636" s="199"/>
      <c r="P636" s="24"/>
      <c r="Q636" s="24"/>
      <c r="R636" s="398"/>
      <c r="S636" s="398"/>
      <c r="T636" s="398"/>
      <c r="U636" s="398"/>
      <c r="V636" s="398"/>
      <c r="W636" s="398"/>
      <c r="X636" s="398"/>
      <c r="Y636" s="398"/>
      <c r="Z636" s="398"/>
      <c r="AA636" s="398"/>
      <c r="AB636" s="200"/>
      <c r="AC636" s="1"/>
      <c r="AD636" s="1"/>
      <c r="AE636" s="1"/>
      <c r="AF636" s="1"/>
      <c r="AG636" s="1"/>
      <c r="AH636" s="1"/>
      <c r="AI636" s="1"/>
      <c r="AJ636" s="1"/>
      <c r="AK636" s="1"/>
      <c r="AL636" s="1"/>
      <c r="AM636" s="1"/>
      <c r="AN636" s="1"/>
      <c r="AO636" s="1"/>
      <c r="AP636" s="1"/>
      <c r="AQ636" s="1"/>
      <c r="AR636" s="1"/>
      <c r="AS636" s="1"/>
      <c r="AT636" s="1"/>
      <c r="AU636" s="1"/>
      <c r="AV636" s="1"/>
      <c r="AW636" s="1"/>
      <c r="AX636" s="1"/>
      <c r="AY636" s="1"/>
    </row>
    <row r="637" spans="1:51" ht="22.05" customHeight="1">
      <c r="A637" s="199"/>
      <c r="B637" s="1322"/>
      <c r="C637" s="1322"/>
      <c r="D637" s="1322"/>
      <c r="E637" s="1322"/>
      <c r="F637" s="1322"/>
      <c r="G637" s="1322"/>
      <c r="H637" s="1322"/>
      <c r="I637" s="1322"/>
      <c r="J637" s="1322"/>
      <c r="K637" s="1322"/>
      <c r="L637" s="1322"/>
      <c r="M637" s="1322"/>
      <c r="N637" s="200"/>
      <c r="O637" s="199"/>
      <c r="P637" s="24"/>
      <c r="Q637" s="24"/>
      <c r="R637" s="398"/>
      <c r="S637" s="398"/>
      <c r="T637" s="398"/>
      <c r="U637" s="398"/>
      <c r="V637" s="398"/>
      <c r="W637" s="398"/>
      <c r="X637" s="398"/>
      <c r="Y637" s="398"/>
      <c r="Z637" s="398"/>
      <c r="AA637" s="398"/>
      <c r="AB637" s="200"/>
      <c r="AC637" s="1"/>
      <c r="AD637" s="1"/>
      <c r="AE637" s="1"/>
      <c r="AF637" s="1"/>
      <c r="AG637" s="1"/>
      <c r="AH637" s="1"/>
      <c r="AI637" s="1"/>
      <c r="AJ637" s="1"/>
      <c r="AK637" s="1"/>
      <c r="AL637" s="1"/>
      <c r="AM637" s="1"/>
      <c r="AN637" s="1"/>
      <c r="AO637" s="1"/>
      <c r="AP637" s="1"/>
      <c r="AQ637" s="1"/>
      <c r="AR637" s="1"/>
      <c r="AS637" s="1"/>
      <c r="AT637" s="1"/>
      <c r="AU637" s="1"/>
      <c r="AV637" s="1"/>
      <c r="AW637" s="1"/>
      <c r="AX637" s="1"/>
      <c r="AY637" s="1"/>
    </row>
    <row r="638" spans="1:51" ht="22.05" customHeight="1">
      <c r="A638" s="199"/>
      <c r="B638" s="1322"/>
      <c r="C638" s="1322"/>
      <c r="D638" s="1322"/>
      <c r="E638" s="1322"/>
      <c r="F638" s="1322"/>
      <c r="G638" s="1322"/>
      <c r="H638" s="1322"/>
      <c r="I638" s="1322"/>
      <c r="J638" s="1322"/>
      <c r="K638" s="1322"/>
      <c r="L638" s="1322"/>
      <c r="M638" s="1322"/>
      <c r="N638" s="200"/>
      <c r="O638" s="199"/>
      <c r="P638" s="24"/>
      <c r="Q638" s="24"/>
      <c r="R638" s="398"/>
      <c r="S638" s="398"/>
      <c r="T638" s="398"/>
      <c r="U638" s="398"/>
      <c r="V638" s="398"/>
      <c r="W638" s="398"/>
      <c r="X638" s="398"/>
      <c r="Y638" s="398"/>
      <c r="Z638" s="398"/>
      <c r="AA638" s="398"/>
      <c r="AB638" s="200"/>
      <c r="AC638" s="1"/>
      <c r="AD638" s="1"/>
      <c r="AE638" s="1"/>
      <c r="AF638" s="1"/>
      <c r="AG638" s="1"/>
      <c r="AH638" s="1"/>
      <c r="AI638" s="1"/>
      <c r="AJ638" s="1"/>
      <c r="AK638" s="1"/>
      <c r="AL638" s="1"/>
      <c r="AM638" s="1"/>
      <c r="AN638" s="1"/>
      <c r="AO638" s="1"/>
      <c r="AP638" s="1"/>
      <c r="AQ638" s="1"/>
      <c r="AR638" s="1"/>
      <c r="AS638" s="1"/>
      <c r="AT638" s="1"/>
      <c r="AU638" s="1"/>
      <c r="AV638" s="1"/>
      <c r="AW638" s="1"/>
      <c r="AX638" s="1"/>
      <c r="AY638" s="1"/>
    </row>
    <row r="639" spans="1:51" ht="22.05" customHeight="1">
      <c r="A639" s="199"/>
      <c r="B639" s="1322"/>
      <c r="C639" s="1322"/>
      <c r="D639" s="1322"/>
      <c r="E639" s="1322"/>
      <c r="F639" s="1322"/>
      <c r="G639" s="1322"/>
      <c r="H639" s="1322"/>
      <c r="I639" s="1322"/>
      <c r="J639" s="1322"/>
      <c r="K639" s="1322"/>
      <c r="L639" s="1322"/>
      <c r="M639" s="1322"/>
      <c r="N639" s="200"/>
      <c r="O639" s="199"/>
      <c r="P639" s="24"/>
      <c r="Q639" s="24"/>
      <c r="R639" s="398"/>
      <c r="S639" s="398"/>
      <c r="T639" s="398"/>
      <c r="U639" s="398"/>
      <c r="V639" s="398"/>
      <c r="W639" s="398"/>
      <c r="X639" s="398"/>
      <c r="Y639" s="398"/>
      <c r="Z639" s="398"/>
      <c r="AA639" s="398"/>
      <c r="AB639" s="200"/>
      <c r="AC639" s="1"/>
      <c r="AD639" s="1"/>
      <c r="AE639" s="1"/>
      <c r="AF639" s="1"/>
      <c r="AG639" s="1"/>
      <c r="AH639" s="1"/>
      <c r="AI639" s="1"/>
      <c r="AJ639" s="1"/>
      <c r="AK639" s="1"/>
      <c r="AL639" s="1"/>
      <c r="AM639" s="1"/>
      <c r="AN639" s="1"/>
      <c r="AO639" s="1"/>
      <c r="AP639" s="1"/>
      <c r="AQ639" s="1"/>
      <c r="AR639" s="1"/>
      <c r="AS639" s="1"/>
      <c r="AT639" s="1"/>
      <c r="AU639" s="1"/>
      <c r="AV639" s="1"/>
      <c r="AW639" s="1"/>
      <c r="AX639" s="1"/>
      <c r="AY639" s="1"/>
    </row>
    <row r="640" spans="1:51" ht="19.95" customHeight="1">
      <c r="A640" s="199"/>
      <c r="B640" s="1322"/>
      <c r="C640" s="1322"/>
      <c r="D640" s="1322"/>
      <c r="E640" s="1322"/>
      <c r="F640" s="1322"/>
      <c r="G640" s="1322"/>
      <c r="H640" s="1322"/>
      <c r="I640" s="1322"/>
      <c r="J640" s="1322"/>
      <c r="K640" s="1322"/>
      <c r="L640" s="1322"/>
      <c r="M640" s="1322"/>
      <c r="N640" s="200"/>
      <c r="O640" s="199"/>
      <c r="P640" s="24"/>
      <c r="Q640" s="24"/>
      <c r="R640" s="398"/>
      <c r="S640" s="398"/>
      <c r="T640" s="398"/>
      <c r="U640" s="398"/>
      <c r="V640" s="398"/>
      <c r="W640" s="398"/>
      <c r="X640" s="398"/>
      <c r="Y640" s="398"/>
      <c r="Z640" s="398"/>
      <c r="AA640" s="398"/>
      <c r="AB640" s="200"/>
      <c r="AC640" s="1"/>
      <c r="AD640" s="1"/>
      <c r="AE640" s="1"/>
      <c r="AF640" s="1"/>
      <c r="AG640" s="1"/>
      <c r="AH640" s="1"/>
      <c r="AI640" s="1"/>
      <c r="AJ640" s="1"/>
      <c r="AK640" s="1"/>
      <c r="AL640" s="1"/>
      <c r="AM640" s="1"/>
      <c r="AN640" s="1"/>
      <c r="AO640" s="1"/>
      <c r="AP640" s="1"/>
      <c r="AQ640" s="1"/>
      <c r="AR640" s="1"/>
      <c r="AS640" s="1"/>
      <c r="AT640" s="1"/>
      <c r="AU640" s="1"/>
      <c r="AV640" s="1"/>
      <c r="AW640" s="1"/>
      <c r="AX640" s="1"/>
      <c r="AY640" s="1"/>
    </row>
    <row r="641" spans="1:51" ht="30" customHeight="1">
      <c r="A641" s="210" t="s">
        <v>1148</v>
      </c>
      <c r="B641" s="396" t="s">
        <v>2019</v>
      </c>
      <c r="C641" s="582"/>
      <c r="D641" s="582"/>
      <c r="E641" s="583"/>
      <c r="F641" s="584"/>
      <c r="G641" s="582"/>
      <c r="H641" s="582"/>
      <c r="I641" s="582"/>
      <c r="J641" s="373"/>
      <c r="K641" s="373"/>
      <c r="L641" s="373"/>
      <c r="M641" s="373"/>
      <c r="N641" s="211" t="s">
        <v>1149</v>
      </c>
      <c r="O641" s="372"/>
      <c r="P641" s="374"/>
      <c r="Q641" s="373"/>
      <c r="R641" s="373"/>
      <c r="S641" s="373"/>
      <c r="T641" s="373"/>
      <c r="U641" s="373"/>
      <c r="V641" s="373"/>
      <c r="W641" s="373"/>
      <c r="X641" s="373"/>
      <c r="Y641" s="373"/>
      <c r="Z641" s="373"/>
      <c r="AA641" s="373"/>
      <c r="AB641" s="211" t="s">
        <v>1149</v>
      </c>
      <c r="AC641" s="577"/>
      <c r="AD641" s="1"/>
      <c r="AE641" s="577"/>
      <c r="AF641" s="577"/>
      <c r="AG641" s="577"/>
      <c r="AH641" s="577"/>
      <c r="AI641" s="577"/>
      <c r="AJ641" s="577"/>
      <c r="AK641" s="577"/>
      <c r="AL641" s="577"/>
      <c r="AM641" s="577"/>
      <c r="AN641" s="577"/>
      <c r="AO641" s="577"/>
      <c r="AP641" s="577"/>
      <c r="AQ641" s="577"/>
      <c r="AR641" s="577"/>
      <c r="AS641" s="577"/>
      <c r="AT641" s="577"/>
      <c r="AU641" s="577"/>
      <c r="AV641" s="577"/>
      <c r="AW641" s="577"/>
      <c r="AX641" s="577"/>
      <c r="AY641" s="577"/>
    </row>
    <row r="642" spans="1:51" ht="15" customHeight="1">
      <c r="A642" s="199"/>
      <c r="B642" s="24"/>
      <c r="C642" s="24"/>
      <c r="D642" s="24"/>
      <c r="E642" s="24"/>
      <c r="F642" s="24"/>
      <c r="G642" s="24"/>
      <c r="H642" s="24"/>
      <c r="I642" s="24"/>
      <c r="J642" s="24"/>
      <c r="K642" s="24"/>
      <c r="L642" s="24"/>
      <c r="M642" s="24"/>
      <c r="N642" s="200"/>
      <c r="O642" s="199"/>
      <c r="P642" s="24"/>
      <c r="Q642" s="24"/>
      <c r="R642" s="398"/>
      <c r="S642" s="398"/>
      <c r="T642" s="398"/>
      <c r="U642" s="398"/>
      <c r="V642" s="398"/>
      <c r="W642" s="398"/>
      <c r="X642" s="398"/>
      <c r="Y642" s="398"/>
      <c r="Z642" s="398"/>
      <c r="AA642" s="398"/>
      <c r="AB642" s="200"/>
      <c r="AC642" s="1"/>
      <c r="AD642" s="1"/>
      <c r="AE642" s="1"/>
      <c r="AF642" s="1"/>
      <c r="AG642" s="1"/>
      <c r="AH642" s="1"/>
      <c r="AI642" s="1"/>
      <c r="AJ642" s="1"/>
      <c r="AK642" s="1"/>
      <c r="AL642" s="1"/>
      <c r="AM642" s="1"/>
      <c r="AN642" s="1"/>
      <c r="AO642" s="1"/>
      <c r="AP642" s="1"/>
      <c r="AQ642" s="1"/>
      <c r="AR642" s="1"/>
      <c r="AS642" s="1"/>
      <c r="AT642" s="1"/>
      <c r="AU642" s="1"/>
      <c r="AV642" s="1"/>
      <c r="AW642" s="1"/>
      <c r="AX642" s="1"/>
      <c r="AY642" s="1"/>
    </row>
    <row r="643" spans="1:51" ht="19.95" customHeight="1">
      <c r="A643" s="199"/>
      <c r="B643" s="481" t="s">
        <v>1774</v>
      </c>
      <c r="C643" s="481"/>
      <c r="D643" s="481"/>
      <c r="E643" s="481"/>
      <c r="F643" s="481"/>
      <c r="G643" s="481"/>
      <c r="H643" s="481"/>
      <c r="I643" s="481"/>
      <c r="J643" s="481"/>
      <c r="K643" s="481"/>
      <c r="L643" s="481"/>
      <c r="M643" s="481"/>
      <c r="N643" s="200"/>
      <c r="O643" s="199"/>
      <c r="P643" s="24"/>
      <c r="Q643" s="24"/>
      <c r="R643" s="398"/>
      <c r="S643" s="398"/>
      <c r="T643" s="398"/>
      <c r="U643" s="398"/>
      <c r="V643" s="398"/>
      <c r="W643" s="398"/>
      <c r="X643" s="398"/>
      <c r="Y643" s="398"/>
      <c r="Z643" s="398"/>
      <c r="AA643" s="398"/>
      <c r="AB643" s="200"/>
      <c r="AC643" s="1"/>
      <c r="AD643" s="1"/>
      <c r="AE643" s="1"/>
      <c r="AF643" s="1"/>
      <c r="AG643" s="1"/>
      <c r="AH643" s="1"/>
      <c r="AI643" s="1"/>
      <c r="AJ643" s="1"/>
      <c r="AK643" s="1"/>
      <c r="AL643" s="1"/>
      <c r="AM643" s="1"/>
      <c r="AN643" s="1"/>
      <c r="AO643" s="1"/>
      <c r="AP643" s="1"/>
      <c r="AQ643" s="1"/>
      <c r="AR643" s="1"/>
      <c r="AS643" s="1"/>
      <c r="AT643" s="1"/>
      <c r="AU643" s="1"/>
      <c r="AV643" s="1"/>
      <c r="AW643" s="1"/>
      <c r="AX643" s="1"/>
      <c r="AY643" s="1"/>
    </row>
    <row r="644" spans="1:51" ht="4.95" customHeight="1">
      <c r="A644" s="199"/>
      <c r="B644" s="24"/>
      <c r="C644" s="24"/>
      <c r="D644" s="24"/>
      <c r="E644" s="24"/>
      <c r="F644" s="24"/>
      <c r="G644" s="24"/>
      <c r="H644" s="24"/>
      <c r="I644" s="24"/>
      <c r="J644" s="24"/>
      <c r="K644" s="24"/>
      <c r="L644" s="24"/>
      <c r="M644" s="24"/>
      <c r="N644" s="200"/>
      <c r="O644" s="199"/>
      <c r="P644" s="24"/>
      <c r="Q644" s="24"/>
      <c r="R644" s="398"/>
      <c r="S644" s="398"/>
      <c r="T644" s="398"/>
      <c r="U644" s="398"/>
      <c r="V644" s="398"/>
      <c r="W644" s="398"/>
      <c r="X644" s="398"/>
      <c r="Y644" s="398"/>
      <c r="Z644" s="398"/>
      <c r="AA644" s="398"/>
      <c r="AB644" s="200"/>
      <c r="AC644" s="1"/>
      <c r="AD644" s="1"/>
      <c r="AE644" s="1"/>
      <c r="AF644" s="1"/>
      <c r="AG644" s="1"/>
      <c r="AH644" s="1"/>
      <c r="AI644" s="1"/>
      <c r="AJ644" s="1"/>
      <c r="AK644" s="1"/>
      <c r="AL644" s="1"/>
      <c r="AM644" s="1"/>
      <c r="AN644" s="1"/>
      <c r="AO644" s="1"/>
      <c r="AP644" s="1"/>
      <c r="AQ644" s="1"/>
      <c r="AR644" s="1"/>
      <c r="AS644" s="1"/>
      <c r="AT644" s="1"/>
      <c r="AU644" s="1"/>
      <c r="AV644" s="1"/>
      <c r="AW644" s="1"/>
      <c r="AX644" s="1"/>
      <c r="AY644" s="1"/>
    </row>
    <row r="645" spans="1:51" ht="34.950000000000003" customHeight="1">
      <c r="A645" s="199"/>
      <c r="B645" s="500" t="s">
        <v>1773</v>
      </c>
      <c r="C645" s="24"/>
      <c r="D645" s="24"/>
      <c r="E645" s="24"/>
      <c r="F645" s="24"/>
      <c r="G645" s="24"/>
      <c r="H645" s="24"/>
      <c r="I645" s="24"/>
      <c r="J645" s="24"/>
      <c r="K645" s="24"/>
      <c r="L645" s="24"/>
      <c r="M645" s="24"/>
      <c r="N645" s="200"/>
      <c r="O645" s="199"/>
      <c r="P645" s="24"/>
      <c r="Q645" s="24"/>
      <c r="R645" s="398"/>
      <c r="S645" s="398"/>
      <c r="T645" s="398"/>
      <c r="U645" s="398"/>
      <c r="V645" s="398"/>
      <c r="W645" s="398"/>
      <c r="X645" s="398"/>
      <c r="Y645" s="398"/>
      <c r="Z645" s="398"/>
      <c r="AA645" s="398"/>
      <c r="AB645" s="200"/>
      <c r="AC645" s="1"/>
      <c r="AD645" s="1"/>
      <c r="AE645" s="1"/>
      <c r="AF645" s="1"/>
      <c r="AG645" s="1"/>
      <c r="AH645" s="1"/>
      <c r="AI645" s="1"/>
      <c r="AJ645" s="1"/>
      <c r="AK645" s="1"/>
      <c r="AL645" s="1"/>
      <c r="AM645" s="1"/>
      <c r="AN645" s="1"/>
      <c r="AO645" s="1"/>
      <c r="AP645" s="1"/>
      <c r="AQ645" s="1"/>
      <c r="AR645" s="1"/>
      <c r="AS645" s="1"/>
      <c r="AT645" s="1"/>
      <c r="AU645" s="1"/>
      <c r="AV645" s="1"/>
      <c r="AW645" s="1"/>
      <c r="AX645" s="1"/>
      <c r="AY645" s="1"/>
    </row>
    <row r="646" spans="1:51" ht="22.95" customHeight="1">
      <c r="A646" s="199"/>
      <c r="B646" s="1277" t="s">
        <v>2029</v>
      </c>
      <c r="C646" s="1277"/>
      <c r="D646" s="1277"/>
      <c r="E646" s="1277"/>
      <c r="F646" s="1277"/>
      <c r="G646" s="1277"/>
      <c r="H646" s="1277"/>
      <c r="I646" s="1277"/>
      <c r="J646" s="1277"/>
      <c r="K646" s="1277"/>
      <c r="L646" s="1277"/>
      <c r="M646" s="1277"/>
      <c r="N646" s="200"/>
      <c r="O646" s="199"/>
      <c r="P646" s="24"/>
      <c r="Q646" s="24"/>
      <c r="R646" s="398"/>
      <c r="S646" s="398"/>
      <c r="T646" s="398"/>
      <c r="U646" s="398"/>
      <c r="V646" s="398"/>
      <c r="W646" s="398"/>
      <c r="X646" s="398"/>
      <c r="Y646" s="398"/>
      <c r="Z646" s="398"/>
      <c r="AA646" s="398"/>
      <c r="AB646" s="200"/>
      <c r="AC646" s="1"/>
      <c r="AD646" s="1"/>
      <c r="AE646" s="1"/>
      <c r="AF646" s="1"/>
      <c r="AG646" s="1"/>
      <c r="AH646" s="1"/>
      <c r="AI646" s="1"/>
      <c r="AJ646" s="1"/>
      <c r="AK646" s="1"/>
      <c r="AL646" s="1"/>
      <c r="AM646" s="1"/>
      <c r="AN646" s="1"/>
      <c r="AO646" s="1"/>
      <c r="AP646" s="1"/>
      <c r="AQ646" s="1"/>
      <c r="AR646" s="1"/>
      <c r="AS646" s="1"/>
      <c r="AT646" s="1"/>
      <c r="AU646" s="1"/>
      <c r="AV646" s="1"/>
      <c r="AW646" s="1"/>
      <c r="AX646" s="1"/>
      <c r="AY646" s="1"/>
    </row>
    <row r="647" spans="1:51" ht="22.95" customHeight="1">
      <c r="A647" s="199"/>
      <c r="B647" s="1277"/>
      <c r="C647" s="1277"/>
      <c r="D647" s="1277"/>
      <c r="E647" s="1277"/>
      <c r="F647" s="1277"/>
      <c r="G647" s="1277"/>
      <c r="H647" s="1277"/>
      <c r="I647" s="1277"/>
      <c r="J647" s="1277"/>
      <c r="K647" s="1277"/>
      <c r="L647" s="1277"/>
      <c r="M647" s="1277"/>
      <c r="N647" s="200"/>
      <c r="O647" s="199"/>
      <c r="P647" s="24"/>
      <c r="Q647" s="24"/>
      <c r="R647" s="398"/>
      <c r="S647" s="398"/>
      <c r="T647" s="398"/>
      <c r="U647" s="398"/>
      <c r="V647" s="398"/>
      <c r="W647" s="398"/>
      <c r="X647" s="398"/>
      <c r="Y647" s="398"/>
      <c r="Z647" s="398"/>
      <c r="AA647" s="398"/>
      <c r="AB647" s="200"/>
      <c r="AC647" s="1"/>
      <c r="AD647" s="1"/>
      <c r="AE647" s="1"/>
      <c r="AF647" s="1"/>
      <c r="AG647" s="1"/>
      <c r="AH647" s="1"/>
      <c r="AI647" s="1"/>
      <c r="AJ647" s="1"/>
      <c r="AK647" s="1"/>
      <c r="AL647" s="1"/>
      <c r="AM647" s="1"/>
      <c r="AN647" s="1"/>
      <c r="AO647" s="1"/>
      <c r="AP647" s="1"/>
      <c r="AQ647" s="1"/>
      <c r="AR647" s="1"/>
      <c r="AS647" s="1"/>
      <c r="AT647" s="1"/>
      <c r="AU647" s="1"/>
      <c r="AV647" s="1"/>
      <c r="AW647" s="1"/>
      <c r="AX647" s="1"/>
      <c r="AY647" s="1"/>
    </row>
    <row r="648" spans="1:51" ht="22.95" customHeight="1">
      <c r="A648" s="199"/>
      <c r="B648" s="1277"/>
      <c r="C648" s="1277"/>
      <c r="D648" s="1277"/>
      <c r="E648" s="1277"/>
      <c r="F648" s="1277"/>
      <c r="G648" s="1277"/>
      <c r="H648" s="1277"/>
      <c r="I648" s="1277"/>
      <c r="J648" s="1277"/>
      <c r="K648" s="1277"/>
      <c r="L648" s="1277"/>
      <c r="M648" s="1277"/>
      <c r="N648" s="200"/>
      <c r="O648" s="199"/>
      <c r="P648" s="24"/>
      <c r="Q648" s="24"/>
      <c r="R648" s="398"/>
      <c r="S648" s="398"/>
      <c r="T648" s="398"/>
      <c r="U648" s="398"/>
      <c r="V648" s="398"/>
      <c r="W648" s="398"/>
      <c r="X648" s="398"/>
      <c r="Y648" s="398"/>
      <c r="Z648" s="398"/>
      <c r="AA648" s="398"/>
      <c r="AB648" s="200"/>
      <c r="AC648" s="1"/>
      <c r="AD648" s="1"/>
      <c r="AE648" s="1"/>
      <c r="AF648" s="1"/>
      <c r="AG648" s="1"/>
      <c r="AH648" s="1"/>
      <c r="AI648" s="1"/>
      <c r="AJ648" s="1"/>
      <c r="AK648" s="1"/>
      <c r="AL648" s="1"/>
      <c r="AM648" s="1"/>
      <c r="AN648" s="1"/>
      <c r="AO648" s="1"/>
      <c r="AP648" s="1"/>
      <c r="AQ648" s="1"/>
      <c r="AR648" s="1"/>
      <c r="AS648" s="1"/>
      <c r="AT648" s="1"/>
      <c r="AU648" s="1"/>
      <c r="AV648" s="1"/>
      <c r="AW648" s="1"/>
      <c r="AX648" s="1"/>
      <c r="AY648" s="1"/>
    </row>
    <row r="649" spans="1:51" ht="22.95" customHeight="1">
      <c r="A649" s="199"/>
      <c r="B649" s="1277"/>
      <c r="C649" s="1277"/>
      <c r="D649" s="1277"/>
      <c r="E649" s="1277"/>
      <c r="F649" s="1277"/>
      <c r="G649" s="1277"/>
      <c r="H649" s="1277"/>
      <c r="I649" s="1277"/>
      <c r="J649" s="1277"/>
      <c r="K649" s="1277"/>
      <c r="L649" s="1277"/>
      <c r="M649" s="1277"/>
      <c r="N649" s="200"/>
      <c r="O649" s="199"/>
      <c r="P649" s="24"/>
      <c r="Q649" s="24"/>
      <c r="R649" s="398"/>
      <c r="S649" s="398"/>
      <c r="T649" s="398"/>
      <c r="U649" s="398"/>
      <c r="V649" s="398"/>
      <c r="W649" s="398"/>
      <c r="X649" s="398"/>
      <c r="Y649" s="398"/>
      <c r="Z649" s="398"/>
      <c r="AA649" s="398"/>
      <c r="AB649" s="200"/>
      <c r="AC649" s="1"/>
      <c r="AD649" s="1"/>
      <c r="AE649" s="1"/>
      <c r="AF649" s="1"/>
      <c r="AG649" s="1"/>
      <c r="AH649" s="1"/>
      <c r="AI649" s="1"/>
      <c r="AJ649" s="1"/>
      <c r="AK649" s="1"/>
      <c r="AL649" s="1"/>
      <c r="AM649" s="1"/>
      <c r="AN649" s="1"/>
      <c r="AO649" s="1"/>
      <c r="AP649" s="1"/>
      <c r="AQ649" s="1"/>
      <c r="AR649" s="1"/>
      <c r="AS649" s="1"/>
      <c r="AT649" s="1"/>
      <c r="AU649" s="1"/>
      <c r="AV649" s="1"/>
      <c r="AW649" s="1"/>
      <c r="AX649" s="1"/>
      <c r="AY649" s="1"/>
    </row>
    <row r="650" spans="1:51" ht="4.95" customHeight="1">
      <c r="A650" s="199"/>
      <c r="B650" s="24"/>
      <c r="C650" s="24"/>
      <c r="D650" s="24"/>
      <c r="E650" s="24"/>
      <c r="F650" s="24"/>
      <c r="G650" s="24"/>
      <c r="H650" s="24"/>
      <c r="I650" s="24"/>
      <c r="J650" s="24"/>
      <c r="K650" s="24"/>
      <c r="L650" s="24"/>
      <c r="M650" s="24"/>
      <c r="N650" s="200"/>
      <c r="O650" s="199"/>
      <c r="P650" s="24"/>
      <c r="Q650" s="24"/>
      <c r="R650" s="398"/>
      <c r="S650" s="398"/>
      <c r="T650" s="398"/>
      <c r="U650" s="398"/>
      <c r="V650" s="398"/>
      <c r="W650" s="398"/>
      <c r="X650" s="398"/>
      <c r="Y650" s="398"/>
      <c r="Z650" s="398"/>
      <c r="AA650" s="398"/>
      <c r="AB650" s="200"/>
      <c r="AC650" s="1"/>
      <c r="AD650" s="1"/>
      <c r="AE650" s="1"/>
      <c r="AF650" s="1"/>
      <c r="AG650" s="1"/>
      <c r="AH650" s="1"/>
      <c r="AI650" s="1"/>
      <c r="AJ650" s="1"/>
      <c r="AK650" s="1"/>
      <c r="AL650" s="1"/>
      <c r="AM650" s="1"/>
      <c r="AN650" s="1"/>
      <c r="AO650" s="1"/>
      <c r="AP650" s="1"/>
      <c r="AQ650" s="1"/>
      <c r="AR650" s="1"/>
      <c r="AS650" s="1"/>
      <c r="AT650" s="1"/>
      <c r="AU650" s="1"/>
      <c r="AV650" s="1"/>
      <c r="AW650" s="1"/>
      <c r="AX650" s="1"/>
      <c r="AY650" s="1"/>
    </row>
    <row r="651" spans="1:51" ht="19.95" customHeight="1">
      <c r="A651" s="199"/>
      <c r="B651" s="24"/>
      <c r="C651" s="24"/>
      <c r="D651" s="24"/>
      <c r="E651" s="24"/>
      <c r="F651" s="24"/>
      <c r="G651" s="24"/>
      <c r="H651" s="24"/>
      <c r="I651" s="24"/>
      <c r="J651" s="24"/>
      <c r="K651" s="24"/>
      <c r="L651" s="24"/>
      <c r="M651" s="24"/>
      <c r="N651" s="200"/>
      <c r="O651" s="199"/>
      <c r="P651" s="24"/>
      <c r="Q651" s="24"/>
      <c r="R651" s="398"/>
      <c r="S651" s="398"/>
      <c r="T651" s="398"/>
      <c r="U651" s="398"/>
      <c r="V651" s="398"/>
      <c r="W651" s="398"/>
      <c r="X651" s="398"/>
      <c r="Y651" s="398"/>
      <c r="Z651" s="398"/>
      <c r="AA651" s="398"/>
      <c r="AB651" s="200"/>
      <c r="AC651" s="1"/>
      <c r="AD651" s="1"/>
      <c r="AE651" s="1"/>
      <c r="AF651" s="1"/>
      <c r="AG651" s="1"/>
      <c r="AH651" s="1"/>
      <c r="AI651" s="1"/>
      <c r="AJ651" s="1"/>
      <c r="AK651" s="1"/>
      <c r="AL651" s="1"/>
      <c r="AM651" s="1"/>
      <c r="AN651" s="1"/>
      <c r="AO651" s="1"/>
      <c r="AP651" s="1"/>
      <c r="AQ651" s="1"/>
      <c r="AR651" s="1"/>
      <c r="AS651" s="1"/>
      <c r="AT651" s="1"/>
      <c r="AU651" s="1"/>
      <c r="AV651" s="1"/>
      <c r="AW651" s="1"/>
      <c r="AX651" s="1"/>
      <c r="AY651" s="1"/>
    </row>
    <row r="652" spans="1:51" ht="19.95" customHeight="1">
      <c r="A652" s="199"/>
      <c r="B652" s="24"/>
      <c r="C652" s="24"/>
      <c r="D652" s="24"/>
      <c r="E652" s="24"/>
      <c r="F652" s="24"/>
      <c r="G652" s="24"/>
      <c r="H652" s="24"/>
      <c r="I652" s="24"/>
      <c r="J652" s="24"/>
      <c r="K652" s="24"/>
      <c r="L652" s="24"/>
      <c r="M652" s="24"/>
      <c r="N652" s="200"/>
      <c r="O652" s="199"/>
      <c r="P652" s="24"/>
      <c r="Q652" s="24"/>
      <c r="R652" s="398"/>
      <c r="S652" s="398"/>
      <c r="T652" s="398"/>
      <c r="U652" s="398"/>
      <c r="V652" s="398"/>
      <c r="W652" s="398"/>
      <c r="X652" s="398"/>
      <c r="Y652" s="398"/>
      <c r="Z652" s="398"/>
      <c r="AA652" s="398"/>
      <c r="AB652" s="200"/>
      <c r="AC652" s="1"/>
      <c r="AD652" s="1"/>
      <c r="AE652" s="1"/>
      <c r="AF652" s="1"/>
      <c r="AG652" s="1"/>
      <c r="AH652" s="1"/>
      <c r="AI652" s="1"/>
      <c r="AJ652" s="1"/>
      <c r="AK652" s="1"/>
      <c r="AL652" s="1"/>
      <c r="AM652" s="1"/>
      <c r="AN652" s="1"/>
      <c r="AO652" s="1"/>
      <c r="AP652" s="1"/>
      <c r="AQ652" s="1"/>
      <c r="AR652" s="1"/>
      <c r="AS652" s="1"/>
      <c r="AT652" s="1"/>
      <c r="AU652" s="1"/>
      <c r="AV652" s="1"/>
      <c r="AW652" s="1"/>
      <c r="AX652" s="1"/>
      <c r="AY652" s="1"/>
    </row>
    <row r="653" spans="1:51" ht="19.95" customHeight="1">
      <c r="A653" s="199"/>
      <c r="B653" s="24"/>
      <c r="C653" s="24"/>
      <c r="D653" s="24"/>
      <c r="E653" s="24"/>
      <c r="F653" s="24"/>
      <c r="G653" s="24"/>
      <c r="H653" s="24"/>
      <c r="I653" s="24"/>
      <c r="J653" s="24"/>
      <c r="K653" s="24"/>
      <c r="L653" s="24"/>
      <c r="M653" s="24"/>
      <c r="N653" s="200"/>
      <c r="O653" s="199"/>
      <c r="P653" s="24"/>
      <c r="Q653" s="24"/>
      <c r="R653" s="398"/>
      <c r="S653" s="398"/>
      <c r="T653" s="398"/>
      <c r="U653" s="398"/>
      <c r="V653" s="398"/>
      <c r="W653" s="398"/>
      <c r="X653" s="398"/>
      <c r="Y653" s="398"/>
      <c r="Z653" s="398"/>
      <c r="AA653" s="398"/>
      <c r="AB653" s="200"/>
      <c r="AC653" s="1"/>
      <c r="AD653" s="1"/>
      <c r="AE653" s="1"/>
      <c r="AF653" s="1"/>
      <c r="AG653" s="1"/>
      <c r="AH653" s="1"/>
      <c r="AI653" s="1"/>
      <c r="AJ653" s="1"/>
      <c r="AK653" s="1"/>
      <c r="AL653" s="1"/>
      <c r="AM653" s="1"/>
      <c r="AN653" s="1"/>
      <c r="AO653" s="1"/>
      <c r="AP653" s="1"/>
      <c r="AQ653" s="1"/>
      <c r="AR653" s="1"/>
      <c r="AS653" s="1"/>
      <c r="AT653" s="1"/>
      <c r="AU653" s="1"/>
      <c r="AV653" s="1"/>
      <c r="AW653" s="1"/>
      <c r="AX653" s="1"/>
      <c r="AY653" s="1"/>
    </row>
    <row r="654" spans="1:51" ht="19.95" customHeight="1">
      <c r="A654" s="199"/>
      <c r="B654" s="24"/>
      <c r="C654" s="24"/>
      <c r="D654" s="24"/>
      <c r="E654" s="24"/>
      <c r="F654" s="24"/>
      <c r="G654" s="24"/>
      <c r="H654" s="24"/>
      <c r="I654" s="24"/>
      <c r="J654" s="24"/>
      <c r="K654" s="24"/>
      <c r="L654" s="24"/>
      <c r="M654" s="24"/>
      <c r="N654" s="200"/>
      <c r="O654" s="199"/>
      <c r="P654" s="24"/>
      <c r="Q654" s="24"/>
      <c r="R654" s="398"/>
      <c r="S654" s="398"/>
      <c r="T654" s="398"/>
      <c r="U654" s="398"/>
      <c r="V654" s="398"/>
      <c r="W654" s="398"/>
      <c r="X654" s="398"/>
      <c r="Y654" s="398"/>
      <c r="Z654" s="398"/>
      <c r="AA654" s="398"/>
      <c r="AB654" s="200"/>
      <c r="AC654" s="1"/>
      <c r="AD654" s="1"/>
      <c r="AE654" s="1"/>
      <c r="AF654" s="1"/>
      <c r="AG654" s="1"/>
      <c r="AH654" s="1"/>
      <c r="AI654" s="1"/>
      <c r="AJ654" s="1"/>
      <c r="AK654" s="1"/>
      <c r="AL654" s="1"/>
      <c r="AM654" s="1"/>
      <c r="AN654" s="1"/>
      <c r="AO654" s="1"/>
      <c r="AP654" s="1"/>
      <c r="AQ654" s="1"/>
      <c r="AR654" s="1"/>
      <c r="AS654" s="1"/>
      <c r="AT654" s="1"/>
      <c r="AU654" s="1"/>
      <c r="AV654" s="1"/>
      <c r="AW654" s="1"/>
      <c r="AX654" s="1"/>
      <c r="AY654" s="1"/>
    </row>
    <row r="655" spans="1:51" ht="19.95" customHeight="1">
      <c r="A655" s="199"/>
      <c r="B655" s="24"/>
      <c r="C655" s="24"/>
      <c r="D655" s="24"/>
      <c r="E655" s="24"/>
      <c r="F655" s="24"/>
      <c r="G655" s="24"/>
      <c r="H655" s="24"/>
      <c r="I655" s="24"/>
      <c r="J655" s="24"/>
      <c r="K655" s="24"/>
      <c r="L655" s="24"/>
      <c r="M655" s="24"/>
      <c r="N655" s="200"/>
      <c r="O655" s="199"/>
      <c r="P655" s="24"/>
      <c r="Q655" s="24"/>
      <c r="R655" s="398"/>
      <c r="S655" s="398"/>
      <c r="T655" s="398"/>
      <c r="U655" s="398"/>
      <c r="V655" s="398"/>
      <c r="W655" s="398"/>
      <c r="X655" s="398"/>
      <c r="Y655" s="398"/>
      <c r="Z655" s="398"/>
      <c r="AA655" s="398"/>
      <c r="AB655" s="200"/>
      <c r="AC655" s="1"/>
      <c r="AD655" s="1"/>
      <c r="AE655" s="1"/>
      <c r="AF655" s="1"/>
      <c r="AG655" s="1"/>
      <c r="AH655" s="1"/>
      <c r="AI655" s="1"/>
      <c r="AJ655" s="1"/>
      <c r="AK655" s="1"/>
      <c r="AL655" s="1"/>
      <c r="AM655" s="1"/>
      <c r="AN655" s="1"/>
      <c r="AO655" s="1"/>
      <c r="AP655" s="1"/>
      <c r="AQ655" s="1"/>
      <c r="AR655" s="1"/>
      <c r="AS655" s="1"/>
      <c r="AT655" s="1"/>
      <c r="AU655" s="1"/>
      <c r="AV655" s="1"/>
      <c r="AW655" s="1"/>
      <c r="AX655" s="1"/>
      <c r="AY655" s="1"/>
    </row>
    <row r="656" spans="1:51" ht="19.95" customHeight="1">
      <c r="A656" s="199"/>
      <c r="B656" s="24"/>
      <c r="C656" s="24"/>
      <c r="D656" s="24"/>
      <c r="E656" s="24"/>
      <c r="F656" s="24"/>
      <c r="G656" s="24"/>
      <c r="H656" s="24"/>
      <c r="I656" s="24"/>
      <c r="J656" s="24"/>
      <c r="K656" s="24"/>
      <c r="L656" s="24"/>
      <c r="M656" s="24"/>
      <c r="N656" s="200"/>
      <c r="O656" s="199"/>
      <c r="P656" s="24"/>
      <c r="Q656" s="24"/>
      <c r="R656" s="398"/>
      <c r="S656" s="398"/>
      <c r="T656" s="398"/>
      <c r="U656" s="398"/>
      <c r="V656" s="398"/>
      <c r="W656" s="398"/>
      <c r="X656" s="398"/>
      <c r="Y656" s="398"/>
      <c r="Z656" s="398"/>
      <c r="AA656" s="398"/>
      <c r="AB656" s="200"/>
      <c r="AC656" s="1"/>
      <c r="AD656" s="1"/>
      <c r="AE656" s="1"/>
      <c r="AF656" s="1"/>
      <c r="AG656" s="1"/>
      <c r="AH656" s="1"/>
      <c r="AI656" s="1"/>
      <c r="AJ656" s="1"/>
      <c r="AK656" s="1"/>
      <c r="AL656" s="1"/>
      <c r="AM656" s="1"/>
      <c r="AN656" s="1"/>
      <c r="AO656" s="1"/>
      <c r="AP656" s="1"/>
      <c r="AQ656" s="1"/>
      <c r="AR656" s="1"/>
      <c r="AS656" s="1"/>
      <c r="AT656" s="1"/>
      <c r="AU656" s="1"/>
      <c r="AV656" s="1"/>
      <c r="AW656" s="1"/>
      <c r="AX656" s="1"/>
      <c r="AY656" s="1"/>
    </row>
    <row r="657" spans="1:60" ht="4.95" customHeight="1">
      <c r="A657" s="199"/>
      <c r="B657" s="24"/>
      <c r="C657" s="24"/>
      <c r="D657" s="24"/>
      <c r="E657" s="24"/>
      <c r="F657" s="24"/>
      <c r="G657" s="24"/>
      <c r="H657" s="24"/>
      <c r="I657" s="24"/>
      <c r="J657" s="24"/>
      <c r="K657" s="24"/>
      <c r="L657" s="24"/>
      <c r="M657" s="24"/>
      <c r="N657" s="200"/>
      <c r="O657" s="199"/>
      <c r="P657" s="24"/>
      <c r="Q657" s="24"/>
      <c r="R657" s="398"/>
      <c r="S657" s="398"/>
      <c r="T657" s="398"/>
      <c r="U657" s="398"/>
      <c r="V657" s="398"/>
      <c r="W657" s="398"/>
      <c r="X657" s="398"/>
      <c r="Y657" s="398"/>
      <c r="Z657" s="398"/>
      <c r="AA657" s="398"/>
      <c r="AB657" s="200"/>
      <c r="AC657" s="1"/>
      <c r="AD657" s="1"/>
      <c r="AE657" s="1"/>
      <c r="AF657" s="1"/>
      <c r="AG657" s="1"/>
      <c r="AH657" s="1"/>
      <c r="AI657" s="1"/>
      <c r="AJ657" s="1"/>
      <c r="AK657" s="1"/>
      <c r="AL657" s="1"/>
      <c r="AM657" s="1"/>
      <c r="AN657" s="1"/>
      <c r="AO657" s="1"/>
      <c r="AP657" s="1"/>
      <c r="AQ657" s="1"/>
      <c r="AR657" s="1"/>
      <c r="AS657" s="1"/>
      <c r="AT657" s="1"/>
      <c r="AU657" s="1"/>
      <c r="AV657" s="1"/>
      <c r="AW657" s="1"/>
      <c r="AX657" s="1"/>
      <c r="AY657" s="1"/>
    </row>
    <row r="658" spans="1:60" ht="19.95" customHeight="1">
      <c r="A658" s="199"/>
      <c r="B658" s="1277" t="s">
        <v>1775</v>
      </c>
      <c r="C658" s="1277"/>
      <c r="D658" s="1277"/>
      <c r="E658" s="1277"/>
      <c r="F658" s="1277"/>
      <c r="G658" s="1277"/>
      <c r="H658" s="24"/>
      <c r="I658" s="24"/>
      <c r="J658" s="24"/>
      <c r="K658" s="24"/>
      <c r="L658" s="24" t="s">
        <v>1754</v>
      </c>
      <c r="M658" s="24"/>
      <c r="N658" s="200"/>
      <c r="O658" s="199"/>
      <c r="P658" s="24"/>
      <c r="Q658" s="24"/>
      <c r="R658" s="398"/>
      <c r="S658" s="398"/>
      <c r="T658" s="398"/>
      <c r="U658" s="398"/>
      <c r="V658" s="398"/>
      <c r="W658" s="398"/>
      <c r="X658" s="398"/>
      <c r="Y658" s="398"/>
      <c r="Z658" s="398"/>
      <c r="AA658" s="398"/>
      <c r="AB658" s="200"/>
      <c r="AC658" s="1"/>
      <c r="AD658" s="1"/>
      <c r="AE658" s="1"/>
      <c r="AF658" s="1"/>
      <c r="AG658" s="1"/>
      <c r="AH658" s="1"/>
      <c r="AI658" s="1"/>
      <c r="AJ658" s="1"/>
      <c r="AK658" s="1"/>
      <c r="AL658" s="1"/>
      <c r="AM658" s="1"/>
      <c r="AN658" s="1"/>
      <c r="AO658" s="1"/>
      <c r="AP658" s="1"/>
      <c r="AQ658" s="1"/>
      <c r="AR658" s="1"/>
      <c r="AS658" s="1"/>
      <c r="AT658" s="1"/>
      <c r="AU658" s="1"/>
      <c r="AV658" s="1"/>
      <c r="AW658" s="1"/>
      <c r="AX658" s="1"/>
      <c r="AY658" s="1"/>
      <c r="BH658" s="569" t="str">
        <f>L658</f>
        <v>generalize to relieve</v>
      </c>
    </row>
    <row r="659" spans="1:60" ht="19.95" customHeight="1">
      <c r="A659" s="199"/>
      <c r="B659" s="1277"/>
      <c r="C659" s="1277"/>
      <c r="D659" s="1277"/>
      <c r="E659" s="1277"/>
      <c r="F659" s="1277"/>
      <c r="G659" s="1277"/>
      <c r="H659" s="24"/>
      <c r="I659" s="24"/>
      <c r="J659" s="24"/>
      <c r="K659" s="1298" t="str">
        <f>BH659</f>
        <v>full inclusion</v>
      </c>
      <c r="L659" s="1298"/>
      <c r="M659" s="1298"/>
      <c r="N659" s="200"/>
      <c r="O659" s="199"/>
      <c r="P659" s="24"/>
      <c r="Q659" s="24"/>
      <c r="R659" s="398"/>
      <c r="S659" s="398"/>
      <c r="T659" s="398"/>
      <c r="U659" s="398"/>
      <c r="V659" s="398"/>
      <c r="W659" s="398"/>
      <c r="X659" s="398"/>
      <c r="Y659" s="398"/>
      <c r="Z659" s="398"/>
      <c r="AA659" s="398"/>
      <c r="AB659" s="200"/>
      <c r="AC659" s="1"/>
      <c r="AD659" s="1"/>
      <c r="AE659" s="1"/>
      <c r="AF659" s="1"/>
      <c r="AG659" s="1"/>
      <c r="AH659" s="1"/>
      <c r="AI659" s="1"/>
      <c r="AJ659" s="1"/>
      <c r="AK659" s="1"/>
      <c r="AL659" s="1"/>
      <c r="AM659" s="1"/>
      <c r="AN659" s="1"/>
      <c r="AO659" s="1"/>
      <c r="AP659" s="1"/>
      <c r="AQ659" s="1"/>
      <c r="AR659" s="1"/>
      <c r="AS659" s="1"/>
      <c r="AT659" s="1"/>
      <c r="AU659" s="1"/>
      <c r="AV659" s="1"/>
      <c r="AW659" s="1"/>
      <c r="AX659" s="1"/>
      <c r="AY659" s="1"/>
      <c r="BH659" s="568" t="str">
        <f>BG$1122</f>
        <v>full inclusion</v>
      </c>
    </row>
    <row r="660" spans="1:60" ht="19.95" customHeight="1">
      <c r="A660" s="199"/>
      <c r="B660" s="1277"/>
      <c r="C660" s="1277"/>
      <c r="D660" s="1277"/>
      <c r="E660" s="1277"/>
      <c r="F660" s="1277"/>
      <c r="G660" s="1277"/>
      <c r="H660" s="24" t="s">
        <v>1755</v>
      </c>
      <c r="I660" s="24"/>
      <c r="J660" s="24"/>
      <c r="K660" s="24"/>
      <c r="L660" s="24"/>
      <c r="M660" s="24"/>
      <c r="N660" s="200"/>
      <c r="O660" s="199"/>
      <c r="P660" s="24"/>
      <c r="Q660" s="24"/>
      <c r="R660" s="398"/>
      <c r="S660" s="398"/>
      <c r="T660" s="398"/>
      <c r="U660" s="398"/>
      <c r="V660" s="398"/>
      <c r="W660" s="398"/>
      <c r="X660" s="398"/>
      <c r="Y660" s="398"/>
      <c r="Z660" s="398"/>
      <c r="AA660" s="398"/>
      <c r="AB660" s="200"/>
      <c r="AC660" s="1"/>
      <c r="AD660" s="1"/>
      <c r="AE660" s="1"/>
      <c r="AF660" s="1"/>
      <c r="AG660" s="1"/>
      <c r="AH660" s="1"/>
      <c r="AI660" s="1"/>
      <c r="AJ660" s="1"/>
      <c r="AK660" s="1"/>
      <c r="AL660" s="1"/>
      <c r="AM660" s="1"/>
      <c r="AN660" s="1"/>
      <c r="AO660" s="1"/>
      <c r="AP660" s="1"/>
      <c r="AQ660" s="1"/>
      <c r="AR660" s="1"/>
      <c r="AS660" s="1"/>
      <c r="AT660" s="1"/>
      <c r="AU660" s="1"/>
      <c r="AV660" s="1"/>
      <c r="AW660" s="1"/>
      <c r="AX660" s="1"/>
      <c r="AY660" s="1"/>
      <c r="BH660" s="569" t="str">
        <f>H660</f>
        <v>guard more resolved</v>
      </c>
    </row>
    <row r="661" spans="1:60" ht="19.95" customHeight="1">
      <c r="A661" s="199"/>
      <c r="B661" s="1277"/>
      <c r="C661" s="1277"/>
      <c r="D661" s="1277"/>
      <c r="E661" s="1277"/>
      <c r="F661" s="1277"/>
      <c r="G661" s="1277"/>
      <c r="H661" s="1309" t="str">
        <f>BH661</f>
        <v>self-determination</v>
      </c>
      <c r="I661" s="1309"/>
      <c r="J661" s="1309"/>
      <c r="K661" s="24"/>
      <c r="L661" s="24"/>
      <c r="M661" s="24"/>
      <c r="N661" s="200"/>
      <c r="O661" s="199"/>
      <c r="P661" s="24"/>
      <c r="Q661" s="24"/>
      <c r="R661" s="398"/>
      <c r="S661" s="398"/>
      <c r="T661" s="398"/>
      <c r="U661" s="398"/>
      <c r="V661" s="398"/>
      <c r="W661" s="398"/>
      <c r="X661" s="398"/>
      <c r="Y661" s="398"/>
      <c r="Z661" s="398"/>
      <c r="AA661" s="398"/>
      <c r="AB661" s="200"/>
      <c r="AC661" s="1"/>
      <c r="AD661" s="1"/>
      <c r="AE661" s="1"/>
      <c r="AF661" s="1"/>
      <c r="AG661" s="1"/>
      <c r="AH661" s="1"/>
      <c r="AI661" s="1"/>
      <c r="AJ661" s="1"/>
      <c r="AK661" s="1"/>
      <c r="AL661" s="1"/>
      <c r="AM661" s="1"/>
      <c r="AN661" s="1"/>
      <c r="AO661" s="1"/>
      <c r="AP661" s="1"/>
      <c r="AQ661" s="1"/>
      <c r="AR661" s="1"/>
      <c r="AS661" s="1"/>
      <c r="AT661" s="1"/>
      <c r="AU661" s="1"/>
      <c r="AV661" s="1"/>
      <c r="AW661" s="1"/>
      <c r="AX661" s="1"/>
      <c r="AY661" s="1"/>
      <c r="BH661" s="568" t="str">
        <f>BI$1122</f>
        <v>self-determination</v>
      </c>
    </row>
    <row r="662" spans="1:60" ht="19.95" customHeight="1">
      <c r="A662" s="199"/>
      <c r="B662" s="1277"/>
      <c r="C662" s="1277"/>
      <c r="D662" s="1277"/>
      <c r="E662" s="1277"/>
      <c r="F662" s="1277"/>
      <c r="G662" s="1277"/>
      <c r="H662" s="24"/>
      <c r="I662" s="24"/>
      <c r="J662" s="24"/>
      <c r="K662" s="24"/>
      <c r="L662" s="24"/>
      <c r="M662" s="24"/>
      <c r="N662" s="200"/>
      <c r="O662" s="199"/>
      <c r="P662" s="24"/>
      <c r="Q662" s="24"/>
      <c r="R662" s="398"/>
      <c r="S662" s="398"/>
      <c r="T662" s="398"/>
      <c r="U662" s="398"/>
      <c r="V662" s="398"/>
      <c r="W662" s="398"/>
      <c r="X662" s="398"/>
      <c r="Y662" s="398"/>
      <c r="Z662" s="398"/>
      <c r="AA662" s="398"/>
      <c r="AB662" s="200"/>
      <c r="AC662" s="1"/>
      <c r="AD662" s="1"/>
      <c r="AE662" s="1"/>
      <c r="AF662" s="1"/>
      <c r="AG662" s="1"/>
      <c r="AH662" s="1"/>
      <c r="AI662" s="1"/>
      <c r="AJ662" s="1"/>
      <c r="AK662" s="1"/>
      <c r="AL662" s="1"/>
      <c r="AM662" s="1"/>
      <c r="AN662" s="1"/>
      <c r="AO662" s="1"/>
      <c r="AP662" s="1"/>
      <c r="AQ662" s="1"/>
      <c r="AR662" s="1"/>
      <c r="AS662" s="1"/>
      <c r="AT662" s="1"/>
      <c r="AU662" s="1"/>
      <c r="AV662" s="1"/>
      <c r="AW662" s="1"/>
      <c r="AX662" s="1"/>
      <c r="AY662" s="1"/>
      <c r="BH662" s="569" t="str">
        <f>H664</f>
        <v>generalize to relieve</v>
      </c>
    </row>
    <row r="663" spans="1:60" ht="19.95" customHeight="1">
      <c r="A663" s="199"/>
      <c r="B663" s="1277"/>
      <c r="C663" s="1277"/>
      <c r="D663" s="1277"/>
      <c r="E663" s="1277"/>
      <c r="F663" s="1277"/>
      <c r="G663" s="1277"/>
      <c r="H663" s="24"/>
      <c r="I663" s="24"/>
      <c r="J663" s="24"/>
      <c r="K663" s="24"/>
      <c r="L663" s="24"/>
      <c r="M663" s="24"/>
      <c r="N663" s="200"/>
      <c r="O663" s="199"/>
      <c r="P663" s="24"/>
      <c r="Q663" s="24"/>
      <c r="R663" s="398"/>
      <c r="S663" s="398"/>
      <c r="T663" s="398"/>
      <c r="U663" s="398"/>
      <c r="V663" s="398"/>
      <c r="W663" s="398"/>
      <c r="X663" s="398"/>
      <c r="Y663" s="398"/>
      <c r="Z663" s="398"/>
      <c r="AA663" s="398"/>
      <c r="AB663" s="200"/>
      <c r="AC663" s="1"/>
      <c r="AD663" s="1"/>
      <c r="AE663" s="1"/>
      <c r="AF663" s="1"/>
      <c r="AG663" s="1"/>
      <c r="AH663" s="1"/>
      <c r="AI663" s="1"/>
      <c r="AJ663" s="1"/>
      <c r="AK663" s="1"/>
      <c r="AL663" s="1"/>
      <c r="AM663" s="1"/>
      <c r="AN663" s="1"/>
      <c r="AO663" s="1"/>
      <c r="AP663" s="1"/>
      <c r="AQ663" s="1"/>
      <c r="AR663" s="1"/>
      <c r="AS663" s="1"/>
      <c r="AT663" s="1"/>
      <c r="AU663" s="1"/>
      <c r="AV663" s="1"/>
      <c r="AW663" s="1"/>
      <c r="AX663" s="1"/>
      <c r="AY663" s="1"/>
      <c r="BH663" s="568" t="str">
        <f>BH$1122</f>
        <v>self-protection</v>
      </c>
    </row>
    <row r="664" spans="1:60" ht="19.95" customHeight="1">
      <c r="A664" s="199"/>
      <c r="B664" s="1277"/>
      <c r="C664" s="1277"/>
      <c r="D664" s="1277"/>
      <c r="E664" s="1277"/>
      <c r="F664" s="1277"/>
      <c r="G664" s="1277"/>
      <c r="H664" s="24" t="s">
        <v>1754</v>
      </c>
      <c r="I664" s="24"/>
      <c r="J664" s="24"/>
      <c r="K664" s="24"/>
      <c r="L664" s="24"/>
      <c r="M664" s="24"/>
      <c r="N664" s="200"/>
      <c r="O664" s="199"/>
      <c r="P664" s="24"/>
      <c r="Q664" s="24"/>
      <c r="R664" s="398"/>
      <c r="S664" s="398"/>
      <c r="T664" s="398"/>
      <c r="U664" s="398"/>
      <c r="V664" s="398"/>
      <c r="W664" s="398"/>
      <c r="X664" s="398"/>
      <c r="Y664" s="398"/>
      <c r="Z664" s="398"/>
      <c r="AA664" s="398"/>
      <c r="AB664" s="200"/>
      <c r="AC664" s="1"/>
      <c r="AD664" s="1"/>
      <c r="AE664" s="1"/>
      <c r="AF664" s="1"/>
      <c r="AG664" s="1"/>
      <c r="AH664" s="1"/>
      <c r="AI664" s="1"/>
      <c r="AJ664" s="1"/>
      <c r="AK664" s="1"/>
      <c r="AL664" s="1"/>
      <c r="AM664" s="1"/>
      <c r="AN664" s="1"/>
      <c r="AO664" s="1"/>
      <c r="AP664" s="1"/>
      <c r="AQ664" s="1"/>
      <c r="AR664" s="1"/>
      <c r="AS664" s="1"/>
      <c r="AT664" s="1"/>
      <c r="AU664" s="1"/>
      <c r="AV664" s="1"/>
      <c r="AW664" s="1"/>
      <c r="AX664" s="1"/>
      <c r="AY664" s="1"/>
      <c r="BH664" s="569" t="str">
        <f>L666</f>
        <v>guard more resolved</v>
      </c>
    </row>
    <row r="665" spans="1:60" ht="19.95" customHeight="1">
      <c r="A665" s="199"/>
      <c r="B665" s="1277"/>
      <c r="C665" s="1277"/>
      <c r="D665" s="1277"/>
      <c r="E665" s="1277"/>
      <c r="F665" s="1277"/>
      <c r="G665" s="1277"/>
      <c r="H665" s="1309" t="str">
        <f>BH663</f>
        <v>self-protection</v>
      </c>
      <c r="I665" s="1309"/>
      <c r="J665" s="1309"/>
      <c r="K665" s="24"/>
      <c r="L665" s="24"/>
      <c r="M665" s="24"/>
      <c r="N665" s="200"/>
      <c r="O665" s="199"/>
      <c r="P665" s="24"/>
      <c r="Q665" s="24"/>
      <c r="R665" s="398"/>
      <c r="S665" s="398"/>
      <c r="T665" s="398"/>
      <c r="U665" s="398"/>
      <c r="V665" s="398"/>
      <c r="W665" s="398"/>
      <c r="X665" s="398"/>
      <c r="Y665" s="398"/>
      <c r="Z665" s="398"/>
      <c r="AA665" s="398"/>
      <c r="AB665" s="200"/>
      <c r="AC665" s="1"/>
      <c r="AD665" s="1"/>
      <c r="AE665" s="1"/>
      <c r="AF665" s="1"/>
      <c r="AG665" s="1"/>
      <c r="AH665" s="1"/>
      <c r="AI665" s="1"/>
      <c r="AJ665" s="1"/>
      <c r="AK665" s="1"/>
      <c r="AL665" s="1"/>
      <c r="AM665" s="1"/>
      <c r="AN665" s="1"/>
      <c r="AO665" s="1"/>
      <c r="AP665" s="1"/>
      <c r="AQ665" s="1"/>
      <c r="AR665" s="1"/>
      <c r="AS665" s="1"/>
      <c r="AT665" s="1"/>
      <c r="AU665" s="1"/>
      <c r="AV665" s="1"/>
      <c r="AW665" s="1"/>
      <c r="AX665" s="1"/>
      <c r="AY665" s="1"/>
      <c r="BH665" s="568" t="str">
        <f>BJ$1122</f>
        <v>local cohesion</v>
      </c>
    </row>
    <row r="666" spans="1:60" ht="19.95" customHeight="1">
      <c r="A666" s="199"/>
      <c r="B666" s="1277"/>
      <c r="C666" s="1277"/>
      <c r="D666" s="1277"/>
      <c r="E666" s="1277"/>
      <c r="F666" s="1277"/>
      <c r="G666" s="1277"/>
      <c r="H666" s="24"/>
      <c r="I666" s="24"/>
      <c r="J666" s="24"/>
      <c r="K666" s="24"/>
      <c r="L666" s="24" t="s">
        <v>1755</v>
      </c>
      <c r="M666" s="24"/>
      <c r="N666" s="200"/>
      <c r="O666" s="199"/>
      <c r="P666" s="24"/>
      <c r="Q666" s="24"/>
      <c r="R666" s="398"/>
      <c r="S666" s="398"/>
      <c r="T666" s="398"/>
      <c r="U666" s="398"/>
      <c r="V666" s="398"/>
      <c r="W666" s="398"/>
      <c r="X666" s="398"/>
      <c r="Y666" s="398"/>
      <c r="Z666" s="398"/>
      <c r="AA666" s="398"/>
      <c r="AB666" s="200"/>
      <c r="AC666" s="1"/>
      <c r="AD666" s="1"/>
      <c r="AE666" s="1"/>
      <c r="AF666" s="1"/>
      <c r="AG666" s="1"/>
      <c r="AH666" s="1"/>
      <c r="AI666" s="1"/>
      <c r="AJ666" s="1"/>
      <c r="AK666" s="1"/>
      <c r="AL666" s="1"/>
      <c r="AM666" s="1"/>
      <c r="AN666" s="1"/>
      <c r="AO666" s="1"/>
      <c r="AP666" s="1"/>
      <c r="AQ666" s="1"/>
      <c r="AR666" s="1"/>
      <c r="AS666" s="1"/>
      <c r="AT666" s="1"/>
      <c r="AU666" s="1"/>
      <c r="AV666" s="1"/>
      <c r="AW666" s="1"/>
      <c r="AX666" s="1"/>
      <c r="AY666" s="1"/>
    </row>
    <row r="667" spans="1:60" ht="19.95" customHeight="1">
      <c r="A667" s="199"/>
      <c r="B667" s="1277"/>
      <c r="C667" s="1277"/>
      <c r="D667" s="1277"/>
      <c r="E667" s="1277"/>
      <c r="F667" s="1277"/>
      <c r="G667" s="1277"/>
      <c r="H667" s="24"/>
      <c r="I667" s="24"/>
      <c r="J667" s="24"/>
      <c r="K667" s="1298" t="str">
        <f>BH665</f>
        <v>local cohesion</v>
      </c>
      <c r="L667" s="1298"/>
      <c r="M667" s="1298"/>
      <c r="N667" s="200"/>
      <c r="O667" s="199"/>
      <c r="P667" s="24"/>
      <c r="Q667" s="24"/>
      <c r="R667" s="398"/>
      <c r="S667" s="398"/>
      <c r="T667" s="398"/>
      <c r="U667" s="398"/>
      <c r="V667" s="398"/>
      <c r="W667" s="398"/>
      <c r="X667" s="398"/>
      <c r="Y667" s="398"/>
      <c r="Z667" s="398"/>
      <c r="AA667" s="398"/>
      <c r="AB667" s="200"/>
      <c r="AC667" s="1"/>
      <c r="AD667" s="1"/>
      <c r="AE667" s="1"/>
      <c r="AF667" s="1"/>
      <c r="AG667" s="1"/>
      <c r="AH667" s="1"/>
      <c r="AI667" s="1"/>
      <c r="AJ667" s="1"/>
      <c r="AK667" s="1"/>
      <c r="AL667" s="1"/>
      <c r="AM667" s="1"/>
      <c r="AN667" s="1"/>
      <c r="AO667" s="1"/>
      <c r="AP667" s="1"/>
      <c r="AQ667" s="1"/>
      <c r="AR667" s="1"/>
      <c r="AS667" s="1"/>
      <c r="AT667" s="1"/>
      <c r="AU667" s="1"/>
      <c r="AV667" s="1"/>
      <c r="AW667" s="1"/>
      <c r="AX667" s="1"/>
      <c r="AY667" s="1"/>
    </row>
    <row r="668" spans="1:60" ht="19.95" customHeight="1">
      <c r="A668" s="199"/>
      <c r="B668" s="1277"/>
      <c r="C668" s="1277"/>
      <c r="D668" s="1277"/>
      <c r="E668" s="1277"/>
      <c r="F668" s="1277"/>
      <c r="G668" s="1277"/>
      <c r="H668" s="24"/>
      <c r="I668" s="24"/>
      <c r="J668" s="24"/>
      <c r="K668" s="24"/>
      <c r="L668" s="24"/>
      <c r="M668" s="24"/>
      <c r="N668" s="200"/>
      <c r="O668" s="199"/>
      <c r="P668" s="24"/>
      <c r="Q668" s="24"/>
      <c r="R668" s="398"/>
      <c r="S668" s="398"/>
      <c r="T668" s="398"/>
      <c r="U668" s="398"/>
      <c r="V668" s="398"/>
      <c r="W668" s="398"/>
      <c r="X668" s="398"/>
      <c r="Y668" s="398"/>
      <c r="Z668" s="398"/>
      <c r="AA668" s="398"/>
      <c r="AB668" s="200"/>
      <c r="AC668" s="1"/>
      <c r="AD668" s="1"/>
      <c r="AE668" s="1"/>
      <c r="AF668" s="1"/>
      <c r="AG668" s="1"/>
      <c r="AH668" s="1"/>
      <c r="AI668" s="1"/>
      <c r="AJ668" s="1"/>
      <c r="AK668" s="1"/>
      <c r="AL668" s="1"/>
      <c r="AM668" s="1"/>
      <c r="AN668" s="1"/>
      <c r="AO668" s="1"/>
      <c r="AP668" s="1"/>
      <c r="AQ668" s="1"/>
      <c r="AR668" s="1"/>
      <c r="AS668" s="1"/>
      <c r="AT668" s="1"/>
      <c r="AU668" s="1"/>
      <c r="AV668" s="1"/>
      <c r="AW668" s="1"/>
      <c r="AX668" s="1"/>
      <c r="AY668" s="1"/>
    </row>
    <row r="669" spans="1:60" ht="19.95" customHeight="1">
      <c r="A669" s="199"/>
      <c r="B669" s="1277"/>
      <c r="C669" s="1277"/>
      <c r="D669" s="1277"/>
      <c r="E669" s="1277"/>
      <c r="F669" s="1277"/>
      <c r="G669" s="1277"/>
      <c r="H669" s="24"/>
      <c r="I669" s="24"/>
      <c r="J669" s="24"/>
      <c r="K669" s="24"/>
      <c r="L669" s="24"/>
      <c r="M669" s="24"/>
      <c r="N669" s="200"/>
      <c r="O669" s="199"/>
      <c r="P669" s="24"/>
      <c r="Q669" s="24"/>
      <c r="R669" s="398"/>
      <c r="S669" s="398"/>
      <c r="T669" s="398"/>
      <c r="U669" s="398"/>
      <c r="V669" s="398"/>
      <c r="W669" s="398"/>
      <c r="X669" s="398"/>
      <c r="Y669" s="398"/>
      <c r="Z669" s="398"/>
      <c r="AA669" s="398"/>
      <c r="AB669" s="200"/>
      <c r="AC669" s="1"/>
      <c r="AD669" s="1"/>
      <c r="AE669" s="1"/>
      <c r="AF669" s="1"/>
      <c r="AG669" s="1"/>
      <c r="AH669" s="1"/>
      <c r="AI669" s="1"/>
      <c r="AJ669" s="1"/>
      <c r="AK669" s="1"/>
      <c r="AL669" s="1"/>
      <c r="AM669" s="1"/>
      <c r="AN669" s="1"/>
      <c r="AO669" s="1"/>
      <c r="AP669" s="1"/>
      <c r="AQ669" s="1"/>
      <c r="AR669" s="1"/>
      <c r="AS669" s="1"/>
      <c r="AT669" s="1"/>
      <c r="AU669" s="1"/>
      <c r="AV669" s="1"/>
      <c r="AW669" s="1"/>
      <c r="AX669" s="1"/>
      <c r="AY669" s="1"/>
    </row>
    <row r="670" spans="1:60" ht="19.95" customHeight="1">
      <c r="A670" s="199"/>
      <c r="B670" s="1277"/>
      <c r="C670" s="1277"/>
      <c r="D670" s="1277"/>
      <c r="E670" s="1277"/>
      <c r="F670" s="1277"/>
      <c r="G670" s="1277"/>
      <c r="H670" s="24"/>
      <c r="I670" s="24"/>
      <c r="J670" s="24"/>
      <c r="K670" s="24"/>
      <c r="L670" s="24"/>
      <c r="M670" s="24"/>
      <c r="N670" s="200"/>
      <c r="O670" s="199"/>
      <c r="P670" s="24"/>
      <c r="Q670" s="24"/>
      <c r="R670" s="398"/>
      <c r="S670" s="398"/>
      <c r="T670" s="398"/>
      <c r="U670" s="398"/>
      <c r="V670" s="398"/>
      <c r="W670" s="398"/>
      <c r="X670" s="398"/>
      <c r="Y670" s="398"/>
      <c r="Z670" s="398"/>
      <c r="AA670" s="398"/>
      <c r="AB670" s="200"/>
      <c r="AC670" s="1"/>
      <c r="AD670" s="1"/>
      <c r="AE670" s="1"/>
      <c r="AF670" s="1"/>
      <c r="AG670" s="1"/>
      <c r="AH670" s="1"/>
      <c r="AI670" s="1"/>
      <c r="AJ670" s="1"/>
      <c r="AK670" s="1"/>
      <c r="AL670" s="1"/>
      <c r="AM670" s="1"/>
      <c r="AN670" s="1"/>
      <c r="AO670" s="1"/>
      <c r="AP670" s="1"/>
      <c r="AQ670" s="1"/>
      <c r="AR670" s="1"/>
      <c r="AS670" s="1"/>
      <c r="AT670" s="1"/>
      <c r="AU670" s="1"/>
      <c r="AV670" s="1"/>
      <c r="AW670" s="1"/>
      <c r="AX670" s="1"/>
      <c r="AY670" s="1"/>
    </row>
    <row r="671" spans="1:60" ht="4.95" customHeight="1">
      <c r="A671" s="199"/>
      <c r="B671" s="390"/>
      <c r="C671" s="390"/>
      <c r="D671" s="390"/>
      <c r="E671" s="390"/>
      <c r="F671" s="390"/>
      <c r="G671" s="390"/>
      <c r="H671" s="24"/>
      <c r="I671" s="24"/>
      <c r="J671" s="24"/>
      <c r="K671" s="24"/>
      <c r="L671" s="24"/>
      <c r="M671" s="24"/>
      <c r="N671" s="200"/>
      <c r="O671" s="199"/>
      <c r="P671" s="24"/>
      <c r="Q671" s="24"/>
      <c r="R671" s="398"/>
      <c r="S671" s="398"/>
      <c r="T671" s="398"/>
      <c r="U671" s="398"/>
      <c r="V671" s="398"/>
      <c r="W671" s="398"/>
      <c r="X671" s="398"/>
      <c r="Y671" s="398"/>
      <c r="Z671" s="398"/>
      <c r="AA671" s="398"/>
      <c r="AB671" s="200"/>
      <c r="AC671" s="1"/>
      <c r="AD671" s="1"/>
      <c r="AE671" s="1"/>
      <c r="AF671" s="1"/>
      <c r="AG671" s="1"/>
      <c r="AH671" s="1"/>
      <c r="AI671" s="1"/>
      <c r="AJ671" s="1"/>
      <c r="AK671" s="1"/>
      <c r="AL671" s="1"/>
      <c r="AM671" s="1"/>
      <c r="AN671" s="1"/>
      <c r="AO671" s="1"/>
      <c r="AP671" s="1"/>
      <c r="AQ671" s="1"/>
      <c r="AR671" s="1"/>
      <c r="AS671" s="1"/>
      <c r="AT671" s="1"/>
      <c r="AU671" s="1"/>
      <c r="AV671" s="1"/>
      <c r="AW671" s="1"/>
      <c r="AX671" s="1"/>
      <c r="AY671" s="1"/>
    </row>
    <row r="672" spans="1:60" ht="24" customHeight="1">
      <c r="A672" s="199"/>
      <c r="B672" s="1277" t="s">
        <v>1776</v>
      </c>
      <c r="C672" s="1277"/>
      <c r="D672" s="1277"/>
      <c r="E672" s="1277"/>
      <c r="F672" s="1277"/>
      <c r="G672" s="1277"/>
      <c r="H672" s="1277"/>
      <c r="I672" s="1277"/>
      <c r="J672" s="1277"/>
      <c r="K672" s="1277"/>
      <c r="L672" s="1277"/>
      <c r="M672" s="1277"/>
      <c r="N672" s="200"/>
      <c r="O672" s="199"/>
      <c r="P672" s="24"/>
      <c r="Q672" s="24"/>
      <c r="R672" s="398"/>
      <c r="S672" s="398"/>
      <c r="T672" s="398"/>
      <c r="U672" s="398"/>
      <c r="V672" s="398"/>
      <c r="W672" s="398"/>
      <c r="X672" s="398"/>
      <c r="Y672" s="398"/>
      <c r="Z672" s="398"/>
      <c r="AA672" s="398"/>
      <c r="AB672" s="200"/>
      <c r="AC672" s="1"/>
      <c r="AD672" s="1"/>
      <c r="AE672" s="1"/>
      <c r="AF672" s="1"/>
      <c r="AG672" s="1"/>
      <c r="AH672" s="1"/>
      <c r="AI672" s="1"/>
      <c r="AJ672" s="1"/>
      <c r="AK672" s="1"/>
      <c r="AL672" s="1"/>
      <c r="AM672" s="1"/>
      <c r="AN672" s="1"/>
      <c r="AO672" s="1"/>
      <c r="AP672" s="1"/>
      <c r="AQ672" s="1"/>
      <c r="AR672" s="1"/>
      <c r="AS672" s="1"/>
      <c r="AT672" s="1"/>
      <c r="AU672" s="1"/>
      <c r="AV672" s="1"/>
      <c r="AW672" s="1"/>
      <c r="AX672" s="1"/>
      <c r="AY672" s="1"/>
    </row>
    <row r="673" spans="1:51" ht="24" customHeight="1">
      <c r="A673" s="199"/>
      <c r="B673" s="1277"/>
      <c r="C673" s="1277"/>
      <c r="D673" s="1277"/>
      <c r="E673" s="1277"/>
      <c r="F673" s="1277"/>
      <c r="G673" s="1277"/>
      <c r="H673" s="1277"/>
      <c r="I673" s="1277"/>
      <c r="J673" s="1277"/>
      <c r="K673" s="1277"/>
      <c r="L673" s="1277"/>
      <c r="M673" s="1277"/>
      <c r="N673" s="200"/>
      <c r="O673" s="199"/>
      <c r="P673" s="24"/>
      <c r="Q673" s="24"/>
      <c r="R673" s="398"/>
      <c r="S673" s="398"/>
      <c r="T673" s="398"/>
      <c r="U673" s="398"/>
      <c r="V673" s="398"/>
      <c r="W673" s="398"/>
      <c r="X673" s="398"/>
      <c r="Y673" s="398"/>
      <c r="Z673" s="398"/>
      <c r="AA673" s="398"/>
      <c r="AB673" s="200"/>
      <c r="AC673" s="1"/>
      <c r="AD673" s="1"/>
      <c r="AE673" s="1"/>
      <c r="AF673" s="1"/>
      <c r="AG673" s="1"/>
      <c r="AH673" s="1"/>
      <c r="AI673" s="1"/>
      <c r="AJ673" s="1"/>
      <c r="AK673" s="1"/>
      <c r="AL673" s="1"/>
      <c r="AM673" s="1"/>
      <c r="AN673" s="1"/>
      <c r="AO673" s="1"/>
      <c r="AP673" s="1"/>
      <c r="AQ673" s="1"/>
      <c r="AR673" s="1"/>
      <c r="AS673" s="1"/>
      <c r="AT673" s="1"/>
      <c r="AU673" s="1"/>
      <c r="AV673" s="1"/>
      <c r="AW673" s="1"/>
      <c r="AX673" s="1"/>
      <c r="AY673" s="1"/>
    </row>
    <row r="674" spans="1:51" ht="24" customHeight="1">
      <c r="A674" s="199"/>
      <c r="B674" s="1277"/>
      <c r="C674" s="1277"/>
      <c r="D674" s="1277"/>
      <c r="E674" s="1277"/>
      <c r="F674" s="1277"/>
      <c r="G674" s="1277"/>
      <c r="H674" s="1277"/>
      <c r="I674" s="1277"/>
      <c r="J674" s="1277"/>
      <c r="K674" s="1277"/>
      <c r="L674" s="1277"/>
      <c r="M674" s="1277"/>
      <c r="N674" s="200"/>
      <c r="O674" s="199"/>
      <c r="P674" s="24"/>
      <c r="Q674" s="24"/>
      <c r="R674" s="398"/>
      <c r="S674" s="398"/>
      <c r="T674" s="398"/>
      <c r="U674" s="398"/>
      <c r="V674" s="398"/>
      <c r="W674" s="398"/>
      <c r="X674" s="398"/>
      <c r="Y674" s="398"/>
      <c r="Z674" s="398"/>
      <c r="AA674" s="398"/>
      <c r="AB674" s="200"/>
      <c r="AC674" s="1"/>
      <c r="AD674" s="1"/>
      <c r="AE674" s="1"/>
      <c r="AF674" s="1"/>
      <c r="AG674" s="1"/>
      <c r="AH674" s="1"/>
      <c r="AI674" s="1"/>
      <c r="AJ674" s="1"/>
      <c r="AK674" s="1"/>
      <c r="AL674" s="1"/>
      <c r="AM674" s="1"/>
      <c r="AN674" s="1"/>
      <c r="AO674" s="1"/>
      <c r="AP674" s="1"/>
      <c r="AQ674" s="1"/>
      <c r="AR674" s="1"/>
      <c r="AS674" s="1"/>
      <c r="AT674" s="1"/>
      <c r="AU674" s="1"/>
      <c r="AV674" s="1"/>
      <c r="AW674" s="1"/>
      <c r="AX674" s="1"/>
      <c r="AY674" s="1"/>
    </row>
    <row r="675" spans="1:51" ht="10.050000000000001" customHeight="1">
      <c r="A675" s="201"/>
      <c r="B675" s="202"/>
      <c r="C675" s="202"/>
      <c r="D675" s="202"/>
      <c r="E675" s="202"/>
      <c r="F675" s="202"/>
      <c r="G675" s="202"/>
      <c r="H675" s="202"/>
      <c r="I675" s="202"/>
      <c r="J675" s="202"/>
      <c r="K675" s="202"/>
      <c r="L675" s="202"/>
      <c r="M675" s="202"/>
      <c r="N675" s="200"/>
      <c r="O675" s="199"/>
      <c r="P675" s="202"/>
      <c r="Q675" s="202"/>
      <c r="R675" s="202"/>
      <c r="S675" s="202"/>
      <c r="T675" s="202"/>
      <c r="U675" s="202"/>
      <c r="V675" s="202"/>
      <c r="W675" s="202"/>
      <c r="X675" s="202"/>
      <c r="Y675" s="202"/>
      <c r="Z675" s="202"/>
      <c r="AA675" s="202"/>
      <c r="AB675" s="203"/>
      <c r="AC675" s="1"/>
      <c r="AD675" s="1"/>
      <c r="AE675" s="1"/>
      <c r="AF675" s="1"/>
      <c r="AG675" s="1"/>
      <c r="AH675" s="1"/>
      <c r="AI675" s="1"/>
      <c r="AJ675" s="1"/>
      <c r="AK675" s="1"/>
      <c r="AL675" s="1"/>
      <c r="AM675" s="1"/>
      <c r="AN675" s="1"/>
      <c r="AO675" s="1"/>
      <c r="AP675" s="1"/>
      <c r="AQ675" s="1"/>
      <c r="AR675" s="1"/>
      <c r="AS675" s="1"/>
      <c r="AT675" s="1"/>
      <c r="AU675" s="1"/>
      <c r="AV675" s="1"/>
      <c r="AW675" s="1"/>
      <c r="AX675" s="1"/>
      <c r="AY675" s="1"/>
    </row>
    <row r="676" spans="1:51" ht="30" customHeight="1">
      <c r="A676" s="210" t="s">
        <v>1148</v>
      </c>
      <c r="B676" s="1323" t="s">
        <v>2004</v>
      </c>
      <c r="C676" s="1323"/>
      <c r="D676" s="1323"/>
      <c r="E676" s="1323"/>
      <c r="F676" s="1323"/>
      <c r="G676" s="1323"/>
      <c r="H676" s="1323"/>
      <c r="I676" s="1323"/>
      <c r="J676" s="1323"/>
      <c r="K676" s="1323"/>
      <c r="L676" s="1323"/>
      <c r="M676" s="377"/>
      <c r="N676" s="211" t="s">
        <v>1149</v>
      </c>
      <c r="O676" s="205"/>
      <c r="P676" s="1292"/>
      <c r="Q676" s="1292"/>
      <c r="R676" s="1292"/>
      <c r="S676" s="1292"/>
      <c r="T676" s="1292"/>
      <c r="U676" s="1292"/>
      <c r="V676" s="1292"/>
      <c r="W676" s="206"/>
      <c r="X676" s="206"/>
      <c r="Y676" s="206"/>
      <c r="Z676" s="206"/>
      <c r="AA676" s="206"/>
      <c r="AB676" s="211" t="s">
        <v>1149</v>
      </c>
      <c r="AC676" s="577"/>
      <c r="AD676" s="577"/>
      <c r="AE676" s="577"/>
      <c r="AF676" s="577"/>
      <c r="AG676" s="577"/>
      <c r="AH676" s="577"/>
      <c r="AI676" s="577"/>
      <c r="AJ676" s="577"/>
      <c r="AK676" s="577"/>
      <c r="AL676" s="577"/>
      <c r="AM676" s="577"/>
      <c r="AN676" s="577"/>
      <c r="AO676" s="577"/>
      <c r="AP676" s="577"/>
      <c r="AQ676" s="577"/>
      <c r="AR676" s="577"/>
      <c r="AS676" s="577"/>
      <c r="AT676" s="577"/>
      <c r="AU676" s="577"/>
      <c r="AV676" s="577"/>
      <c r="AW676" s="577"/>
      <c r="AX676" s="577"/>
      <c r="AY676" s="577"/>
    </row>
    <row r="677" spans="1:51">
      <c r="A677" s="199"/>
      <c r="B677" s="24"/>
      <c r="C677" s="24"/>
      <c r="D677" s="24"/>
      <c r="E677" s="24"/>
      <c r="F677" s="24"/>
      <c r="G677" s="24"/>
      <c r="H677" s="24"/>
      <c r="I677" s="24"/>
      <c r="J677" s="24"/>
      <c r="K677" s="24"/>
      <c r="L677" s="24"/>
      <c r="M677" s="24"/>
      <c r="N677" s="200"/>
      <c r="O677" s="199"/>
      <c r="P677" s="24"/>
      <c r="Q677" s="24"/>
      <c r="R677" s="24"/>
      <c r="S677" s="24"/>
      <c r="T677" s="24"/>
      <c r="U677" s="24"/>
      <c r="V677" s="24"/>
      <c r="W677" s="24"/>
      <c r="X677" s="24"/>
      <c r="Y677" s="24"/>
      <c r="Z677" s="24"/>
      <c r="AA677" s="24"/>
      <c r="AB677" s="200"/>
      <c r="AC677" s="1"/>
      <c r="AD677" s="1"/>
      <c r="AE677" s="1"/>
      <c r="AF677" s="1"/>
      <c r="AG677" s="1"/>
      <c r="AH677" s="1"/>
      <c r="AI677" s="1"/>
      <c r="AJ677" s="1"/>
      <c r="AK677" s="1"/>
      <c r="AL677" s="1"/>
      <c r="AM677" s="1"/>
      <c r="AN677" s="1"/>
      <c r="AO677" s="1"/>
      <c r="AP677" s="1"/>
      <c r="AQ677" s="1"/>
      <c r="AR677" s="1"/>
      <c r="AS677" s="1"/>
      <c r="AT677" s="1"/>
      <c r="AU677" s="1"/>
      <c r="AV677" s="1"/>
      <c r="AW677" s="1"/>
      <c r="AX677" s="1"/>
      <c r="AY677" s="1"/>
    </row>
    <row r="678" spans="1:51" ht="19.95" customHeight="1">
      <c r="A678" s="199"/>
      <c r="B678" s="367" t="s">
        <v>1777</v>
      </c>
      <c r="C678" s="24"/>
      <c r="D678" s="24"/>
      <c r="E678" s="24"/>
      <c r="F678" s="24"/>
      <c r="G678" s="24"/>
      <c r="H678" s="24"/>
      <c r="I678" s="24"/>
      <c r="J678" s="24"/>
      <c r="K678" s="24"/>
      <c r="L678" s="24"/>
      <c r="M678" s="24"/>
      <c r="N678" s="200"/>
      <c r="O678" s="199"/>
      <c r="P678" s="24"/>
      <c r="Q678" s="24"/>
      <c r="R678" s="24"/>
      <c r="S678" s="24"/>
      <c r="T678" s="24"/>
      <c r="U678" s="24"/>
      <c r="V678" s="24"/>
      <c r="W678" s="24"/>
      <c r="X678" s="24"/>
      <c r="Y678" s="24"/>
      <c r="Z678" s="24"/>
      <c r="AA678" s="24"/>
      <c r="AB678" s="200"/>
      <c r="AC678" s="1"/>
      <c r="AD678" s="1"/>
      <c r="AE678" s="1"/>
      <c r="AF678" s="1"/>
      <c r="AG678" s="1"/>
      <c r="AH678" s="1"/>
      <c r="AI678" s="1"/>
      <c r="AJ678" s="1"/>
      <c r="AK678" s="1"/>
      <c r="AL678" s="1"/>
      <c r="AM678" s="1"/>
      <c r="AN678" s="1"/>
      <c r="AO678" s="1"/>
      <c r="AP678" s="1"/>
      <c r="AQ678" s="1"/>
      <c r="AR678" s="1"/>
      <c r="AS678" s="1"/>
      <c r="AT678" s="1"/>
      <c r="AU678" s="1"/>
      <c r="AV678" s="1"/>
      <c r="AW678" s="1"/>
      <c r="AX678" s="1"/>
      <c r="AY678" s="1"/>
    </row>
    <row r="679" spans="1:51" ht="10.050000000000001" customHeight="1" thickBot="1">
      <c r="A679" s="199"/>
      <c r="B679" s="24"/>
      <c r="C679" s="24"/>
      <c r="D679" s="24"/>
      <c r="E679" s="24"/>
      <c r="F679" s="24"/>
      <c r="G679" s="24"/>
      <c r="H679" s="24"/>
      <c r="I679" s="24"/>
      <c r="J679" s="24"/>
      <c r="K679" s="24"/>
      <c r="L679" s="24"/>
      <c r="M679" s="24"/>
      <c r="N679" s="200"/>
      <c r="O679" s="199"/>
      <c r="P679" s="24"/>
      <c r="Q679" s="24"/>
      <c r="R679" s="24"/>
      <c r="S679" s="24"/>
      <c r="T679" s="24"/>
      <c r="U679" s="24"/>
      <c r="V679" s="24"/>
      <c r="W679" s="24"/>
      <c r="X679" s="24"/>
      <c r="Y679" s="24"/>
      <c r="Z679" s="24"/>
      <c r="AA679" s="24"/>
      <c r="AB679" s="200"/>
      <c r="AC679" s="1"/>
      <c r="AD679" s="1"/>
      <c r="AE679" s="1"/>
      <c r="AF679" s="1"/>
      <c r="AG679" s="1"/>
      <c r="AH679" s="1"/>
      <c r="AI679" s="1"/>
      <c r="AJ679" s="1"/>
      <c r="AK679" s="1"/>
      <c r="AL679" s="1"/>
      <c r="AM679" s="1"/>
      <c r="AN679" s="1"/>
      <c r="AO679" s="1"/>
      <c r="AP679" s="1"/>
      <c r="AQ679" s="1"/>
      <c r="AR679" s="1"/>
      <c r="AS679" s="1"/>
      <c r="AT679" s="1"/>
      <c r="AU679" s="1"/>
      <c r="AV679" s="1"/>
      <c r="AW679" s="1"/>
      <c r="AX679" s="1"/>
      <c r="AY679" s="1"/>
    </row>
    <row r="680" spans="1:51" ht="19.95" customHeight="1">
      <c r="A680" s="199"/>
      <c r="B680" s="506"/>
      <c r="C680" s="507"/>
      <c r="D680" s="1313" t="s">
        <v>1778</v>
      </c>
      <c r="E680" s="1314"/>
      <c r="F680" s="1314"/>
      <c r="G680" s="1315"/>
      <c r="H680" s="506"/>
      <c r="I680" s="507"/>
      <c r="J680" s="1313" t="s">
        <v>2005</v>
      </c>
      <c r="K680" s="1314"/>
      <c r="L680" s="1314"/>
      <c r="M680" s="1315"/>
      <c r="N680" s="200"/>
      <c r="O680" s="199"/>
      <c r="P680" s="24"/>
      <c r="Q680" s="24"/>
      <c r="R680" s="24"/>
      <c r="S680" s="24"/>
      <c r="T680" s="24"/>
      <c r="U680" s="24"/>
      <c r="V680" s="24"/>
      <c r="W680" s="24"/>
      <c r="X680" s="24"/>
      <c r="Y680" s="24"/>
      <c r="Z680" s="24"/>
      <c r="AA680" s="24"/>
      <c r="AB680" s="200"/>
      <c r="AC680" s="1"/>
      <c r="AD680" s="1"/>
      <c r="AE680" s="1"/>
      <c r="AF680" s="1"/>
      <c r="AG680" s="1"/>
      <c r="AH680" s="1"/>
      <c r="AI680" s="1"/>
      <c r="AJ680" s="1"/>
      <c r="AK680" s="1"/>
      <c r="AL680" s="1"/>
      <c r="AM680" s="1"/>
      <c r="AN680" s="1"/>
      <c r="AO680" s="1"/>
      <c r="AP680" s="1"/>
      <c r="AQ680" s="1"/>
      <c r="AR680" s="1"/>
      <c r="AS680" s="1"/>
      <c r="AT680" s="1"/>
      <c r="AU680" s="1"/>
      <c r="AV680" s="1"/>
      <c r="AW680" s="1"/>
      <c r="AX680" s="1"/>
      <c r="AY680" s="1"/>
    </row>
    <row r="681" spans="1:51" ht="19.95" customHeight="1">
      <c r="A681" s="199"/>
      <c r="B681" s="508"/>
      <c r="C681" s="495"/>
      <c r="D681" s="1316"/>
      <c r="E681" s="1317"/>
      <c r="F681" s="1317"/>
      <c r="G681" s="1318"/>
      <c r="H681" s="508"/>
      <c r="I681" s="495"/>
      <c r="J681" s="1316"/>
      <c r="K681" s="1317"/>
      <c r="L681" s="1317"/>
      <c r="M681" s="1318"/>
      <c r="N681" s="200"/>
      <c r="O681" s="199"/>
      <c r="P681" s="24"/>
      <c r="Q681" s="24"/>
      <c r="R681" s="24"/>
      <c r="S681" s="24"/>
      <c r="T681" s="24"/>
      <c r="U681" s="24"/>
      <c r="V681" s="24"/>
      <c r="W681" s="24"/>
      <c r="X681" s="24"/>
      <c r="Y681" s="24"/>
      <c r="Z681" s="24"/>
      <c r="AA681" s="24"/>
      <c r="AB681" s="200"/>
      <c r="AC681" s="1"/>
      <c r="AD681" s="1"/>
      <c r="AE681" s="1"/>
      <c r="AF681" s="1"/>
      <c r="AG681" s="1"/>
      <c r="AH681" s="1"/>
      <c r="AI681" s="1"/>
      <c r="AJ681" s="1"/>
      <c r="AK681" s="1"/>
      <c r="AL681" s="1"/>
      <c r="AM681" s="1"/>
      <c r="AN681" s="1"/>
      <c r="AO681" s="1"/>
      <c r="AP681" s="1"/>
      <c r="AQ681" s="1"/>
      <c r="AR681" s="1"/>
      <c r="AS681" s="1"/>
      <c r="AT681" s="1"/>
      <c r="AU681" s="1"/>
      <c r="AV681" s="1"/>
      <c r="AW681" s="1"/>
      <c r="AX681" s="1"/>
      <c r="AY681" s="1"/>
    </row>
    <row r="682" spans="1:51" ht="19.95" customHeight="1">
      <c r="A682" s="199"/>
      <c r="B682" s="508"/>
      <c r="C682" s="495"/>
      <c r="D682" s="1316"/>
      <c r="E682" s="1317"/>
      <c r="F682" s="1317"/>
      <c r="G682" s="1318"/>
      <c r="H682" s="508"/>
      <c r="I682" s="495"/>
      <c r="J682" s="1316"/>
      <c r="K682" s="1317"/>
      <c r="L682" s="1317"/>
      <c r="M682" s="1318"/>
      <c r="N682" s="200"/>
      <c r="O682" s="199"/>
      <c r="P682" s="24"/>
      <c r="Q682" s="24"/>
      <c r="R682" s="24"/>
      <c r="S682" s="24"/>
      <c r="T682" s="24"/>
      <c r="U682" s="24"/>
      <c r="V682" s="24"/>
      <c r="W682" s="24"/>
      <c r="X682" s="24"/>
      <c r="Y682" s="24"/>
      <c r="Z682" s="24"/>
      <c r="AA682" s="24"/>
      <c r="AB682" s="200"/>
      <c r="AC682" s="1"/>
      <c r="AD682" s="1"/>
      <c r="AE682" s="1"/>
      <c r="AF682" s="1"/>
      <c r="AG682" s="1"/>
      <c r="AH682" s="1"/>
      <c r="AI682" s="1"/>
      <c r="AJ682" s="1"/>
      <c r="AK682" s="1"/>
      <c r="AL682" s="1"/>
      <c r="AM682" s="1"/>
      <c r="AN682" s="1"/>
      <c r="AO682" s="1"/>
      <c r="AP682" s="1"/>
      <c r="AQ682" s="1"/>
      <c r="AR682" s="1"/>
      <c r="AS682" s="1"/>
      <c r="AT682" s="1"/>
      <c r="AU682" s="1"/>
      <c r="AV682" s="1"/>
      <c r="AW682" s="1"/>
      <c r="AX682" s="1"/>
      <c r="AY682" s="1"/>
    </row>
    <row r="683" spans="1:51" ht="19.95" customHeight="1" thickBot="1">
      <c r="A683" s="199"/>
      <c r="B683" s="509"/>
      <c r="C683" s="510"/>
      <c r="D683" s="1319"/>
      <c r="E683" s="1320"/>
      <c r="F683" s="1320"/>
      <c r="G683" s="1321"/>
      <c r="H683" s="509"/>
      <c r="I683" s="510"/>
      <c r="J683" s="1319"/>
      <c r="K683" s="1320"/>
      <c r="L683" s="1320"/>
      <c r="M683" s="1321"/>
      <c r="N683" s="200"/>
      <c r="O683" s="199"/>
      <c r="P683" s="24"/>
      <c r="Q683" s="24"/>
      <c r="R683" s="24"/>
      <c r="S683" s="24"/>
      <c r="T683" s="24"/>
      <c r="U683" s="24"/>
      <c r="V683" s="24"/>
      <c r="W683" s="24"/>
      <c r="X683" s="24"/>
      <c r="Y683" s="24"/>
      <c r="Z683" s="24"/>
      <c r="AA683" s="24"/>
      <c r="AB683" s="200"/>
      <c r="AC683" s="1"/>
      <c r="AD683" s="1"/>
      <c r="AE683" s="1"/>
      <c r="AF683" s="1"/>
      <c r="AG683" s="1"/>
      <c r="AH683" s="1"/>
      <c r="AI683" s="1"/>
      <c r="AJ683" s="1"/>
      <c r="AK683" s="1"/>
      <c r="AL683" s="1"/>
      <c r="AM683" s="1"/>
      <c r="AN683" s="1"/>
      <c r="AO683" s="1"/>
      <c r="AP683" s="1"/>
      <c r="AQ683" s="1"/>
      <c r="AR683" s="1"/>
      <c r="AS683" s="1"/>
      <c r="AT683" s="1"/>
      <c r="AU683" s="1"/>
      <c r="AV683" s="1"/>
      <c r="AW683" s="1"/>
      <c r="AX683" s="1"/>
      <c r="AY683" s="1"/>
    </row>
    <row r="684" spans="1:51" ht="10.050000000000001" customHeight="1" thickBot="1">
      <c r="A684" s="199"/>
      <c r="B684" s="24"/>
      <c r="C684" s="24"/>
      <c r="D684" s="24"/>
      <c r="E684" s="24"/>
      <c r="F684" s="24"/>
      <c r="G684" s="24"/>
      <c r="H684" s="24"/>
      <c r="I684" s="24"/>
      <c r="J684" s="24"/>
      <c r="K684" s="24"/>
      <c r="L684" s="24"/>
      <c r="M684" s="24"/>
      <c r="N684" s="200"/>
      <c r="O684" s="199"/>
      <c r="P684" s="24"/>
      <c r="Q684" s="24"/>
      <c r="R684" s="24"/>
      <c r="S684" s="24"/>
      <c r="T684" s="24"/>
      <c r="U684" s="24"/>
      <c r="V684" s="24"/>
      <c r="W684" s="24"/>
      <c r="X684" s="24"/>
      <c r="Y684" s="24"/>
      <c r="Z684" s="24"/>
      <c r="AA684" s="24"/>
      <c r="AB684" s="200"/>
      <c r="AC684" s="1"/>
      <c r="AD684" s="1"/>
      <c r="AE684" s="1"/>
      <c r="AF684" s="1"/>
      <c r="AG684" s="1"/>
      <c r="AH684" s="1"/>
      <c r="AI684" s="1"/>
      <c r="AJ684" s="1"/>
      <c r="AK684" s="1"/>
      <c r="AL684" s="1"/>
      <c r="AM684" s="1"/>
      <c r="AN684" s="1"/>
      <c r="AO684" s="1"/>
      <c r="AP684" s="1"/>
      <c r="AQ684" s="1"/>
      <c r="AR684" s="1"/>
      <c r="AS684" s="1"/>
      <c r="AT684" s="1"/>
      <c r="AU684" s="1"/>
      <c r="AV684" s="1"/>
      <c r="AW684" s="1"/>
      <c r="AX684" s="1"/>
      <c r="AY684" s="1"/>
    </row>
    <row r="685" spans="1:51" ht="19.95" customHeight="1">
      <c r="A685" s="199"/>
      <c r="B685" s="506"/>
      <c r="C685" s="507"/>
      <c r="D685" s="1313" t="s">
        <v>1785</v>
      </c>
      <c r="E685" s="1314"/>
      <c r="F685" s="1314"/>
      <c r="G685" s="1315"/>
      <c r="H685" s="506"/>
      <c r="I685" s="507"/>
      <c r="J685" s="1313" t="s">
        <v>1780</v>
      </c>
      <c r="K685" s="1314"/>
      <c r="L685" s="1314"/>
      <c r="M685" s="1315"/>
      <c r="N685" s="200"/>
      <c r="O685" s="199"/>
      <c r="P685" s="24"/>
      <c r="Q685" s="24"/>
      <c r="R685" s="24"/>
      <c r="S685" s="24"/>
      <c r="T685" s="24"/>
      <c r="U685" s="24"/>
      <c r="V685" s="24"/>
      <c r="W685" s="24"/>
      <c r="X685" s="24"/>
      <c r="Y685" s="24"/>
      <c r="Z685" s="24"/>
      <c r="AA685" s="24"/>
      <c r="AB685" s="200"/>
      <c r="AC685" s="1"/>
      <c r="AD685" s="1"/>
      <c r="AE685" s="1"/>
      <c r="AF685" s="1"/>
      <c r="AG685" s="1"/>
      <c r="AH685" s="1"/>
      <c r="AI685" s="1"/>
      <c r="AJ685" s="1"/>
      <c r="AK685" s="1"/>
      <c r="AL685" s="1"/>
      <c r="AM685" s="1"/>
      <c r="AN685" s="1"/>
      <c r="AO685" s="1"/>
      <c r="AP685" s="1"/>
      <c r="AQ685" s="1"/>
      <c r="AR685" s="1"/>
      <c r="AS685" s="1"/>
      <c r="AT685" s="1"/>
      <c r="AU685" s="1"/>
      <c r="AV685" s="1"/>
      <c r="AW685" s="1"/>
      <c r="AX685" s="1"/>
      <c r="AY685" s="1"/>
    </row>
    <row r="686" spans="1:51" ht="19.95" customHeight="1">
      <c r="A686" s="199"/>
      <c r="B686" s="508"/>
      <c r="C686" s="495"/>
      <c r="D686" s="1316"/>
      <c r="E686" s="1317"/>
      <c r="F686" s="1317"/>
      <c r="G686" s="1318"/>
      <c r="H686" s="508"/>
      <c r="I686" s="495"/>
      <c r="J686" s="1316"/>
      <c r="K686" s="1317"/>
      <c r="L686" s="1317"/>
      <c r="M686" s="1318"/>
      <c r="N686" s="200"/>
      <c r="O686" s="199"/>
      <c r="P686" s="24"/>
      <c r="Q686" s="24"/>
      <c r="R686" s="24"/>
      <c r="S686" s="24"/>
      <c r="T686" s="24"/>
      <c r="U686" s="24"/>
      <c r="V686" s="24"/>
      <c r="W686" s="24"/>
      <c r="X686" s="24"/>
      <c r="Y686" s="24"/>
      <c r="Z686" s="24"/>
      <c r="AA686" s="24"/>
      <c r="AB686" s="200"/>
      <c r="AC686" s="1"/>
      <c r="AD686" s="1"/>
      <c r="AE686" s="1"/>
      <c r="AF686" s="1"/>
      <c r="AG686" s="1"/>
      <c r="AH686" s="1"/>
      <c r="AI686" s="1"/>
      <c r="AJ686" s="1"/>
      <c r="AK686" s="1"/>
      <c r="AL686" s="1"/>
      <c r="AM686" s="1"/>
      <c r="AN686" s="1"/>
      <c r="AO686" s="1"/>
      <c r="AP686" s="1"/>
      <c r="AQ686" s="1"/>
      <c r="AR686" s="1"/>
      <c r="AS686" s="1"/>
      <c r="AT686" s="1"/>
      <c r="AU686" s="1"/>
      <c r="AV686" s="1"/>
      <c r="AW686" s="1"/>
      <c r="AX686" s="1"/>
      <c r="AY686" s="1"/>
    </row>
    <row r="687" spans="1:51" ht="19.95" customHeight="1">
      <c r="A687" s="199"/>
      <c r="B687" s="508"/>
      <c r="C687" s="495"/>
      <c r="D687" s="1316"/>
      <c r="E687" s="1317"/>
      <c r="F687" s="1317"/>
      <c r="G687" s="1318"/>
      <c r="H687" s="508"/>
      <c r="I687" s="495"/>
      <c r="J687" s="1316"/>
      <c r="K687" s="1317"/>
      <c r="L687" s="1317"/>
      <c r="M687" s="1318"/>
      <c r="N687" s="200"/>
      <c r="O687" s="199"/>
      <c r="P687" s="24"/>
      <c r="Q687" s="24"/>
      <c r="R687" s="24"/>
      <c r="S687" s="24"/>
      <c r="T687" s="24"/>
      <c r="U687" s="24"/>
      <c r="V687" s="24"/>
      <c r="W687" s="24"/>
      <c r="X687" s="24"/>
      <c r="Y687" s="24"/>
      <c r="Z687" s="24"/>
      <c r="AA687" s="24"/>
      <c r="AB687" s="200"/>
      <c r="AC687" s="1"/>
      <c r="AD687" s="1"/>
      <c r="AE687" s="1"/>
      <c r="AF687" s="1"/>
      <c r="AG687" s="1"/>
      <c r="AH687" s="1"/>
      <c r="AI687" s="1"/>
      <c r="AJ687" s="1"/>
      <c r="AK687" s="1"/>
      <c r="AL687" s="1"/>
      <c r="AM687" s="1"/>
      <c r="AN687" s="1"/>
      <c r="AO687" s="1"/>
      <c r="AP687" s="1"/>
      <c r="AQ687" s="1"/>
      <c r="AR687" s="1"/>
      <c r="AS687" s="1"/>
      <c r="AT687" s="1"/>
      <c r="AU687" s="1"/>
      <c r="AV687" s="1"/>
      <c r="AW687" s="1"/>
      <c r="AX687" s="1"/>
      <c r="AY687" s="1"/>
    </row>
    <row r="688" spans="1:51" ht="19.95" customHeight="1" thickBot="1">
      <c r="A688" s="199"/>
      <c r="B688" s="509"/>
      <c r="C688" s="510"/>
      <c r="D688" s="1319"/>
      <c r="E688" s="1320"/>
      <c r="F688" s="1320"/>
      <c r="G688" s="1321"/>
      <c r="H688" s="509"/>
      <c r="I688" s="510"/>
      <c r="J688" s="1319"/>
      <c r="K688" s="1320"/>
      <c r="L688" s="1320"/>
      <c r="M688" s="1321"/>
      <c r="N688" s="200"/>
      <c r="O688" s="199"/>
      <c r="P688" s="24"/>
      <c r="Q688" s="24"/>
      <c r="R688" s="24"/>
      <c r="S688" s="24"/>
      <c r="T688" s="24"/>
      <c r="U688" s="24"/>
      <c r="V688" s="24"/>
      <c r="W688" s="24"/>
      <c r="X688" s="24"/>
      <c r="Y688" s="24"/>
      <c r="Z688" s="24"/>
      <c r="AA688" s="24"/>
      <c r="AB688" s="200"/>
      <c r="AC688" s="1"/>
      <c r="AD688" s="1"/>
      <c r="AE688" s="1"/>
      <c r="AF688" s="1"/>
      <c r="AG688" s="1"/>
      <c r="AH688" s="1"/>
      <c r="AI688" s="1"/>
      <c r="AJ688" s="1"/>
      <c r="AK688" s="1"/>
      <c r="AL688" s="1"/>
      <c r="AM688" s="1"/>
      <c r="AN688" s="1"/>
      <c r="AO688" s="1"/>
      <c r="AP688" s="1"/>
      <c r="AQ688" s="1"/>
      <c r="AR688" s="1"/>
      <c r="AS688" s="1"/>
      <c r="AT688" s="1"/>
      <c r="AU688" s="1"/>
      <c r="AV688" s="1"/>
      <c r="AW688" s="1"/>
      <c r="AX688" s="1"/>
      <c r="AY688" s="1"/>
    </row>
    <row r="689" spans="1:51" ht="10.050000000000001" customHeight="1" thickBot="1">
      <c r="A689" s="199"/>
      <c r="B689" s="24"/>
      <c r="C689" s="24"/>
      <c r="D689" s="24"/>
      <c r="E689" s="24"/>
      <c r="F689" s="24"/>
      <c r="G689" s="24"/>
      <c r="H689" s="24"/>
      <c r="I689" s="24"/>
      <c r="J689" s="24"/>
      <c r="K689" s="24"/>
      <c r="L689" s="24"/>
      <c r="M689" s="24"/>
      <c r="N689" s="200"/>
      <c r="O689" s="199"/>
      <c r="P689" s="24"/>
      <c r="Q689" s="24"/>
      <c r="R689" s="24"/>
      <c r="S689" s="24"/>
      <c r="T689" s="24"/>
      <c r="U689" s="24"/>
      <c r="V689" s="24"/>
      <c r="W689" s="24"/>
      <c r="X689" s="24"/>
      <c r="Y689" s="24"/>
      <c r="Z689" s="24"/>
      <c r="AA689" s="24"/>
      <c r="AB689" s="200"/>
      <c r="AC689" s="1"/>
      <c r="AD689" s="1"/>
      <c r="AE689" s="1"/>
      <c r="AF689" s="1"/>
      <c r="AG689" s="1"/>
      <c r="AH689" s="1"/>
      <c r="AI689" s="1"/>
      <c r="AJ689" s="1"/>
      <c r="AK689" s="1"/>
      <c r="AL689" s="1"/>
      <c r="AM689" s="1"/>
      <c r="AN689" s="1"/>
      <c r="AO689" s="1"/>
      <c r="AP689" s="1"/>
      <c r="AQ689" s="1"/>
      <c r="AR689" s="1"/>
      <c r="AS689" s="1"/>
      <c r="AT689" s="1"/>
      <c r="AU689" s="1"/>
      <c r="AV689" s="1"/>
      <c r="AW689" s="1"/>
      <c r="AX689" s="1"/>
      <c r="AY689" s="1"/>
    </row>
    <row r="690" spans="1:51" ht="19.95" customHeight="1">
      <c r="A690" s="199"/>
      <c r="B690" s="506"/>
      <c r="C690" s="507"/>
      <c r="D690" s="1313" t="s">
        <v>1779</v>
      </c>
      <c r="E690" s="1314"/>
      <c r="F690" s="1314"/>
      <c r="G690" s="1315"/>
      <c r="H690" s="506"/>
      <c r="I690" s="507"/>
      <c r="J690" s="1313" t="s">
        <v>1781</v>
      </c>
      <c r="K690" s="1314"/>
      <c r="L690" s="1314"/>
      <c r="M690" s="1315"/>
      <c r="N690" s="200"/>
      <c r="O690" s="199"/>
      <c r="P690" s="24"/>
      <c r="Q690" s="24"/>
      <c r="R690" s="24"/>
      <c r="S690" s="24"/>
      <c r="T690" s="24"/>
      <c r="U690" s="24"/>
      <c r="V690" s="24"/>
      <c r="W690" s="24"/>
      <c r="X690" s="24"/>
      <c r="Y690" s="24"/>
      <c r="Z690" s="24"/>
      <c r="AA690" s="24"/>
      <c r="AB690" s="200"/>
      <c r="AC690" s="1"/>
      <c r="AD690" s="1"/>
      <c r="AE690" s="1"/>
      <c r="AF690" s="1"/>
      <c r="AG690" s="1"/>
      <c r="AH690" s="1"/>
      <c r="AI690" s="1"/>
      <c r="AJ690" s="1"/>
      <c r="AK690" s="1"/>
      <c r="AL690" s="1"/>
      <c r="AM690" s="1"/>
      <c r="AN690" s="1"/>
      <c r="AO690" s="1"/>
      <c r="AP690" s="1"/>
      <c r="AQ690" s="1"/>
      <c r="AR690" s="1"/>
      <c r="AS690" s="1"/>
      <c r="AT690" s="1"/>
      <c r="AU690" s="1"/>
      <c r="AV690" s="1"/>
      <c r="AW690" s="1"/>
      <c r="AX690" s="1"/>
      <c r="AY690" s="1"/>
    </row>
    <row r="691" spans="1:51" ht="19.95" customHeight="1">
      <c r="A691" s="199"/>
      <c r="B691" s="508"/>
      <c r="C691" s="495"/>
      <c r="D691" s="1316"/>
      <c r="E691" s="1317"/>
      <c r="F691" s="1317"/>
      <c r="G691" s="1318"/>
      <c r="H691" s="508"/>
      <c r="I691" s="495"/>
      <c r="J691" s="1316"/>
      <c r="K691" s="1317"/>
      <c r="L691" s="1317"/>
      <c r="M691" s="1318"/>
      <c r="N691" s="200"/>
      <c r="O691" s="199"/>
      <c r="P691" s="24"/>
      <c r="Q691" s="24"/>
      <c r="R691" s="24"/>
      <c r="S691" s="24"/>
      <c r="T691" s="24"/>
      <c r="U691" s="24"/>
      <c r="V691" s="24"/>
      <c r="W691" s="24"/>
      <c r="X691" s="24"/>
      <c r="Y691" s="24"/>
      <c r="Z691" s="24"/>
      <c r="AA691" s="24"/>
      <c r="AB691" s="200"/>
      <c r="AC691" s="1"/>
      <c r="AD691" s="1"/>
      <c r="AE691" s="1"/>
      <c r="AF691" s="1"/>
      <c r="AG691" s="1"/>
      <c r="AH691" s="1"/>
      <c r="AI691" s="1"/>
      <c r="AJ691" s="1"/>
      <c r="AK691" s="1"/>
      <c r="AL691" s="1"/>
      <c r="AM691" s="1"/>
      <c r="AN691" s="1"/>
      <c r="AO691" s="1"/>
      <c r="AP691" s="1"/>
      <c r="AQ691" s="1"/>
      <c r="AR691" s="1"/>
      <c r="AS691" s="1"/>
      <c r="AT691" s="1"/>
      <c r="AU691" s="1"/>
      <c r="AV691" s="1"/>
      <c r="AW691" s="1"/>
      <c r="AX691" s="1"/>
      <c r="AY691" s="1"/>
    </row>
    <row r="692" spans="1:51" ht="19.95" customHeight="1">
      <c r="A692" s="199"/>
      <c r="B692" s="508"/>
      <c r="C692" s="495"/>
      <c r="D692" s="1316"/>
      <c r="E692" s="1317"/>
      <c r="F692" s="1317"/>
      <c r="G692" s="1318"/>
      <c r="H692" s="508"/>
      <c r="I692" s="495"/>
      <c r="J692" s="1316"/>
      <c r="K692" s="1317"/>
      <c r="L692" s="1317"/>
      <c r="M692" s="1318"/>
      <c r="N692" s="200"/>
      <c r="O692" s="199"/>
      <c r="P692" s="24"/>
      <c r="Q692" s="24"/>
      <c r="R692" s="24"/>
      <c r="S692" s="24"/>
      <c r="T692" s="24"/>
      <c r="U692" s="24"/>
      <c r="V692" s="24"/>
      <c r="W692" s="24"/>
      <c r="X692" s="24"/>
      <c r="Y692" s="24"/>
      <c r="Z692" s="24"/>
      <c r="AA692" s="24"/>
      <c r="AB692" s="200"/>
      <c r="AC692" s="1"/>
      <c r="AD692" s="1"/>
      <c r="AE692" s="1"/>
      <c r="AF692" s="1"/>
      <c r="AG692" s="1"/>
      <c r="AH692" s="1"/>
      <c r="AI692" s="1"/>
      <c r="AJ692" s="1"/>
      <c r="AK692" s="1"/>
      <c r="AL692" s="1"/>
      <c r="AM692" s="1"/>
      <c r="AN692" s="1"/>
      <c r="AO692" s="1"/>
      <c r="AP692" s="1"/>
      <c r="AQ692" s="1"/>
      <c r="AR692" s="1"/>
      <c r="AS692" s="1"/>
      <c r="AT692" s="1"/>
      <c r="AU692" s="1"/>
      <c r="AV692" s="1"/>
      <c r="AW692" s="1"/>
      <c r="AX692" s="1"/>
      <c r="AY692" s="1"/>
    </row>
    <row r="693" spans="1:51" ht="19.95" customHeight="1" thickBot="1">
      <c r="A693" s="199"/>
      <c r="B693" s="509"/>
      <c r="C693" s="510"/>
      <c r="D693" s="1319"/>
      <c r="E693" s="1320"/>
      <c r="F693" s="1320"/>
      <c r="G693" s="1321"/>
      <c r="H693" s="509"/>
      <c r="I693" s="510"/>
      <c r="J693" s="1319"/>
      <c r="K693" s="1320"/>
      <c r="L693" s="1320"/>
      <c r="M693" s="1321"/>
      <c r="N693" s="200"/>
      <c r="O693" s="199"/>
      <c r="P693" s="24"/>
      <c r="Q693" s="24"/>
      <c r="R693" s="24"/>
      <c r="S693" s="24"/>
      <c r="T693" s="24"/>
      <c r="U693" s="24"/>
      <c r="V693" s="24"/>
      <c r="W693" s="24"/>
      <c r="X693" s="24"/>
      <c r="Y693" s="24"/>
      <c r="Z693" s="24"/>
      <c r="AA693" s="24"/>
      <c r="AB693" s="200"/>
      <c r="AC693" s="1"/>
      <c r="AD693" s="1"/>
      <c r="AE693" s="1"/>
      <c r="AF693" s="1"/>
      <c r="AG693" s="1"/>
      <c r="AH693" s="1"/>
      <c r="AI693" s="1"/>
      <c r="AJ693" s="1"/>
      <c r="AK693" s="1"/>
      <c r="AL693" s="1"/>
      <c r="AM693" s="1"/>
      <c r="AN693" s="1"/>
      <c r="AO693" s="1"/>
      <c r="AP693" s="1"/>
      <c r="AQ693" s="1"/>
      <c r="AR693" s="1"/>
      <c r="AS693" s="1"/>
      <c r="AT693" s="1"/>
      <c r="AU693" s="1"/>
      <c r="AV693" s="1"/>
      <c r="AW693" s="1"/>
      <c r="AX693" s="1"/>
      <c r="AY693" s="1"/>
    </row>
    <row r="694" spans="1:51" ht="10.050000000000001" customHeight="1">
      <c r="A694" s="199"/>
      <c r="B694" s="24"/>
      <c r="C694" s="24"/>
      <c r="D694" s="24"/>
      <c r="E694" s="24"/>
      <c r="F694" s="24"/>
      <c r="G694" s="24"/>
      <c r="H694" s="24"/>
      <c r="I694" s="24"/>
      <c r="J694" s="24"/>
      <c r="K694" s="24"/>
      <c r="L694" s="24"/>
      <c r="M694" s="24"/>
      <c r="N694" s="200"/>
      <c r="O694" s="199"/>
      <c r="P694" s="24"/>
      <c r="Q694" s="24"/>
      <c r="R694" s="24"/>
      <c r="S694" s="24"/>
      <c r="T694" s="24"/>
      <c r="U694" s="24"/>
      <c r="V694" s="24"/>
      <c r="W694" s="24"/>
      <c r="X694" s="24"/>
      <c r="Y694" s="24"/>
      <c r="Z694" s="24"/>
      <c r="AA694" s="24"/>
      <c r="AB694" s="200"/>
      <c r="AC694" s="1"/>
      <c r="AD694" s="1"/>
      <c r="AE694" s="1"/>
      <c r="AF694" s="1"/>
      <c r="AG694" s="1"/>
      <c r="AH694" s="1"/>
      <c r="AI694" s="1"/>
      <c r="AJ694" s="1"/>
      <c r="AK694" s="1"/>
      <c r="AL694" s="1"/>
      <c r="AM694" s="1"/>
      <c r="AN694" s="1"/>
      <c r="AO694" s="1"/>
      <c r="AP694" s="1"/>
      <c r="AQ694" s="1"/>
      <c r="AR694" s="1"/>
      <c r="AS694" s="1"/>
      <c r="AT694" s="1"/>
      <c r="AU694" s="1"/>
      <c r="AV694" s="1"/>
      <c r="AW694" s="1"/>
      <c r="AX694" s="1"/>
      <c r="AY694" s="1"/>
    </row>
    <row r="695" spans="1:51" ht="19.95" customHeight="1">
      <c r="A695" s="199"/>
      <c r="B695" s="24"/>
      <c r="C695" s="24"/>
      <c r="D695" s="24"/>
      <c r="E695" s="367"/>
      <c r="F695" s="367"/>
      <c r="G695" s="24"/>
      <c r="H695" s="24"/>
      <c r="I695" s="24"/>
      <c r="J695" s="24"/>
      <c r="K695" s="24"/>
      <c r="L695" s="24"/>
      <c r="M695" s="24"/>
      <c r="N695" s="200"/>
      <c r="O695" s="199"/>
      <c r="P695" s="24"/>
      <c r="Q695" s="24"/>
      <c r="R695" s="24"/>
      <c r="S695" s="24"/>
      <c r="T695" s="24"/>
      <c r="U695" s="24"/>
      <c r="V695" s="24"/>
      <c r="W695" s="24"/>
      <c r="X695" s="24"/>
      <c r="Y695" s="24"/>
      <c r="Z695" s="24"/>
      <c r="AA695" s="24"/>
      <c r="AB695" s="200"/>
      <c r="AC695" s="1"/>
      <c r="AD695" s="1"/>
      <c r="AE695" s="1"/>
      <c r="AF695" s="1"/>
      <c r="AG695" s="1"/>
      <c r="AH695" s="1"/>
      <c r="AI695" s="1"/>
      <c r="AJ695" s="1"/>
      <c r="AK695" s="1"/>
      <c r="AL695" s="1"/>
      <c r="AM695" s="1"/>
      <c r="AN695" s="1"/>
      <c r="AO695" s="1"/>
      <c r="AP695" s="1"/>
      <c r="AQ695" s="1"/>
      <c r="AR695" s="1"/>
      <c r="AS695" s="1"/>
      <c r="AT695" s="1"/>
      <c r="AU695" s="1"/>
      <c r="AV695" s="1"/>
      <c r="AW695" s="1"/>
      <c r="AX695" s="1"/>
      <c r="AY695" s="1"/>
    </row>
    <row r="696" spans="1:51" ht="19.95" customHeight="1">
      <c r="A696" s="199"/>
      <c r="B696" s="24"/>
      <c r="C696" s="24"/>
      <c r="D696" s="24"/>
      <c r="E696" s="376"/>
      <c r="F696" s="376"/>
      <c r="G696" s="24"/>
      <c r="H696" s="24"/>
      <c r="I696" s="24"/>
      <c r="J696" s="24"/>
      <c r="K696" s="24"/>
      <c r="L696" s="24"/>
      <c r="M696" s="24"/>
      <c r="N696" s="200"/>
      <c r="O696" s="199"/>
      <c r="P696" s="111"/>
      <c r="Q696" s="24"/>
      <c r="R696" s="24"/>
      <c r="S696" s="24"/>
      <c r="T696" s="24"/>
      <c r="U696" s="24"/>
      <c r="V696" s="24"/>
      <c r="W696" s="24"/>
      <c r="X696" s="24"/>
      <c r="Y696" s="24"/>
      <c r="Z696" s="24"/>
      <c r="AA696" s="24"/>
      <c r="AB696" s="200"/>
      <c r="AC696" s="1"/>
      <c r="AD696" s="1"/>
      <c r="AE696" s="1"/>
      <c r="AF696" s="1"/>
      <c r="AG696" s="1"/>
      <c r="AH696" s="1"/>
      <c r="AI696" s="1"/>
      <c r="AJ696" s="1"/>
      <c r="AK696" s="1"/>
      <c r="AL696" s="1"/>
      <c r="AM696" s="1"/>
      <c r="AN696" s="1"/>
      <c r="AO696" s="1"/>
      <c r="AP696" s="1"/>
      <c r="AQ696" s="1"/>
      <c r="AR696" s="1"/>
      <c r="AS696" s="1"/>
      <c r="AT696" s="1"/>
      <c r="AU696" s="1"/>
      <c r="AV696" s="1"/>
      <c r="AW696" s="1"/>
      <c r="AX696" s="1"/>
      <c r="AY696" s="1"/>
    </row>
    <row r="697" spans="1:51" ht="19.95" customHeight="1">
      <c r="A697" s="199"/>
      <c r="B697" s="24"/>
      <c r="C697" s="24"/>
      <c r="D697" s="24"/>
      <c r="E697" s="24"/>
      <c r="F697" s="24"/>
      <c r="G697" s="24"/>
      <c r="H697" s="24"/>
      <c r="I697" s="24"/>
      <c r="J697" s="24"/>
      <c r="K697" s="24"/>
      <c r="L697" s="24"/>
      <c r="M697" s="24"/>
      <c r="N697" s="200"/>
      <c r="O697" s="199"/>
      <c r="P697" s="24"/>
      <c r="Q697" s="111"/>
      <c r="R697" s="24"/>
      <c r="S697" s="24"/>
      <c r="T697" s="24"/>
      <c r="U697" s="24"/>
      <c r="V697" s="24"/>
      <c r="W697" s="24"/>
      <c r="X697" s="24"/>
      <c r="Y697" s="24"/>
      <c r="Z697" s="24"/>
      <c r="AA697" s="24"/>
      <c r="AB697" s="200"/>
      <c r="AC697" s="1"/>
      <c r="AD697" s="1"/>
      <c r="AE697" s="1"/>
      <c r="AF697" s="1"/>
      <c r="AG697" s="1"/>
      <c r="AH697" s="1"/>
      <c r="AI697" s="1"/>
      <c r="AJ697" s="1"/>
      <c r="AK697" s="1"/>
      <c r="AL697" s="1"/>
      <c r="AM697" s="1"/>
      <c r="AN697" s="1"/>
      <c r="AO697" s="1"/>
      <c r="AP697" s="1"/>
      <c r="AQ697" s="1"/>
      <c r="AR697" s="1"/>
      <c r="AS697" s="1"/>
      <c r="AT697" s="1"/>
      <c r="AU697" s="1"/>
      <c r="AV697" s="1"/>
      <c r="AW697" s="1"/>
      <c r="AX697" s="1"/>
      <c r="AY697" s="1"/>
    </row>
    <row r="698" spans="1:51" ht="19.95" customHeight="1">
      <c r="A698" s="199"/>
      <c r="B698" s="24"/>
      <c r="C698" s="24"/>
      <c r="D698" s="24"/>
      <c r="E698" s="24"/>
      <c r="F698" s="24"/>
      <c r="G698" s="24"/>
      <c r="H698" s="24"/>
      <c r="I698" s="24"/>
      <c r="J698" s="24"/>
      <c r="K698" s="24"/>
      <c r="L698" s="24"/>
      <c r="M698" s="24"/>
      <c r="N698" s="200"/>
      <c r="O698" s="199"/>
      <c r="P698" s="24"/>
      <c r="Q698" s="24"/>
      <c r="R698" s="24"/>
      <c r="S698" s="24"/>
      <c r="T698" s="24"/>
      <c r="U698" s="24"/>
      <c r="V698" s="24"/>
      <c r="W698" s="24"/>
      <c r="X698" s="24"/>
      <c r="Y698" s="24"/>
      <c r="Z698" s="24"/>
      <c r="AA698" s="24"/>
      <c r="AB698" s="200"/>
      <c r="AC698" s="1"/>
      <c r="AD698" s="1"/>
      <c r="AE698" s="1"/>
      <c r="AF698" s="1"/>
      <c r="AG698" s="1"/>
      <c r="AH698" s="1"/>
      <c r="AI698" s="1"/>
      <c r="AJ698" s="1"/>
      <c r="AK698" s="1"/>
      <c r="AL698" s="1"/>
      <c r="AM698" s="1"/>
      <c r="AN698" s="1"/>
      <c r="AO698" s="1"/>
      <c r="AP698" s="1"/>
      <c r="AQ698" s="1"/>
      <c r="AR698" s="1"/>
      <c r="AS698" s="1"/>
      <c r="AT698" s="1"/>
      <c r="AU698" s="1"/>
      <c r="AV698" s="1"/>
      <c r="AW698" s="1"/>
      <c r="AX698" s="1"/>
      <c r="AY698" s="1"/>
    </row>
    <row r="699" spans="1:51" ht="19.95" customHeight="1">
      <c r="A699" s="199"/>
      <c r="B699" s="24"/>
      <c r="C699" s="24"/>
      <c r="D699" s="24"/>
      <c r="E699" s="24"/>
      <c r="F699" s="24"/>
      <c r="G699" s="24"/>
      <c r="H699" s="24"/>
      <c r="I699" s="24"/>
      <c r="J699" s="24"/>
      <c r="K699" s="24"/>
      <c r="L699" s="24"/>
      <c r="M699" s="24"/>
      <c r="N699" s="200"/>
      <c r="O699" s="199"/>
      <c r="P699" s="24"/>
      <c r="Q699" s="24"/>
      <c r="R699" s="24"/>
      <c r="S699" s="24"/>
      <c r="T699" s="24"/>
      <c r="U699" s="24"/>
      <c r="V699" s="24"/>
      <c r="W699" s="24"/>
      <c r="X699" s="24"/>
      <c r="Y699" s="24"/>
      <c r="Z699" s="24"/>
      <c r="AA699" s="24"/>
      <c r="AB699" s="200"/>
      <c r="AC699" s="1"/>
      <c r="AD699" s="1"/>
      <c r="AE699" s="1"/>
      <c r="AF699" s="1"/>
      <c r="AG699" s="1"/>
      <c r="AH699" s="1"/>
      <c r="AI699" s="1"/>
      <c r="AJ699" s="1"/>
      <c r="AK699" s="1"/>
      <c r="AL699" s="1"/>
      <c r="AM699" s="1"/>
      <c r="AN699" s="1"/>
      <c r="AO699" s="1"/>
      <c r="AP699" s="1"/>
      <c r="AQ699" s="1"/>
      <c r="AR699" s="1"/>
      <c r="AS699" s="1"/>
      <c r="AT699" s="1"/>
      <c r="AU699" s="1"/>
      <c r="AV699" s="1"/>
      <c r="AW699" s="1"/>
      <c r="AX699" s="1"/>
      <c r="AY699" s="1"/>
    </row>
    <row r="700" spans="1:51" ht="19.95" customHeight="1">
      <c r="A700" s="199"/>
      <c r="B700" s="24"/>
      <c r="C700" s="24"/>
      <c r="D700" s="24"/>
      <c r="E700" s="24"/>
      <c r="F700" s="24"/>
      <c r="G700" s="24"/>
      <c r="H700" s="24"/>
      <c r="I700" s="24"/>
      <c r="J700" s="24"/>
      <c r="K700" s="24"/>
      <c r="L700" s="24"/>
      <c r="M700" s="24"/>
      <c r="N700" s="200"/>
      <c r="O700" s="199"/>
      <c r="P700" s="24"/>
      <c r="Q700" s="24"/>
      <c r="R700" s="24"/>
      <c r="S700" s="24"/>
      <c r="T700" s="24"/>
      <c r="U700" s="24"/>
      <c r="V700" s="24"/>
      <c r="W700" s="24"/>
      <c r="X700" s="24"/>
      <c r="Y700" s="24"/>
      <c r="Z700" s="24"/>
      <c r="AA700" s="24"/>
      <c r="AB700" s="200"/>
      <c r="AC700" s="1"/>
      <c r="AD700" s="1"/>
      <c r="AE700" s="1"/>
      <c r="AF700" s="1"/>
      <c r="AG700" s="1"/>
      <c r="AH700" s="1"/>
      <c r="AI700" s="1"/>
      <c r="AJ700" s="1"/>
      <c r="AK700" s="1"/>
      <c r="AL700" s="1"/>
      <c r="AM700" s="1"/>
      <c r="AN700" s="1"/>
      <c r="AO700" s="1"/>
      <c r="AP700" s="1"/>
      <c r="AQ700" s="1"/>
      <c r="AR700" s="1"/>
      <c r="AS700" s="1"/>
      <c r="AT700" s="1"/>
      <c r="AU700" s="1"/>
      <c r="AV700" s="1"/>
      <c r="AW700" s="1"/>
      <c r="AX700" s="1"/>
      <c r="AY700" s="1"/>
    </row>
    <row r="701" spans="1:51" ht="19.95" customHeight="1">
      <c r="A701" s="199"/>
      <c r="B701" s="24"/>
      <c r="C701" s="24"/>
      <c r="D701" s="24"/>
      <c r="E701" s="24"/>
      <c r="F701" s="24"/>
      <c r="G701" s="24"/>
      <c r="H701" s="24"/>
      <c r="I701" s="24"/>
      <c r="J701" s="24"/>
      <c r="K701" s="24"/>
      <c r="L701" s="24"/>
      <c r="M701" s="24"/>
      <c r="N701" s="200"/>
      <c r="O701" s="199"/>
      <c r="P701" s="24"/>
      <c r="Q701" s="24"/>
      <c r="R701" s="24"/>
      <c r="S701" s="24"/>
      <c r="T701" s="24"/>
      <c r="U701" s="24"/>
      <c r="V701" s="24"/>
      <c r="W701" s="24"/>
      <c r="X701" s="24"/>
      <c r="Y701" s="24"/>
      <c r="Z701" s="24"/>
      <c r="AA701" s="24"/>
      <c r="AB701" s="200"/>
      <c r="AC701" s="1"/>
      <c r="AD701" s="1"/>
      <c r="AE701" s="1"/>
      <c r="AF701" s="1"/>
      <c r="AG701" s="1"/>
      <c r="AH701" s="1"/>
      <c r="AI701" s="1"/>
      <c r="AJ701" s="1"/>
      <c r="AK701" s="1"/>
      <c r="AL701" s="1"/>
      <c r="AM701" s="1"/>
      <c r="AN701" s="1"/>
      <c r="AO701" s="1"/>
      <c r="AP701" s="1"/>
      <c r="AQ701" s="1"/>
      <c r="AR701" s="1"/>
      <c r="AS701" s="1"/>
      <c r="AT701" s="1"/>
      <c r="AU701" s="1"/>
      <c r="AV701" s="1"/>
      <c r="AW701" s="1"/>
      <c r="AX701" s="1"/>
      <c r="AY701" s="1"/>
    </row>
    <row r="702" spans="1:51" ht="19.95" customHeight="1">
      <c r="A702" s="199"/>
      <c r="B702" s="24"/>
      <c r="C702" s="24"/>
      <c r="D702" s="24"/>
      <c r="E702" s="24"/>
      <c r="F702" s="24"/>
      <c r="G702" s="24"/>
      <c r="H702" s="24"/>
      <c r="I702" s="24"/>
      <c r="J702" s="24"/>
      <c r="K702" s="24"/>
      <c r="L702" s="24"/>
      <c r="M702" s="24"/>
      <c r="N702" s="200"/>
      <c r="O702" s="199"/>
      <c r="P702" s="24"/>
      <c r="Q702" s="24"/>
      <c r="R702" s="24"/>
      <c r="S702" s="24"/>
      <c r="T702" s="24"/>
      <c r="U702" s="24"/>
      <c r="V702" s="24"/>
      <c r="W702" s="24"/>
      <c r="X702" s="24"/>
      <c r="Y702" s="24"/>
      <c r="Z702" s="24"/>
      <c r="AA702" s="24"/>
      <c r="AB702" s="200"/>
      <c r="AC702" s="1"/>
      <c r="AD702" s="1"/>
      <c r="AE702" s="1"/>
      <c r="AF702" s="1"/>
      <c r="AG702" s="1"/>
      <c r="AH702" s="1"/>
      <c r="AI702" s="1"/>
      <c r="AJ702" s="1"/>
      <c r="AK702" s="1"/>
      <c r="AL702" s="1"/>
      <c r="AM702" s="1"/>
      <c r="AN702" s="1"/>
      <c r="AO702" s="1"/>
      <c r="AP702" s="1"/>
      <c r="AQ702" s="1"/>
      <c r="AR702" s="1"/>
      <c r="AS702" s="1"/>
      <c r="AT702" s="1"/>
      <c r="AU702" s="1"/>
      <c r="AV702" s="1"/>
      <c r="AW702" s="1"/>
      <c r="AX702" s="1"/>
      <c r="AY702" s="1"/>
    </row>
    <row r="703" spans="1:51" ht="19.95" customHeight="1">
      <c r="A703" s="199"/>
      <c r="B703" s="496" t="s">
        <v>1756</v>
      </c>
      <c r="C703" s="24"/>
      <c r="D703" s="24"/>
      <c r="E703" s="24"/>
      <c r="F703" s="24"/>
      <c r="G703" s="24"/>
      <c r="H703" s="24"/>
      <c r="I703" s="24"/>
      <c r="J703" s="24"/>
      <c r="K703" s="24"/>
      <c r="L703" s="24"/>
      <c r="M703" s="24"/>
      <c r="N703" s="200"/>
      <c r="O703" s="199"/>
      <c r="P703" s="24"/>
      <c r="Q703" s="24"/>
      <c r="R703" s="24"/>
      <c r="S703" s="24"/>
      <c r="T703" s="24"/>
      <c r="U703" s="24"/>
      <c r="V703" s="24"/>
      <c r="W703" s="24"/>
      <c r="X703" s="24"/>
      <c r="Y703" s="24"/>
      <c r="Z703" s="24"/>
      <c r="AA703" s="24"/>
      <c r="AB703" s="200"/>
      <c r="AC703" s="1"/>
      <c r="AD703" s="1"/>
      <c r="AE703" s="1"/>
      <c r="AF703" s="1"/>
      <c r="AG703" s="1"/>
      <c r="AH703" s="1"/>
      <c r="AI703" s="1"/>
      <c r="AJ703" s="1"/>
      <c r="AK703" s="1"/>
      <c r="AL703" s="1"/>
      <c r="AM703" s="1"/>
      <c r="AN703" s="1"/>
      <c r="AO703" s="1"/>
      <c r="AP703" s="1"/>
      <c r="AQ703" s="1"/>
      <c r="AR703" s="1"/>
      <c r="AS703" s="1"/>
      <c r="AT703" s="1"/>
      <c r="AU703" s="1"/>
      <c r="AV703" s="1"/>
      <c r="AW703" s="1"/>
      <c r="AX703" s="1"/>
      <c r="AY703" s="1"/>
    </row>
    <row r="704" spans="1:51" ht="40.049999999999997" customHeight="1">
      <c r="A704" s="199"/>
      <c r="B704" s="1310" t="s">
        <v>2006</v>
      </c>
      <c r="C704" s="1311"/>
      <c r="D704" s="1311"/>
      <c r="E704" s="1311"/>
      <c r="F704" s="1311"/>
      <c r="G704" s="1311"/>
      <c r="H704" s="1311"/>
      <c r="I704" s="1311"/>
      <c r="J704" s="1311"/>
      <c r="K704" s="1311"/>
      <c r="L704" s="1311"/>
      <c r="M704" s="512" t="s">
        <v>1783</v>
      </c>
      <c r="N704" s="200"/>
      <c r="O704" s="199"/>
      <c r="P704" s="24"/>
      <c r="Q704" s="24"/>
      <c r="R704" s="24"/>
      <c r="S704" s="24"/>
      <c r="T704" s="24"/>
      <c r="U704" s="24"/>
      <c r="V704" s="24"/>
      <c r="W704" s="24"/>
      <c r="X704" s="24"/>
      <c r="Y704" s="24"/>
      <c r="Z704" s="24"/>
      <c r="AA704" s="24"/>
      <c r="AB704" s="200"/>
      <c r="AC704" s="1"/>
      <c r="AD704" s="1"/>
      <c r="AE704" s="1"/>
      <c r="AF704" s="1"/>
      <c r="AG704" s="1"/>
      <c r="AH704" s="1"/>
      <c r="AI704" s="1"/>
      <c r="AJ704" s="1"/>
      <c r="AK704" s="1"/>
      <c r="AL704" s="1"/>
      <c r="AM704" s="1"/>
      <c r="AN704" s="1"/>
      <c r="AO704" s="1"/>
      <c r="AP704" s="1"/>
      <c r="AQ704" s="1"/>
      <c r="AR704" s="1"/>
      <c r="AS704" s="1"/>
      <c r="AT704" s="1"/>
      <c r="AU704" s="1"/>
      <c r="AV704" s="1"/>
      <c r="AW704" s="1"/>
      <c r="AX704" s="1"/>
      <c r="AY704" s="1"/>
    </row>
    <row r="705" spans="1:51" ht="19.95" customHeight="1">
      <c r="A705" s="199"/>
      <c r="B705" s="1310" t="s">
        <v>2008</v>
      </c>
      <c r="C705" s="1310"/>
      <c r="D705" s="1310"/>
      <c r="E705" s="1310"/>
      <c r="F705" s="1310"/>
      <c r="G705" s="1310"/>
      <c r="H705" s="1310"/>
      <c r="I705" s="1310"/>
      <c r="J705" s="1310"/>
      <c r="K705" s="1310"/>
      <c r="L705" s="1310"/>
      <c r="M705" s="512" t="s">
        <v>1783</v>
      </c>
      <c r="N705" s="200"/>
      <c r="O705" s="199"/>
      <c r="P705" s="24"/>
      <c r="Q705" s="24"/>
      <c r="R705" s="24"/>
      <c r="S705" s="24"/>
      <c r="T705" s="24"/>
      <c r="U705" s="24"/>
      <c r="V705" s="24"/>
      <c r="W705" s="24"/>
      <c r="X705" s="24"/>
      <c r="Y705" s="24"/>
      <c r="Z705" s="24"/>
      <c r="AA705" s="24"/>
      <c r="AB705" s="200"/>
      <c r="AC705" s="1"/>
      <c r="AD705" s="1"/>
      <c r="AE705" s="1"/>
      <c r="AF705" s="1"/>
      <c r="AG705" s="1"/>
      <c r="AH705" s="1"/>
      <c r="AI705" s="1"/>
      <c r="AJ705" s="1"/>
      <c r="AK705" s="1"/>
      <c r="AL705" s="1"/>
      <c r="AM705" s="1"/>
      <c r="AN705" s="1"/>
      <c r="AO705" s="1"/>
      <c r="AP705" s="1"/>
      <c r="AQ705" s="1"/>
      <c r="AR705" s="1"/>
      <c r="AS705" s="1"/>
      <c r="AT705" s="1"/>
      <c r="AU705" s="1"/>
      <c r="AV705" s="1"/>
      <c r="AW705" s="1"/>
      <c r="AX705" s="1"/>
      <c r="AY705" s="1"/>
    </row>
    <row r="706" spans="1:51" ht="40.049999999999997" customHeight="1">
      <c r="A706" s="199"/>
      <c r="B706" s="1310" t="s">
        <v>2009</v>
      </c>
      <c r="C706" s="1310"/>
      <c r="D706" s="1310"/>
      <c r="E706" s="1310"/>
      <c r="F706" s="1310"/>
      <c r="G706" s="1310"/>
      <c r="H706" s="1310"/>
      <c r="I706" s="1310"/>
      <c r="J706" s="1310"/>
      <c r="K706" s="1310"/>
      <c r="L706" s="1310"/>
      <c r="M706" s="512" t="s">
        <v>1783</v>
      </c>
      <c r="N706" s="200"/>
      <c r="O706" s="199"/>
      <c r="P706" s="24"/>
      <c r="Q706" s="24"/>
      <c r="R706" s="24"/>
      <c r="S706" s="24"/>
      <c r="T706" s="24"/>
      <c r="U706" s="24"/>
      <c r="V706" s="24"/>
      <c r="W706" s="24"/>
      <c r="X706" s="24"/>
      <c r="Y706" s="24"/>
      <c r="Z706" s="24"/>
      <c r="AA706" s="24"/>
      <c r="AB706" s="200"/>
      <c r="AC706" s="1"/>
      <c r="AD706" s="1"/>
      <c r="AE706" s="1"/>
      <c r="AF706" s="1"/>
      <c r="AG706" s="1"/>
      <c r="AH706" s="1"/>
      <c r="AI706" s="1"/>
      <c r="AJ706" s="1"/>
      <c r="AK706" s="1"/>
      <c r="AL706" s="1"/>
      <c r="AM706" s="1"/>
      <c r="AN706" s="1"/>
      <c r="AO706" s="1"/>
      <c r="AP706" s="1"/>
      <c r="AQ706" s="1"/>
      <c r="AR706" s="1"/>
      <c r="AS706" s="1"/>
      <c r="AT706" s="1"/>
      <c r="AU706" s="1"/>
      <c r="AV706" s="1"/>
      <c r="AW706" s="1"/>
      <c r="AX706" s="1"/>
      <c r="AY706" s="1"/>
    </row>
    <row r="707" spans="1:51" ht="4.95" customHeight="1">
      <c r="A707" s="199"/>
      <c r="B707" s="1310"/>
      <c r="C707" s="1310"/>
      <c r="D707" s="1310"/>
      <c r="E707" s="1310"/>
      <c r="F707" s="1310"/>
      <c r="G707" s="1310"/>
      <c r="H707" s="1310"/>
      <c r="I707" s="1310"/>
      <c r="J707" s="1310"/>
      <c r="K707" s="1310"/>
      <c r="L707" s="1310"/>
      <c r="M707" s="24"/>
      <c r="N707" s="200"/>
      <c r="O707" s="199"/>
      <c r="P707" s="24"/>
      <c r="Q707" s="24"/>
      <c r="R707" s="24"/>
      <c r="S707" s="24"/>
      <c r="T707" s="24"/>
      <c r="U707" s="24"/>
      <c r="V707" s="24"/>
      <c r="W707" s="24"/>
      <c r="X707" s="24"/>
      <c r="Y707" s="24"/>
      <c r="Z707" s="24"/>
      <c r="AA707" s="24"/>
      <c r="AB707" s="200"/>
      <c r="AC707" s="1"/>
      <c r="AD707" s="1"/>
      <c r="AE707" s="1"/>
      <c r="AF707" s="1"/>
      <c r="AG707" s="1"/>
      <c r="AH707" s="1"/>
      <c r="AI707" s="1"/>
      <c r="AJ707" s="1"/>
      <c r="AK707" s="1"/>
      <c r="AL707" s="1"/>
      <c r="AM707" s="1"/>
      <c r="AN707" s="1"/>
      <c r="AO707" s="1"/>
      <c r="AP707" s="1"/>
      <c r="AQ707" s="1"/>
      <c r="AR707" s="1"/>
      <c r="AS707" s="1"/>
      <c r="AT707" s="1"/>
      <c r="AU707" s="1"/>
      <c r="AV707" s="1"/>
      <c r="AW707" s="1"/>
      <c r="AX707" s="1"/>
      <c r="AY707" s="1"/>
    </row>
    <row r="708" spans="1:51">
      <c r="A708" s="199"/>
      <c r="B708" s="1310"/>
      <c r="C708" s="1310"/>
      <c r="D708" s="1310"/>
      <c r="E708" s="1310"/>
      <c r="F708" s="1310"/>
      <c r="G708" s="1310"/>
      <c r="H708" s="1310"/>
      <c r="I708" s="1310"/>
      <c r="J708" s="1310"/>
      <c r="K708" s="1310"/>
      <c r="L708" s="1310"/>
      <c r="M708" s="24"/>
      <c r="N708" s="200"/>
      <c r="O708" s="199"/>
      <c r="P708" s="24"/>
      <c r="Q708" s="24"/>
      <c r="R708" s="24"/>
      <c r="S708" s="24"/>
      <c r="T708" s="24"/>
      <c r="U708" s="24"/>
      <c r="V708" s="24"/>
      <c r="W708" s="24"/>
      <c r="X708" s="24"/>
      <c r="Y708" s="24"/>
      <c r="Z708" s="24"/>
      <c r="AA708" s="24"/>
      <c r="AB708" s="200"/>
      <c r="AC708" s="1"/>
      <c r="AD708" s="1"/>
      <c r="AE708" s="1"/>
      <c r="AF708" s="1"/>
      <c r="AG708" s="1"/>
      <c r="AH708" s="1"/>
      <c r="AI708" s="1"/>
      <c r="AJ708" s="1"/>
      <c r="AK708" s="1"/>
      <c r="AL708" s="1"/>
      <c r="AM708" s="1"/>
      <c r="AN708" s="1"/>
      <c r="AO708" s="1"/>
      <c r="AP708" s="1"/>
      <c r="AQ708" s="1"/>
      <c r="AR708" s="1"/>
      <c r="AS708" s="1"/>
      <c r="AT708" s="1"/>
      <c r="AU708" s="1"/>
      <c r="AV708" s="1"/>
      <c r="AW708" s="1"/>
      <c r="AX708" s="1"/>
      <c r="AY708" s="1"/>
    </row>
    <row r="709" spans="1:51">
      <c r="A709" s="199"/>
      <c r="B709" s="24"/>
      <c r="C709" s="24"/>
      <c r="D709" s="24"/>
      <c r="E709" s="24"/>
      <c r="F709" s="24"/>
      <c r="G709" s="24"/>
      <c r="H709" s="24"/>
      <c r="I709" s="24"/>
      <c r="J709" s="24"/>
      <c r="K709" s="24"/>
      <c r="L709" s="24"/>
      <c r="M709" s="24"/>
      <c r="N709" s="200"/>
      <c r="O709" s="199"/>
      <c r="P709" s="24"/>
      <c r="Q709" s="24"/>
      <c r="R709" s="24"/>
      <c r="S709" s="24"/>
      <c r="T709" s="24"/>
      <c r="U709" s="24"/>
      <c r="V709" s="24"/>
      <c r="W709" s="24"/>
      <c r="X709" s="24"/>
      <c r="Y709" s="24"/>
      <c r="Z709" s="24"/>
      <c r="AA709" s="24"/>
      <c r="AB709" s="200"/>
      <c r="AC709" s="1"/>
      <c r="AD709" s="1"/>
      <c r="AE709" s="1"/>
      <c r="AF709" s="1"/>
      <c r="AG709" s="1"/>
      <c r="AH709" s="1"/>
      <c r="AI709" s="1"/>
      <c r="AJ709" s="1"/>
      <c r="AK709" s="1"/>
      <c r="AL709" s="1"/>
      <c r="AM709" s="1"/>
      <c r="AN709" s="1"/>
      <c r="AO709" s="1"/>
      <c r="AP709" s="1"/>
      <c r="AQ709" s="1"/>
      <c r="AR709" s="1"/>
      <c r="AS709" s="1"/>
      <c r="AT709" s="1"/>
      <c r="AU709" s="1"/>
      <c r="AV709" s="1"/>
      <c r="AW709" s="1"/>
      <c r="AX709" s="1"/>
      <c r="AY709" s="1"/>
    </row>
    <row r="710" spans="1:51">
      <c r="A710" s="201"/>
      <c r="B710" s="202"/>
      <c r="C710" s="202"/>
      <c r="D710" s="202"/>
      <c r="E710" s="202"/>
      <c r="F710" s="202"/>
      <c r="G710" s="202"/>
      <c r="H710" s="202"/>
      <c r="I710" s="202"/>
      <c r="J710" s="202"/>
      <c r="K710" s="202"/>
      <c r="L710" s="202"/>
      <c r="M710" s="202"/>
      <c r="N710" s="203"/>
      <c r="O710" s="201"/>
      <c r="P710" s="202"/>
      <c r="Q710" s="202"/>
      <c r="R710" s="202"/>
      <c r="S710" s="202"/>
      <c r="T710" s="202"/>
      <c r="U710" s="202"/>
      <c r="V710" s="202"/>
      <c r="W710" s="202"/>
      <c r="X710" s="202"/>
      <c r="Y710" s="202"/>
      <c r="Z710" s="202"/>
      <c r="AA710" s="202"/>
      <c r="AB710" s="203"/>
      <c r="AC710" s="1"/>
      <c r="AD710" s="1"/>
      <c r="AE710" s="1"/>
      <c r="AF710" s="1"/>
      <c r="AG710" s="1"/>
      <c r="AH710" s="1"/>
      <c r="AI710" s="1"/>
      <c r="AJ710" s="1"/>
      <c r="AK710" s="1"/>
      <c r="AL710" s="1"/>
      <c r="AM710" s="1"/>
      <c r="AN710" s="1"/>
      <c r="AO710" s="1"/>
      <c r="AP710" s="1"/>
      <c r="AQ710" s="1"/>
      <c r="AR710" s="1"/>
      <c r="AS710" s="1"/>
      <c r="AT710" s="1"/>
      <c r="AU710" s="1"/>
      <c r="AV710" s="1"/>
      <c r="AW710" s="1"/>
      <c r="AX710" s="1"/>
      <c r="AY710" s="1"/>
    </row>
    <row r="711" spans="1:51">
      <c r="Q711" s="511"/>
    </row>
    <row r="1093" spans="1:57" ht="16.2" hidden="1">
      <c r="A1093" s="188" t="s">
        <v>1596</v>
      </c>
    </row>
    <row r="1094" spans="1:57" hidden="1">
      <c r="A1094" s="400">
        <f>IF($H97=$B1100,A1100,IF($H97=$B1101,A1101,IF($H97=$B1102,A1102,IF($H97=$B1103,A1103,IF($H97=$B1104,A1104,IF($H97=$B1105,A1105,IF($H97=$B1106,A1106,IF($H97=$B1107,A1107,IF($H97=$B1108,A1108,IF($H97=$B1109,A1109,IF($H97=$B1110,A1110,IF($H97=$B1111,A1111,IF($H97=$B1112,A1112,IF($H97=$B1113,A1113,IF($H97=$B1114,A1114,IF($H97=$B1115,A1115,IF($H97=$B1116,A1116,IF($H97=$B1117,A1117,""))))))))))))))))))</f>
        <v>-4</v>
      </c>
      <c r="B1094" s="2" t="str">
        <f>IF($H97=$B1100,B1100,IF($H97=$B1101,B1101,IF($H97=$B1102,B1102,IF($H97=$B1103,B1103,IF($H97=$B1104,B1104,IF($H97=$B1105,B1105,IF($H97=$B1106,B1106,IF($H97=$B1107,B1107,IF($H97=$B1108,B1108,IF($H97=$B1109,B1109,IF($H97=$B1110,B1110,IF($H97=$B1111,B1111,IF($H97=$B1112,B1112,IF($H97=$B1113,B1113,IF($H97=$B1114,B1114,IF($H97=$B1115,B1115,IF($H97=$B1116,B1116,IF($H97=$B1117,B1117,""))))))))))))))))))</f>
        <v>PROGRESSIVE</v>
      </c>
      <c r="E1094" s="37" t="str">
        <f>IF(AND(A$1094&lt;-1,A$1094&gt;-10),B$1105,IF(AND(A$1094&gt;1,A$1094&lt;10),B$1112,IF(AND(A$1094&gt;-2,A$1094&lt;2),B$1109,"")))</f>
        <v>LIBERAL</v>
      </c>
      <c r="G1094" s="2" t="str">
        <f>IF(E1094="",BK90,E1094)</f>
        <v>LIBERAL</v>
      </c>
      <c r="I1094" s="313" t="str">
        <f>IF(G1094=B$1105,D$1105,IF(G1094=B$1110,D$1110,IF(G1094=B$1112,D$1112,"")))</f>
        <v>liberal</v>
      </c>
    </row>
    <row r="1095" spans="1:57" ht="16.2" hidden="1">
      <c r="A1095" s="188" t="s">
        <v>1597</v>
      </c>
    </row>
    <row r="1096" spans="1:57" hidden="1">
      <c r="A1096" s="400">
        <f>IF($H99=$B1100,A1100,IF($H99=$B1101,A1101,IF($H99=$B1102,A1102,IF($H99=$B1103,A1103,IF($H99=$B1104,A1104,IF($H99=$B1105,A1105,IF($H99=$B1106,A1106,IF($H99=$B1107,A1107,IF($H99=$B1108,A1108,IF($H99=$B1109,A1109,IF($H99=$B1110,A1110,IF($H99=$B1111,A1111,IF($H99=$B1112,A1112,IF($H99=$B1113,A1113,IF($H99=$B1114,A1114,IF($H99=$B1115,A1115,IF($H99=$B1116,A1116,IF($H99=$B1117,A1117,""))))))))))))))))))</f>
        <v>2</v>
      </c>
      <c r="B1096" s="2" t="str">
        <f>IF($H99=$B1100,B1100,IF($H99=$B1101,B1101,IF($H99=$B1102,B1102,IF($H99=$B1103,B1103,IF($H99=$B1104,B1104,IF($H99=$B1105,B1105,IF($H99=$B1106,B1106,IF($H99=$B1107,B1107,IF($H99=$B1108,B1108,IF($H99=$B1109,B1111,IF($H99=$B1112,B1112,IF($H99=$B1113,B1113,IF($H99=$B1114,B1114,IF($H99=$B1115,B1115,IF($H99=$B1116,B1116,IF($H99=$B1117,B1117,IF($H99=$B1118,B1118,IF($H99=$B1119,B1119,""))))))))))))))))))</f>
        <v/>
      </c>
      <c r="E1096" s="37" t="str">
        <f>IF(AND(A$1096&lt;-1,A$1096&gt;-10),B$1105,IF(AND(A$1096&gt;1,A$1096&lt;10),B$1112,IF(AND(A$1096&gt;-2,A$1096&lt;2),B$1109,"")))</f>
        <v>CONSERVATIVE</v>
      </c>
      <c r="G1096" s="2" t="str">
        <f>IF(E1096="",BK88,E1096)</f>
        <v>CONSERVATIVE</v>
      </c>
      <c r="I1096" s="313" t="str">
        <f>IF(G1096=B$1105,D$1105,IF(G1096=B$1110,D$1110,IF(G1096=B$1112,D$1112,"")))</f>
        <v>conservative</v>
      </c>
    </row>
    <row r="1097" spans="1:57" hidden="1"/>
    <row r="1098" spans="1:57" hidden="1"/>
    <row r="1099" spans="1:57" hidden="1"/>
    <row r="1100" spans="1:57" hidden="1">
      <c r="A1100" s="400">
        <f t="shared" ref="A1100:A1105" si="2">A1101-1</f>
        <v>-8</v>
      </c>
      <c r="B1100" s="401" t="s">
        <v>1354</v>
      </c>
      <c r="H1100" s="2">
        <f t="shared" ref="H1100:H1117" si="3">IF(AND($H$97=B1100,$G$300=$B$1165),1,0)</f>
        <v>0</v>
      </c>
      <c r="I1100" s="2">
        <f t="shared" ref="I1100:I1117" si="4">IF(AND($H$97=B1100,$G$302=$B$1170),1,0)</f>
        <v>0</v>
      </c>
      <c r="J1100" s="37">
        <f>SUM(H1100:I1100)</f>
        <v>0</v>
      </c>
      <c r="BE1100" s="132"/>
    </row>
    <row r="1101" spans="1:57" hidden="1">
      <c r="A1101" s="400">
        <f t="shared" si="2"/>
        <v>-7</v>
      </c>
      <c r="B1101" s="401" t="s">
        <v>1344</v>
      </c>
      <c r="H1101" s="2">
        <f t="shared" si="3"/>
        <v>0</v>
      </c>
      <c r="I1101" s="2">
        <f t="shared" si="4"/>
        <v>0</v>
      </c>
      <c r="J1101" s="37">
        <f t="shared" ref="J1101:J1117" si="5">SUM(H1101:I1101)</f>
        <v>0</v>
      </c>
      <c r="BE1101" s="461"/>
    </row>
    <row r="1102" spans="1:57" hidden="1">
      <c r="A1102" s="400">
        <f t="shared" si="2"/>
        <v>-6</v>
      </c>
      <c r="B1102" s="401" t="s">
        <v>685</v>
      </c>
      <c r="H1102" s="2">
        <f t="shared" si="3"/>
        <v>0</v>
      </c>
      <c r="I1102" s="2">
        <f t="shared" si="4"/>
        <v>0</v>
      </c>
      <c r="J1102" s="37">
        <f t="shared" si="5"/>
        <v>0</v>
      </c>
      <c r="BE1102" s="461"/>
    </row>
    <row r="1103" spans="1:57" hidden="1">
      <c r="A1103" s="400">
        <f t="shared" si="2"/>
        <v>-5</v>
      </c>
      <c r="B1103" s="401" t="s">
        <v>1348</v>
      </c>
      <c r="H1103" s="2">
        <f t="shared" si="3"/>
        <v>0</v>
      </c>
      <c r="I1103" s="2">
        <f t="shared" si="4"/>
        <v>0</v>
      </c>
      <c r="J1103" s="37">
        <f t="shared" si="5"/>
        <v>0</v>
      </c>
      <c r="BE1103" s="461"/>
    </row>
    <row r="1104" spans="1:57" hidden="1">
      <c r="A1104" s="400">
        <f t="shared" si="2"/>
        <v>-4</v>
      </c>
      <c r="B1104" s="401" t="s">
        <v>1338</v>
      </c>
      <c r="D1104" s="2" t="s">
        <v>1339</v>
      </c>
      <c r="F1104" s="2" t="s">
        <v>1340</v>
      </c>
      <c r="H1104" s="2">
        <f t="shared" si="3"/>
        <v>1</v>
      </c>
      <c r="I1104" s="2">
        <f t="shared" si="4"/>
        <v>1</v>
      </c>
      <c r="J1104" s="37">
        <f t="shared" si="5"/>
        <v>2</v>
      </c>
      <c r="BE1104" s="461"/>
    </row>
    <row r="1105" spans="1:62" hidden="1">
      <c r="A1105" s="400">
        <f t="shared" si="2"/>
        <v>-3</v>
      </c>
      <c r="B1105" s="403" t="s">
        <v>1342</v>
      </c>
      <c r="D1105" s="37" t="s">
        <v>49</v>
      </c>
      <c r="H1105" s="2">
        <f t="shared" si="3"/>
        <v>0</v>
      </c>
      <c r="I1105" s="2">
        <f t="shared" si="4"/>
        <v>0</v>
      </c>
      <c r="J1105" s="37">
        <f t="shared" si="5"/>
        <v>0</v>
      </c>
      <c r="BE1105" s="461"/>
    </row>
    <row r="1106" spans="1:62" hidden="1">
      <c r="A1106" s="400">
        <f>A1107-1</f>
        <v>-2</v>
      </c>
      <c r="B1106" s="401" t="s">
        <v>680</v>
      </c>
      <c r="H1106" s="2">
        <f t="shared" si="3"/>
        <v>0</v>
      </c>
      <c r="I1106" s="2">
        <f t="shared" si="4"/>
        <v>0</v>
      </c>
      <c r="J1106" s="37">
        <f t="shared" si="5"/>
        <v>0</v>
      </c>
      <c r="BE1106" s="461"/>
    </row>
    <row r="1107" spans="1:62" hidden="1">
      <c r="A1107" s="400">
        <v>-1</v>
      </c>
      <c r="B1107" s="132" t="s">
        <v>1349</v>
      </c>
      <c r="H1107" s="2">
        <f t="shared" si="3"/>
        <v>0</v>
      </c>
      <c r="I1107" s="2">
        <f t="shared" si="4"/>
        <v>0</v>
      </c>
      <c r="J1107" s="37">
        <f t="shared" si="5"/>
        <v>0</v>
      </c>
      <c r="BE1107" s="461"/>
    </row>
    <row r="1108" spans="1:62" hidden="1">
      <c r="A1108" s="400">
        <v>0</v>
      </c>
      <c r="B1108" s="132" t="s">
        <v>1351</v>
      </c>
      <c r="H1108" s="2">
        <f t="shared" si="3"/>
        <v>0</v>
      </c>
      <c r="I1108" s="2">
        <f t="shared" si="4"/>
        <v>0</v>
      </c>
      <c r="J1108" s="37">
        <f t="shared" si="5"/>
        <v>0</v>
      </c>
    </row>
    <row r="1109" spans="1:62" hidden="1">
      <c r="A1109" s="400">
        <v>0</v>
      </c>
      <c r="B1109" s="132" t="s">
        <v>1352</v>
      </c>
      <c r="H1109" s="2">
        <f t="shared" si="3"/>
        <v>0</v>
      </c>
      <c r="I1109" s="2">
        <f t="shared" si="4"/>
        <v>0</v>
      </c>
      <c r="J1109" s="37">
        <f t="shared" si="5"/>
        <v>0</v>
      </c>
    </row>
    <row r="1110" spans="1:62" hidden="1">
      <c r="A1110" s="400">
        <f>A1109+1</f>
        <v>1</v>
      </c>
      <c r="B1110" s="132" t="s">
        <v>1350</v>
      </c>
      <c r="H1110" s="2">
        <f t="shared" si="3"/>
        <v>0</v>
      </c>
      <c r="I1110" s="2">
        <f t="shared" si="4"/>
        <v>0</v>
      </c>
      <c r="J1110" s="37">
        <f t="shared" si="5"/>
        <v>0</v>
      </c>
    </row>
    <row r="1111" spans="1:62" hidden="1">
      <c r="A1111" s="400">
        <f t="shared" ref="A1111:A1117" si="6">A1110+1</f>
        <v>2</v>
      </c>
      <c r="B1111" s="402" t="s">
        <v>681</v>
      </c>
      <c r="H1111" s="2">
        <f t="shared" si="3"/>
        <v>0</v>
      </c>
      <c r="I1111" s="2">
        <f t="shared" si="4"/>
        <v>0</v>
      </c>
      <c r="J1111" s="37">
        <f t="shared" si="5"/>
        <v>0</v>
      </c>
    </row>
    <row r="1112" spans="1:62" hidden="1">
      <c r="A1112" s="400">
        <f t="shared" si="6"/>
        <v>3</v>
      </c>
      <c r="B1112" s="404" t="s">
        <v>1357</v>
      </c>
      <c r="D1112" s="37" t="s">
        <v>50</v>
      </c>
      <c r="H1112" s="2">
        <f t="shared" si="3"/>
        <v>0</v>
      </c>
      <c r="I1112" s="2">
        <f t="shared" si="4"/>
        <v>0</v>
      </c>
      <c r="J1112" s="37">
        <f t="shared" si="5"/>
        <v>0</v>
      </c>
    </row>
    <row r="1113" spans="1:62" hidden="1">
      <c r="A1113" s="400">
        <f t="shared" si="6"/>
        <v>4</v>
      </c>
      <c r="B1113" s="402" t="s">
        <v>1353</v>
      </c>
      <c r="D1113" s="2" t="s">
        <v>1341</v>
      </c>
      <c r="H1113" s="2">
        <f t="shared" si="3"/>
        <v>0</v>
      </c>
      <c r="I1113" s="2">
        <f t="shared" si="4"/>
        <v>0</v>
      </c>
      <c r="J1113" s="37">
        <f t="shared" si="5"/>
        <v>0</v>
      </c>
    </row>
    <row r="1114" spans="1:62" hidden="1">
      <c r="A1114" s="400">
        <f t="shared" si="6"/>
        <v>5</v>
      </c>
      <c r="B1114" s="402" t="s">
        <v>1345</v>
      </c>
      <c r="H1114" s="2">
        <f t="shared" si="3"/>
        <v>0</v>
      </c>
      <c r="I1114" s="2">
        <f t="shared" si="4"/>
        <v>0</v>
      </c>
      <c r="J1114" s="37">
        <f t="shared" si="5"/>
        <v>0</v>
      </c>
    </row>
    <row r="1115" spans="1:62" hidden="1">
      <c r="A1115" s="400">
        <f t="shared" si="6"/>
        <v>6</v>
      </c>
      <c r="B1115" s="402" t="s">
        <v>1343</v>
      </c>
      <c r="H1115" s="2">
        <f t="shared" si="3"/>
        <v>0</v>
      </c>
      <c r="I1115" s="2">
        <f t="shared" si="4"/>
        <v>0</v>
      </c>
      <c r="J1115" s="37">
        <f t="shared" si="5"/>
        <v>0</v>
      </c>
    </row>
    <row r="1116" spans="1:62" hidden="1">
      <c r="A1116" s="400">
        <f t="shared" si="6"/>
        <v>7</v>
      </c>
      <c r="B1116" s="402" t="s">
        <v>1346</v>
      </c>
      <c r="H1116" s="2">
        <f t="shared" si="3"/>
        <v>0</v>
      </c>
      <c r="I1116" s="2">
        <f t="shared" si="4"/>
        <v>0</v>
      </c>
      <c r="J1116" s="37">
        <f t="shared" si="5"/>
        <v>0</v>
      </c>
    </row>
    <row r="1117" spans="1:62" hidden="1">
      <c r="A1117" s="400">
        <f t="shared" si="6"/>
        <v>8</v>
      </c>
      <c r="B1117" s="402" t="s">
        <v>1347</v>
      </c>
      <c r="H1117" s="2">
        <f t="shared" si="3"/>
        <v>0</v>
      </c>
      <c r="I1117" s="2">
        <f t="shared" si="4"/>
        <v>0</v>
      </c>
      <c r="J1117" s="37">
        <f t="shared" si="5"/>
        <v>0</v>
      </c>
      <c r="BG1117" s="441" t="s">
        <v>1478</v>
      </c>
      <c r="BH1117" s="433"/>
      <c r="BI1117" s="433"/>
      <c r="BJ1117" s="433"/>
    </row>
    <row r="1118" spans="1:62" ht="16.2" hidden="1">
      <c r="J1118" s="418">
        <f>SUM(J1100:J1117)</f>
        <v>2</v>
      </c>
      <c r="K1118" s="2" t="str">
        <f>IF(J1118&gt;1,P1119,P1120)</f>
        <v xml:space="preserve">The more your client's needs remain unresolved, the more apt to generalize for relief. The more they cling to political generalizations. </v>
      </c>
      <c r="BG1118" s="441" t="s">
        <v>1477</v>
      </c>
      <c r="BH1118" s="433"/>
      <c r="BI1118" s="433"/>
      <c r="BJ1118" s="433"/>
    </row>
    <row r="1119" spans="1:62" hidden="1">
      <c r="P1119" s="2" t="s">
        <v>1423</v>
      </c>
      <c r="BG1119" s="454" t="s">
        <v>1515</v>
      </c>
      <c r="BH1119" s="454" t="s">
        <v>1516</v>
      </c>
      <c r="BI1119" s="454" t="s">
        <v>1517</v>
      </c>
      <c r="BJ1119" s="454" t="s">
        <v>1518</v>
      </c>
    </row>
    <row r="1120" spans="1:62" ht="15.6" hidden="1">
      <c r="B1120" s="407" t="str">
        <f>IF(OR(AND($A$1094&gt;0,$A$1096&lt;0),AND($A$1094&lt;0,$A$1096&gt;0)),"opposing","similar")</f>
        <v>opposing</v>
      </c>
      <c r="P1120" s="2" t="s">
        <v>1424</v>
      </c>
      <c r="BG1120" s="455" t="str">
        <f>IF($E$1094=$B$1105,BG1124,IF($E$1094=$B$1112,BH1124,"unmet needs"))</f>
        <v>full inclusion</v>
      </c>
      <c r="BH1120" s="455" t="str">
        <f>IF($E$1094=$B$1105,BH1124,IF($E$1094=$B$1112,BG1124,"their unmet needs"))</f>
        <v>self-protection</v>
      </c>
      <c r="BI1120" s="455" t="str">
        <f>IF($E$1094=$B$1105,BI1124,IF($E$1094=$B$1112,BJ1124,"met needs"))</f>
        <v>self-determination</v>
      </c>
      <c r="BJ1120" s="455" t="str">
        <f>IF($E$1094=$B$1105,BJ1124,IF($E$1094=$B$1112,BI1124,"met needs"))</f>
        <v>local cohesion</v>
      </c>
    </row>
    <row r="1121" spans="1:67" ht="15.6" hidden="1">
      <c r="B1121" s="408"/>
      <c r="D1121" s="419" t="s">
        <v>1370</v>
      </c>
      <c r="X1121" s="2" t="s">
        <v>1462</v>
      </c>
      <c r="BG1121" s="440" t="s">
        <v>1474</v>
      </c>
    </row>
    <row r="1122" spans="1:67" hidden="1">
      <c r="F1122" s="132"/>
      <c r="G1122" s="460" t="s">
        <v>1598</v>
      </c>
      <c r="H1122" s="132" t="str">
        <f>IF($E$1094=$B$1105,H$1124,IF($E$1094=$B$1112,I$1124,"one side"))</f>
        <v>soft borders</v>
      </c>
      <c r="I1122" s="463" t="str">
        <f>IF($E$1094=$B$1105,I$1124,IF($E$1094=$B$1112,H$1124,"the other"))</f>
        <v>firm borders</v>
      </c>
      <c r="J1122" s="132"/>
      <c r="K1122" s="460" t="s">
        <v>1599</v>
      </c>
      <c r="L1122" s="132" t="str">
        <f>IF($E$1094=$B$1105,L$1124,IF($E$1094=$B$1112,M$1124,"one's focus"))</f>
        <v>easy entry</v>
      </c>
      <c r="M1122" s="463" t="str">
        <f>IF($E$1094=$B$1105,M$1124,IF($E$1094=$B$1112,L$1124,"the other's focus"))</f>
        <v>vetted entry</v>
      </c>
      <c r="N1122" s="132"/>
      <c r="O1122" s="132"/>
      <c r="P1122" s="132" t="str">
        <f>IF($E$1094=$B$1105,P$1124,IF($E$1094=$B$1112,Q$1124,"one group"))</f>
        <v>poor immigrants</v>
      </c>
      <c r="Q1122" s="463" t="str">
        <f>IF($E$1094=$B$1105,Q$1124,IF($E$1094=$B$1112,P$1124,"another group"))</f>
        <v>U.S. citizens</v>
      </c>
      <c r="R1122" s="132" t="str">
        <f>IF($E$1094=$B$1105,R$1124,IF($E$1094=$B$1112,S$1124,"relieve their pain"))</f>
        <v>help all immigrants</v>
      </c>
      <c r="S1122" s="463" t="str">
        <f>IF($E$1094=$B$1105,S$1124,IF($E$1094=$B$1112,R$1124,"do the opposite"))</f>
        <v>build a wall</v>
      </c>
      <c r="T1122" s="132" t="str">
        <f>IF($E$1094=$B$1105,T$1124,IF($E$1094=$B$1112,U$1124,"both sides exaggerate"))</f>
        <v>cage children</v>
      </c>
      <c r="U1122" s="463" t="str">
        <f>IF($E$1094=$B$1105,U$1124,IF($E$1094=$B$1112,T$1124,"they are right"))</f>
        <v>let in murderers</v>
      </c>
      <c r="V1122" s="132" t="str">
        <f>IF($E$1094=$B$1105,V$1124,IF($E$1094=$B$1112,W$1124,"overgeneralize too much"))</f>
        <v>separate families</v>
      </c>
      <c r="W1122" s="463" t="str">
        <f>IF($E$1094=$B$1105,W$1124,IF($E$1094=$B$1112,V$1124,"others are wrong"))</f>
        <v>let in criminal gangs</v>
      </c>
      <c r="X1122" s="132" t="str">
        <f>IF($E$1094=$B$1105,X$1124,IF($E$1094=$B$1112,Y$1124,"disgust"))</f>
        <v>alienation</v>
      </c>
      <c r="Y1122" s="463" t="str">
        <f>IF($E$1094=$B$1105,Y$1124,IF($E$1094=$B$1112,X$1124,"&amp;@&amp;"))</f>
        <v>insecurity</v>
      </c>
      <c r="Z1122" s="132" t="str">
        <f>IF($E$1094=$B$1105,Z$1124,IF($E$1094=$B$1112,AA$1124,"disappointment"))</f>
        <v>loneliness</v>
      </c>
      <c r="AA1122" s="463" t="str">
        <f>IF($E$1094=$B$1105,AA$1124,IF($E$1094=$B$1112,Z$1124,"!#!"))</f>
        <v>anxiety</v>
      </c>
      <c r="AZ1122" s="132"/>
      <c r="BA1122" s="132"/>
      <c r="BB1122" s="132"/>
      <c r="BC1122" s="132" t="str">
        <f>IF($E$1094=$B$1105,BC$1124,IF($E$1094=$B$1112,BD$1124,"ideologues"))</f>
        <v>"xenophobes"</v>
      </c>
      <c r="BD1122" s="463" t="str">
        <f>IF($E$1094=$B$1105,BD$1124,IF($E$1094=$B$1112,BC$1124,"appeasers"))</f>
        <v>"illegals"</v>
      </c>
      <c r="BE1122" s="132" t="str">
        <f>IF($E$1094=$B$1105,BE$1124,IF($E$1094=$B$1112,BF$1124,"for peace"))</f>
        <v>for freedom of movement</v>
      </c>
      <c r="BF1122" s="463" t="str">
        <f>IF($E$1094=$B$1105,BF$1124,IF($E$1094=$B$1112,BE$1124,"to fight"))</f>
        <v>for secure borders</v>
      </c>
      <c r="BG1122" s="132" t="str">
        <f>IF($E$1094=$B$1105,BG$1124,IF($E$1094=$B$1112,BH$1124,"unity"))</f>
        <v>full inclusion</v>
      </c>
      <c r="BH1122" s="463" t="str">
        <f>IF($E$1094=$B$1105,BH$1124,IF($E$1094=$B$1112,BG$1124,"arguing"))</f>
        <v>self-protection</v>
      </c>
      <c r="BI1122" s="132" t="str">
        <f>IF($E$1094=$B$1105,BI$1124,IF($E$1094=$B$1112,BJ$1124,"cooperation"))</f>
        <v>self-determination</v>
      </c>
      <c r="BJ1122" s="463" t="str">
        <f>IF($E$1094=$B$1105,BJ$1124,IF($E$1094=$B$1112,BI$1124,"debating"))</f>
        <v>local cohesion</v>
      </c>
      <c r="BK1122" s="132" t="str">
        <f>IF($E$1094=$B$1105,BK$1124,IF($E$1094=$B$1112,BL$1124,"just get along"))</f>
        <v>let anyone enter</v>
      </c>
      <c r="BL1122" s="463" t="str">
        <f>IF($E$1094=$B$1105,BL$1124,IF($E$1094=$B$1112,BK$1124,"take a side"))</f>
        <v>keep all out</v>
      </c>
      <c r="BM1122" s="132" t="str">
        <f>IF($E$1094=$B$1105,BM$1124,IF($E$1094=$B$1112,BN$1124,"clashing needs"))</f>
        <v>affected nativists</v>
      </c>
      <c r="BN1122" s="463" t="str">
        <f>IF($E$1094=$B$1105,BN$1124,IF($E$1094=$B$1112,BM$1124,"the need for peace"))</f>
        <v>desperate immigrants</v>
      </c>
      <c r="BO1122" s="132"/>
    </row>
    <row r="1123" spans="1:67" hidden="1">
      <c r="F1123" s="461"/>
      <c r="G1123" s="462" t="s">
        <v>1600</v>
      </c>
      <c r="H1123" s="461" t="str">
        <f>IF($E$1096=$B$1105,H$1124,IF($E$1096=$B$1112,I$1124,"one side"))</f>
        <v>firm borders</v>
      </c>
      <c r="I1123" s="464" t="str">
        <f>IF($E$1096=$B$1105,I$1124,IF($E$1096=$B$1112,H$1124,"the other"))</f>
        <v>soft borders</v>
      </c>
      <c r="J1123" s="461"/>
      <c r="K1123" s="462" t="s">
        <v>1601</v>
      </c>
      <c r="L1123" s="461" t="str">
        <f>IF($E$1096=$B$1105,L$1124,IF($E$1096=$B$1112,M$1124,""))</f>
        <v>vetted entry</v>
      </c>
      <c r="M1123" s="464" t="str">
        <f>IF($E$1096=$B$1105,M$1124,IF($E$1096=$B$1112,L$1124,""))</f>
        <v>easy entry</v>
      </c>
      <c r="N1123" s="461"/>
      <c r="O1123" s="461"/>
      <c r="P1123" s="461" t="str">
        <f>IF($E$1096=$B$1105,P$1124,IF($E$1096=$B$1112,Q$1124,""))</f>
        <v>U.S. citizens</v>
      </c>
      <c r="Q1123" s="464" t="str">
        <f>IF($E$1096=$B$1105,Q$1124,IF($E$1096=$B$1112,P$1124,""))</f>
        <v>poor immigrants</v>
      </c>
      <c r="R1123" s="461" t="str">
        <f>IF($E$1096=$B$1105,R$1124,IF($E$1096=$B$1112,S$1124,""))</f>
        <v>build a wall</v>
      </c>
      <c r="S1123" s="464" t="str">
        <f>IF($E$1096=$B$1105,S$1124,IF($E$1096=$B$1112,R$1124,""))</f>
        <v>help all immigrants</v>
      </c>
      <c r="T1123" s="461" t="str">
        <f>IF($E$1096=$B$1105,T$1124,IF($E$1096=$B$1112,U$1124,""))</f>
        <v>let in murderers</v>
      </c>
      <c r="U1123" s="464" t="str">
        <f>IF($E$1096=$B$1105,U$1124,IF($E$1096=$B$1112,T$1124,""))</f>
        <v>cage children</v>
      </c>
      <c r="V1123" s="461" t="str">
        <f>IF($E$1096=$B$1105,V$1124,IF($E$1096=$B$1112,W$1124,""))</f>
        <v>let in criminal gangs</v>
      </c>
      <c r="W1123" s="464" t="str">
        <f>IF($E$1096=$B$1105,W$1124,IF($E$1096=$B$1112,V$1124,""))</f>
        <v>separate families</v>
      </c>
      <c r="X1123" s="461" t="str">
        <f>IF($E$1096=$B$1105,X$1124,IF($E$1096=$B$1112,Y$1124,""))</f>
        <v>insecurity</v>
      </c>
      <c r="Y1123" s="464" t="str">
        <f>IF($E$1096=$B$1105,Y$1124,IF($E$1096=$B$1112,X$1124,""))</f>
        <v>alienation</v>
      </c>
      <c r="Z1123" s="461" t="str">
        <f>IF($E$1096=$B$1105,Z$1124,IF($E$1096=$B$1112,AA$1124,""))</f>
        <v>anxiety</v>
      </c>
      <c r="AA1123" s="464" t="str">
        <f>IF($E$1096=$B$1105,AA$1124,IF($E$1096=$B$1112,Z$1124,""))</f>
        <v>loneliness</v>
      </c>
      <c r="AZ1123" s="461"/>
      <c r="BA1123" s="461"/>
      <c r="BB1123" s="461"/>
      <c r="BC1123" s="461" t="str">
        <f>IF($E$1096=$B$1105,BC$1124,IF($E$1096=$B$1112,BD$1124,""))</f>
        <v>"illegals"</v>
      </c>
      <c r="BD1123" s="464" t="str">
        <f>IF($E$1096=$B$1105,BD$1124,IF($E$1096=$B$1112,BC$1124,""))</f>
        <v>"xenophobes"</v>
      </c>
      <c r="BE1123" s="461" t="str">
        <f>IF($E$1096=$B$1105,BE$1124,IF($E$1096=$B$1112,BF$1124,""))</f>
        <v>for secure borders</v>
      </c>
      <c r="BF1123" s="464" t="str">
        <f>IF($E$1096=$B$1105,BF$1124,IF($E$1096=$B$1112,BE$1124,""))</f>
        <v>for freedom of movement</v>
      </c>
      <c r="BG1123" s="461" t="str">
        <f>IF($E$1096=$B$1105,BG$1124,IF($E$1096=$B$1112,BH$1124,"[a]"))</f>
        <v>self-protection</v>
      </c>
      <c r="BH1123" s="464" t="str">
        <f>IF($E$1096=$B$1105,BH$1124,IF($E$1096=$B$1112,BG$1124,"[b]"))</f>
        <v>full inclusion</v>
      </c>
      <c r="BI1123" s="461" t="str">
        <f>IF($E$1096=$B$1105,BI$1124,IF($E$1096=$B$1112,BJ$1124,"[c]"))</f>
        <v>local cohesion</v>
      </c>
      <c r="BJ1123" s="464" t="str">
        <f>IF($E$1096=$B$1105,BJ$1124,IF($E$1096=$B$1112,BI$1124,"[d]"))</f>
        <v>self-determination</v>
      </c>
      <c r="BK1123" s="461" t="str">
        <f>IF($E$1096=$B$1105,BK$1124,IF($E$1096=$B$1112,BL$1124,"w overgen"))</f>
        <v>keep all out</v>
      </c>
      <c r="BL1123" s="464" t="str">
        <f>IF($E$1096=$B$1105,BL$1124,IF($E$1096=$B$1112,BK$1124,"d overgen"))</f>
        <v>let anyone enter</v>
      </c>
      <c r="BM1123" s="461" t="str">
        <f>IF($E$1096=$B$1105,BM$1124,IF($E$1096=$B$1112,BN$1124,"w degen"))</f>
        <v>desperate immigrants</v>
      </c>
      <c r="BN1123" s="464" t="str">
        <f>IF($E$1096=$B$1105,BN$1124,IF($E$1096=$B$1112,BM$1124,"d degen"))</f>
        <v>affected nativists</v>
      </c>
      <c r="BO1123" s="461"/>
    </row>
    <row r="1124" spans="1:67" hidden="1">
      <c r="B1124" s="414" t="str">
        <f>IF($H$101=$B1127,B1127,IF($H$101=$B1128,B1128,IF($H$101=$B1129,B1129,IF(H101=$B1130,B1130,IF($H$101=$B1131,B1131,IF($H$101=$B1132,B1132,IF($H$101=$B1133,B1133,IF($H$101=$B1134,B1134,IF($H$101=$B1135,B1135,IF($H$101=$B1136,B1136,IF($H$101=$B1137,B1137,IF($H$101=$B1138,B1138,""))))))))))))</f>
        <v>IMMIGRATION</v>
      </c>
      <c r="C1124" s="414" t="str">
        <f>IF($H$101=$B1127,C1127,IF($H$101=$B1128,C1128,IF($H$101=$B1129,C1129,IF($H$101=$B1130,C1130,IF($H$101=$B1131,C1131,IF($H$101=$B1132,C1132,IF($H$101=$B1133,C1133,IF($H$101=$B1134,C1134,IF($H$101=$B1135,C1135,IF($H$101=$B1136,C1136,IF($H$101=$B1137,C1137,IF($H$101=$B1138,C1138,""))))))))))))</f>
        <v>Immigration</v>
      </c>
      <c r="D1124" s="414" t="str">
        <f>IF($H$101=$B1127,D1127,IF($H$101=$B1128,D1128,IF($H$101=$B1129,D1129,IF($H$101=$B1130,D1130,IF($H$101=$B1131,D1131,IF($H$101=$B1132,D1132,IF($H$101=$B1133,D1133,IF($H$101=$B1134,D1134,IF($H$101=$B1135,D1135,IF($H$101=$B1136,D1136,IF($H$101=$B1137,D1137,IF($H$101=$B1138,D1138,""))))))))))))</f>
        <v>immigration</v>
      </c>
      <c r="E1124" s="414"/>
      <c r="F1124" s="403" t="str">
        <f t="shared" ref="F1124:U1124" si="7">IF($H$101=$B1127,F1127,IF($H$101=$B1128,F1128,IF($H$101=$B1129,F1129,IF($H$101=$B1130,F1130,IF($H$101=$B1131,F1131,IF($H$101=$B1132,F1132,IF($H$101=$B1133,F1133,IF($H$101=$B1134,F1134,IF($H$101=$B1135,F1135,IF($H$101=$B1136,F1136,IF($H$101=$B1137,F1137,IF($H$101=$B1138,F1138,""))))))))))))</f>
        <v>Soft borders</v>
      </c>
      <c r="G1124" s="415" t="str">
        <f t="shared" si="7"/>
        <v>Firm borders</v>
      </c>
      <c r="H1124" s="403" t="str">
        <f t="shared" si="7"/>
        <v>soft borders</v>
      </c>
      <c r="I1124" s="415" t="str">
        <f t="shared" si="7"/>
        <v>firm borders</v>
      </c>
      <c r="J1124" s="403" t="str">
        <f t="shared" si="7"/>
        <v>Easy entry</v>
      </c>
      <c r="K1124" s="415" t="str">
        <f t="shared" si="7"/>
        <v>Vetted entry</v>
      </c>
      <c r="L1124" s="403" t="str">
        <f t="shared" si="7"/>
        <v>easy entry</v>
      </c>
      <c r="M1124" s="415" t="str">
        <f t="shared" si="7"/>
        <v>vetted entry</v>
      </c>
      <c r="N1124" s="414"/>
      <c r="O1124" s="414"/>
      <c r="P1124" s="403" t="str">
        <f t="shared" si="7"/>
        <v>poor immigrants</v>
      </c>
      <c r="Q1124" s="415" t="str">
        <f t="shared" si="7"/>
        <v>U.S. citizens</v>
      </c>
      <c r="R1124" s="403" t="str">
        <f t="shared" si="7"/>
        <v>help all immigrants</v>
      </c>
      <c r="S1124" s="415" t="str">
        <f t="shared" si="7"/>
        <v>build a wall</v>
      </c>
      <c r="T1124" s="403" t="str">
        <f t="shared" si="7"/>
        <v>cage children</v>
      </c>
      <c r="U1124" s="415" t="str">
        <f t="shared" si="7"/>
        <v>let in murderers</v>
      </c>
      <c r="V1124" s="403" t="str">
        <f t="shared" ref="V1124:AA1124" si="8">IF($H$101=$B1127,V1127,IF($H$101=$B1128,V1128,IF($H$101=$B1129,V1129,IF($H$101=$B1130,V1130,IF($H$101=$B1131,V1131,IF($H$101=$B1132,V1132,IF($H$101=$B1133,V1133,IF($H$101=$B1134,V1134,IF($H$101=$B1135,V1135,IF($H$101=$B1136,V1136,IF($H$101=$B1137,V1137,IF($H$101=$B1138,V1138,""))))))))))))</f>
        <v>separate families</v>
      </c>
      <c r="W1124" s="415" t="str">
        <f t="shared" si="8"/>
        <v>let in criminal gangs</v>
      </c>
      <c r="X1124" s="403" t="str">
        <f t="shared" si="8"/>
        <v>alienation</v>
      </c>
      <c r="Y1124" s="415" t="str">
        <f t="shared" si="8"/>
        <v>insecurity</v>
      </c>
      <c r="Z1124" s="403" t="str">
        <f t="shared" si="8"/>
        <v>loneliness</v>
      </c>
      <c r="AA1124" s="415" t="str">
        <f t="shared" si="8"/>
        <v>anxiety</v>
      </c>
      <c r="AZ1124" s="414"/>
      <c r="BA1124" s="403" t="str">
        <f>IF($H$101=$B1127,BA1127,IF($H$101=$B1128,BA1128,IF($H$101=$B1129,BA1129,IF($H$101=$B1130,BA1130,IF($H$101=$B1131,BA1131,IF($H$101=$B1132,BA1132,IF($H$101=$B1133,BA1133,IF($H$101=$B1134,BA1134,IF($H$101=$B1135,BA1135,IF($H$101=$B1136,BA1136,IF($H$101=$B1137,BA1137,IF($H$101=$B1138,BA1138,""))))))))))))</f>
        <v>lose workforce</v>
      </c>
      <c r="BB1124" s="415" t="str">
        <f>IF($H$101=$B1127,BB1127,IF($H$101=$B1128,BB1128,IF($H$101=$B1129,BB1129,IF($H$101=$B1130,BB1130,IF($H$101=$B1131,BB1131,IF($H$101=$B1132,BB1132,IF($H$101=$B1133,BB1133,IF($H$101=$B1134,BB1134,IF($H$101=$B1135,BB1135,IF($H$101=$B1136,BB1136,IF($H$101=$B1137,BB1137,IF($H$101=$B1138,BB1138,""))))))))))))</f>
        <v>lose jobs to migrants</v>
      </c>
      <c r="BC1124" s="403" t="str">
        <f>IF($H$101=$B1127,BC1127,IF($H$101=$B1128,BC1128,IF($H$101=$B1129,BC1129,IF($H$101=$B1130,BC1130,IF($H$101=$B1131,BC1131,IF($H$101=$B1132,BC1132,IF($H$101=$B1133,BC1133,IF($H$101=$B1134,BC1134,IF($H$101=$B1135,BC1135,IF($H$101=$B1136,BC1136,IF($H$101=$B1137,BC1137,IF($H$101=$B1138,BC1138,""))))))))))))</f>
        <v>"xenophobes"</v>
      </c>
      <c r="BD1124" s="415" t="str">
        <f>IF($H$101=$B1127,BD1127,IF($H$101=$B1128,BD1128,IF($H$101=$B1129,BD1129,IF($H$101=$B1130,BD1130,IF($H$101=$B1131,BD1131,IF($H$101=$B1132,BD1132,IF($H$101=$B1133,BD1133,IF($H$101=$B1134,BD1134,IF($H$101=$B1135,BD1135,IF($H$101=$B1136,BD1136,IF($H$101=$B1137,BD1137,IF($H$101=$B1138,BD1138,""))))))))))))</f>
        <v>"illegals"</v>
      </c>
      <c r="BE1124" s="456" t="str">
        <f t="shared" ref="BE1124:BN1124" si="9">IF($H$101=$B1127,BE1127,IF($H$101=$B1128,BE1128,IF($H$101=$B1129,BE1129,IF($H$101=$B1130,BE1130,IF($H$101=$B1131,BE1131,IF($H$101=$B1132,BE1132,IF($H$101=$B1133,BE1133,IF($H$101=$B1134,BE1134,IF($H$101=$B1135,BE1135,IF($H$101=$B1136,BE1136,IF($H$101=$B1137,BE1137,IF($H$101=$B1138,BE1138,""))))))))))))</f>
        <v>for freedom of movement</v>
      </c>
      <c r="BF1124" s="457" t="str">
        <f t="shared" si="9"/>
        <v>for secure borders</v>
      </c>
      <c r="BG1124" s="403" t="str">
        <f t="shared" si="9"/>
        <v>full inclusion</v>
      </c>
      <c r="BH1124" s="415" t="str">
        <f t="shared" si="9"/>
        <v>self-protection</v>
      </c>
      <c r="BI1124" s="403" t="str">
        <f t="shared" si="9"/>
        <v>self-determination</v>
      </c>
      <c r="BJ1124" s="415" t="str">
        <f t="shared" si="9"/>
        <v>local cohesion</v>
      </c>
      <c r="BK1124" s="403" t="str">
        <f t="shared" si="9"/>
        <v>let anyone enter</v>
      </c>
      <c r="BL1124" s="415" t="str">
        <f t="shared" si="9"/>
        <v>keep all out</v>
      </c>
      <c r="BM1124" s="403" t="str">
        <f t="shared" si="9"/>
        <v>affected nativists</v>
      </c>
      <c r="BN1124" s="415" t="str">
        <f t="shared" si="9"/>
        <v>desperate immigrants</v>
      </c>
    </row>
    <row r="1125" spans="1:67" hidden="1">
      <c r="R1125" s="2" t="s">
        <v>1313</v>
      </c>
      <c r="T1125" s="2" t="s">
        <v>1511</v>
      </c>
      <c r="X1125" s="2" t="s">
        <v>1461</v>
      </c>
      <c r="BC1125" s="47" t="s">
        <v>1456</v>
      </c>
      <c r="BK1125" s="194" t="s">
        <v>1575</v>
      </c>
      <c r="BM1125" s="194" t="s">
        <v>1510</v>
      </c>
    </row>
    <row r="1126" spans="1:67" ht="14.4" hidden="1" thickBot="1">
      <c r="B1126" s="411" t="s">
        <v>1283</v>
      </c>
      <c r="C1126" s="411"/>
      <c r="D1126" s="411"/>
      <c r="E1126" s="411"/>
      <c r="F1126" s="411" t="s">
        <v>1299</v>
      </c>
      <c r="G1126" s="411" t="s">
        <v>1300</v>
      </c>
      <c r="H1126" s="411"/>
      <c r="I1126" s="411"/>
      <c r="J1126" s="411" t="s">
        <v>1311</v>
      </c>
      <c r="K1126" s="411" t="s">
        <v>1312</v>
      </c>
      <c r="L1126" s="411"/>
      <c r="M1126" s="411"/>
      <c r="N1126" s="411"/>
      <c r="O1126" s="412"/>
      <c r="P1126" s="411" t="s">
        <v>1309</v>
      </c>
      <c r="Q1126" s="411" t="s">
        <v>1310</v>
      </c>
      <c r="R1126" s="411" t="s">
        <v>1314</v>
      </c>
      <c r="S1126" s="411" t="s">
        <v>1468</v>
      </c>
      <c r="T1126" s="420" t="s">
        <v>1331</v>
      </c>
      <c r="U1126" s="420" t="s">
        <v>1332</v>
      </c>
      <c r="V1126" s="420" t="s">
        <v>1333</v>
      </c>
      <c r="W1126" s="420" t="s">
        <v>1334</v>
      </c>
      <c r="X1126" s="411" t="s">
        <v>1367</v>
      </c>
      <c r="Y1126" s="411" t="s">
        <v>1465</v>
      </c>
      <c r="Z1126" s="411" t="s">
        <v>1366</v>
      </c>
      <c r="AA1126" s="411" t="s">
        <v>1466</v>
      </c>
      <c r="BA1126" s="420" t="s">
        <v>1364</v>
      </c>
      <c r="BB1126" s="420" t="s">
        <v>1365</v>
      </c>
      <c r="BC1126" s="413" t="s">
        <v>1390</v>
      </c>
      <c r="BD1126" s="413" t="s">
        <v>1391</v>
      </c>
      <c r="BE1126" s="411" t="s">
        <v>1464</v>
      </c>
      <c r="BF1126" s="411" t="s">
        <v>1467</v>
      </c>
      <c r="BG1126" s="432" t="s">
        <v>1469</v>
      </c>
      <c r="BH1126" s="432" t="s">
        <v>1470</v>
      </c>
      <c r="BI1126" s="432" t="s">
        <v>1471</v>
      </c>
      <c r="BJ1126" s="432" t="s">
        <v>1472</v>
      </c>
      <c r="BK1126" s="411" t="s">
        <v>1499</v>
      </c>
      <c r="BL1126" s="411" t="s">
        <v>1500</v>
      </c>
      <c r="BM1126" s="411" t="s">
        <v>1501</v>
      </c>
      <c r="BN1126" s="411" t="s">
        <v>1502</v>
      </c>
    </row>
    <row r="1127" spans="1:67" ht="14.4" hidden="1" thickTop="1">
      <c r="A1127" s="400">
        <v>1</v>
      </c>
      <c r="B1127" s="2" t="s">
        <v>53</v>
      </c>
      <c r="C1127" s="2" t="s">
        <v>1093</v>
      </c>
      <c r="D1127" s="2" t="s">
        <v>991</v>
      </c>
      <c r="F1127" s="401" t="s">
        <v>1327</v>
      </c>
      <c r="G1127" s="416" t="s">
        <v>1415</v>
      </c>
      <c r="H1127" s="401" t="s">
        <v>1410</v>
      </c>
      <c r="I1127" s="416" t="s">
        <v>1414</v>
      </c>
      <c r="J1127" s="401" t="s">
        <v>1325</v>
      </c>
      <c r="K1127" s="416" t="s">
        <v>1326</v>
      </c>
      <c r="L1127" s="401" t="s">
        <v>1405</v>
      </c>
      <c r="M1127" s="416" t="s">
        <v>1408</v>
      </c>
      <c r="N1127" s="47" t="s">
        <v>3</v>
      </c>
      <c r="P1127" s="401" t="s">
        <v>1328</v>
      </c>
      <c r="Q1127" s="416" t="s">
        <v>1872</v>
      </c>
      <c r="R1127" s="401" t="s">
        <v>1871</v>
      </c>
      <c r="S1127" s="416" t="s">
        <v>1337</v>
      </c>
      <c r="T1127" s="421" t="s">
        <v>1330</v>
      </c>
      <c r="U1127" s="422" t="s">
        <v>1873</v>
      </c>
      <c r="V1127" s="423" t="s">
        <v>1329</v>
      </c>
      <c r="W1127" s="422" t="s">
        <v>1874</v>
      </c>
      <c r="X1127" s="437" t="s">
        <v>1457</v>
      </c>
      <c r="Y1127" s="439" t="s">
        <v>1428</v>
      </c>
      <c r="Z1127" s="437" t="s">
        <v>1458</v>
      </c>
      <c r="AA1127" s="439" t="s">
        <v>1429</v>
      </c>
      <c r="BA1127" s="514" t="s">
        <v>1336</v>
      </c>
      <c r="BB1127" s="515" t="s">
        <v>1335</v>
      </c>
      <c r="BC1127" s="446" t="s">
        <v>1991</v>
      </c>
      <c r="BD1127" s="447" t="s">
        <v>1980</v>
      </c>
      <c r="BE1127" s="450" t="s">
        <v>1534</v>
      </c>
      <c r="BF1127" s="451" t="s">
        <v>1535</v>
      </c>
      <c r="BG1127" s="442" t="s">
        <v>1476</v>
      </c>
      <c r="BH1127" s="443" t="s">
        <v>1409</v>
      </c>
      <c r="BI1127" s="442" t="s">
        <v>200</v>
      </c>
      <c r="BJ1127" s="443" t="s">
        <v>1473</v>
      </c>
      <c r="BK1127" s="434" t="s">
        <v>1503</v>
      </c>
      <c r="BL1127" s="435" t="s">
        <v>1504</v>
      </c>
      <c r="BM1127" s="434" t="s">
        <v>1506</v>
      </c>
      <c r="BN1127" s="435" t="s">
        <v>1507</v>
      </c>
      <c r="BO1127" s="449" t="str">
        <f>$C1127</f>
        <v>Immigration</v>
      </c>
    </row>
    <row r="1128" spans="1:67" hidden="1">
      <c r="A1128" s="400">
        <v>2</v>
      </c>
      <c r="B1128" s="2" t="s">
        <v>81</v>
      </c>
      <c r="C1128" s="2" t="s">
        <v>1094</v>
      </c>
      <c r="D1128" s="2" t="s">
        <v>992</v>
      </c>
      <c r="F1128" s="401" t="s">
        <v>1868</v>
      </c>
      <c r="G1128" s="416" t="s">
        <v>1396</v>
      </c>
      <c r="H1128" s="401" t="s">
        <v>1867</v>
      </c>
      <c r="I1128" s="416" t="s">
        <v>1842</v>
      </c>
      <c r="J1128" s="401" t="s">
        <v>1406</v>
      </c>
      <c r="K1128" s="416" t="s">
        <v>1389</v>
      </c>
      <c r="L1128" s="401" t="s">
        <v>1843</v>
      </c>
      <c r="M1128" s="416" t="s">
        <v>1407</v>
      </c>
      <c r="N1128" s="47" t="s">
        <v>3</v>
      </c>
      <c r="P1128" s="401" t="s">
        <v>1866</v>
      </c>
      <c r="Q1128" s="416" t="s">
        <v>1857</v>
      </c>
      <c r="R1128" s="401" t="s">
        <v>1452</v>
      </c>
      <c r="S1128" s="416" t="s">
        <v>1870</v>
      </c>
      <c r="T1128" s="424" t="s">
        <v>1893</v>
      </c>
      <c r="U1128" s="425" t="s">
        <v>1895</v>
      </c>
      <c r="V1128" s="426" t="s">
        <v>1894</v>
      </c>
      <c r="W1128" s="425" t="s">
        <v>1927</v>
      </c>
      <c r="X1128" s="438" t="s">
        <v>1429</v>
      </c>
      <c r="Y1128" s="439" t="s">
        <v>2000</v>
      </c>
      <c r="Z1128" s="437" t="s">
        <v>1463</v>
      </c>
      <c r="AA1128" s="439" t="s">
        <v>1429</v>
      </c>
      <c r="BA1128" s="516" t="s">
        <v>3</v>
      </c>
      <c r="BB1128" s="517"/>
      <c r="BC1128" s="446" t="s">
        <v>1992</v>
      </c>
      <c r="BD1128" s="447" t="s">
        <v>1981</v>
      </c>
      <c r="BE1128" s="452" t="s">
        <v>1536</v>
      </c>
      <c r="BF1128" s="453" t="s">
        <v>1537</v>
      </c>
      <c r="BG1128" s="444" t="s">
        <v>1475</v>
      </c>
      <c r="BH1128" s="445" t="s">
        <v>200</v>
      </c>
      <c r="BI1128" s="444" t="s">
        <v>563</v>
      </c>
      <c r="BJ1128" s="445" t="s">
        <v>1514</v>
      </c>
      <c r="BK1128" s="434" t="s">
        <v>1557</v>
      </c>
      <c r="BL1128" s="435" t="s">
        <v>1509</v>
      </c>
      <c r="BM1128" s="434" t="s">
        <v>1505</v>
      </c>
      <c r="BN1128" s="435" t="s">
        <v>1508</v>
      </c>
      <c r="BO1128" s="449" t="str">
        <f t="shared" ref="BO1128:BO1138" si="10">$C1128</f>
        <v>Climate change</v>
      </c>
    </row>
    <row r="1129" spans="1:67" hidden="1">
      <c r="A1129" s="400">
        <v>3</v>
      </c>
      <c r="B1129" s="2" t="s">
        <v>82</v>
      </c>
      <c r="C1129" s="2" t="s">
        <v>1095</v>
      </c>
      <c r="D1129" s="2" t="s">
        <v>993</v>
      </c>
      <c r="F1129" s="401" t="s">
        <v>1387</v>
      </c>
      <c r="G1129" s="416" t="s">
        <v>1388</v>
      </c>
      <c r="H1129" s="401" t="s">
        <v>1418</v>
      </c>
      <c r="I1129" s="416" t="s">
        <v>1419</v>
      </c>
      <c r="J1129" s="401" t="s">
        <v>1400</v>
      </c>
      <c r="K1129" s="416" t="s">
        <v>1399</v>
      </c>
      <c r="L1129" s="401" t="s">
        <v>1844</v>
      </c>
      <c r="M1129" s="416" t="s">
        <v>1409</v>
      </c>
      <c r="N1129" s="47" t="s">
        <v>3</v>
      </c>
      <c r="P1129" s="401" t="s">
        <v>1757</v>
      </c>
      <c r="Q1129" s="416" t="s">
        <v>1445</v>
      </c>
      <c r="R1129" s="401" t="s">
        <v>1446</v>
      </c>
      <c r="S1129" s="498" t="s">
        <v>1955</v>
      </c>
      <c r="T1129" s="427" t="s">
        <v>1896</v>
      </c>
      <c r="U1129" s="425" t="s">
        <v>1898</v>
      </c>
      <c r="V1129" s="428" t="s">
        <v>1928</v>
      </c>
      <c r="W1129" s="425" t="s">
        <v>1897</v>
      </c>
      <c r="X1129" s="437" t="s">
        <v>1427</v>
      </c>
      <c r="Y1129" s="439" t="s">
        <v>1427</v>
      </c>
      <c r="Z1129" s="437" t="s">
        <v>1428</v>
      </c>
      <c r="AA1129" s="439" t="s">
        <v>1428</v>
      </c>
      <c r="BA1129" s="516" t="s">
        <v>3</v>
      </c>
      <c r="BB1129" s="517"/>
      <c r="BC1129" s="446" t="s">
        <v>1993</v>
      </c>
      <c r="BD1129" s="447" t="s">
        <v>1982</v>
      </c>
      <c r="BE1129" s="452" t="s">
        <v>1538</v>
      </c>
      <c r="BF1129" s="453" t="s">
        <v>1539</v>
      </c>
      <c r="BG1129" s="444" t="s">
        <v>1512</v>
      </c>
      <c r="BH1129" s="445" t="s">
        <v>1409</v>
      </c>
      <c r="BI1129" s="444" t="s">
        <v>563</v>
      </c>
      <c r="BJ1129" s="445" t="s">
        <v>1473</v>
      </c>
      <c r="BK1129" s="436" t="s">
        <v>1558</v>
      </c>
      <c r="BL1129" s="435" t="s">
        <v>1559</v>
      </c>
      <c r="BM1129" s="436" t="s">
        <v>1445</v>
      </c>
      <c r="BN1129" s="435" t="s">
        <v>1576</v>
      </c>
      <c r="BO1129" s="449" t="str">
        <f t="shared" si="10"/>
        <v>Gun safety</v>
      </c>
    </row>
    <row r="1130" spans="1:67" hidden="1">
      <c r="A1130" s="400">
        <v>4</v>
      </c>
      <c r="B1130" s="2" t="s">
        <v>83</v>
      </c>
      <c r="C1130" s="2" t="s">
        <v>1096</v>
      </c>
      <c r="D1130" s="2" t="s">
        <v>994</v>
      </c>
      <c r="F1130" s="401" t="s">
        <v>1301</v>
      </c>
      <c r="G1130" s="416" t="s">
        <v>1308</v>
      </c>
      <c r="H1130" s="401" t="s">
        <v>1306</v>
      </c>
      <c r="I1130" s="416" t="s">
        <v>1307</v>
      </c>
      <c r="J1130" s="401" t="s">
        <v>1302</v>
      </c>
      <c r="K1130" s="416" t="s">
        <v>1303</v>
      </c>
      <c r="L1130" s="401" t="s">
        <v>1304</v>
      </c>
      <c r="M1130" s="416" t="s">
        <v>1305</v>
      </c>
      <c r="N1130" s="47" t="s">
        <v>3</v>
      </c>
      <c r="P1130" s="401" t="s">
        <v>1589</v>
      </c>
      <c r="Q1130" s="416" t="s">
        <v>1590</v>
      </c>
      <c r="R1130" s="401" t="s">
        <v>1315</v>
      </c>
      <c r="S1130" s="416" t="s">
        <v>1316</v>
      </c>
      <c r="T1130" s="427" t="s">
        <v>1901</v>
      </c>
      <c r="U1130" s="425" t="s">
        <v>1900</v>
      </c>
      <c r="V1130" s="426" t="s">
        <v>1902</v>
      </c>
      <c r="W1130" s="425" t="s">
        <v>1899</v>
      </c>
      <c r="X1130" s="437" t="s">
        <v>1429</v>
      </c>
      <c r="Y1130" s="439" t="s">
        <v>1459</v>
      </c>
      <c r="Z1130" s="437" t="s">
        <v>564</v>
      </c>
      <c r="AA1130" s="439" t="s">
        <v>1460</v>
      </c>
      <c r="BA1130" s="516" t="s">
        <v>3</v>
      </c>
      <c r="BB1130" s="517"/>
      <c r="BC1130" s="446" t="s">
        <v>1994</v>
      </c>
      <c r="BD1130" s="447" t="s">
        <v>1983</v>
      </c>
      <c r="BE1130" s="452" t="s">
        <v>1540</v>
      </c>
      <c r="BF1130" s="453" t="s">
        <v>1541</v>
      </c>
      <c r="BG1130" s="444" t="s">
        <v>1425</v>
      </c>
      <c r="BH1130" s="445" t="s">
        <v>198</v>
      </c>
      <c r="BI1130" s="444" t="s">
        <v>1533</v>
      </c>
      <c r="BJ1130" s="445" t="s">
        <v>1513</v>
      </c>
      <c r="BK1130" s="436" t="s">
        <v>1560</v>
      </c>
      <c r="BL1130" s="435" t="s">
        <v>1561</v>
      </c>
      <c r="BM1130" s="436" t="s">
        <v>1578</v>
      </c>
      <c r="BN1130" s="435" t="s">
        <v>1577</v>
      </c>
      <c r="BO1130" s="449" t="str">
        <f t="shared" si="10"/>
        <v>Abortion</v>
      </c>
    </row>
    <row r="1131" spans="1:67" hidden="1">
      <c r="A1131" s="400">
        <v>5</v>
      </c>
      <c r="B1131" s="2" t="s">
        <v>84</v>
      </c>
      <c r="C1131" s="2" t="s">
        <v>1097</v>
      </c>
      <c r="D1131" s="2" t="s">
        <v>995</v>
      </c>
      <c r="F1131" s="401" t="s">
        <v>1398</v>
      </c>
      <c r="G1131" s="416" t="s">
        <v>1397</v>
      </c>
      <c r="H1131" s="401" t="s">
        <v>1847</v>
      </c>
      <c r="I1131" s="416" t="s">
        <v>1846</v>
      </c>
      <c r="J1131" s="401" t="s">
        <v>1394</v>
      </c>
      <c r="K1131" s="416" t="s">
        <v>1395</v>
      </c>
      <c r="L1131" s="401" t="s">
        <v>1425</v>
      </c>
      <c r="M1131" s="416" t="s">
        <v>1426</v>
      </c>
      <c r="N1131" s="47" t="s">
        <v>3</v>
      </c>
      <c r="O1131" s="416"/>
      <c r="P1131" s="401" t="s">
        <v>1865</v>
      </c>
      <c r="Q1131" s="416" t="s">
        <v>1758</v>
      </c>
      <c r="R1131" s="401" t="s">
        <v>1759</v>
      </c>
      <c r="S1131" s="416" t="s">
        <v>1956</v>
      </c>
      <c r="T1131" s="424" t="s">
        <v>1903</v>
      </c>
      <c r="U1131" s="425" t="s">
        <v>1904</v>
      </c>
      <c r="V1131" s="426" t="s">
        <v>1889</v>
      </c>
      <c r="W1131" s="425" t="s">
        <v>1888</v>
      </c>
      <c r="X1131" s="437" t="s">
        <v>1490</v>
      </c>
      <c r="Y1131" s="439" t="s">
        <v>1496</v>
      </c>
      <c r="Z1131" s="437" t="s">
        <v>1428</v>
      </c>
      <c r="AA1131" s="439" t="s">
        <v>1497</v>
      </c>
      <c r="BA1131" s="516" t="s">
        <v>3</v>
      </c>
      <c r="BB1131" s="517"/>
      <c r="BC1131" s="446" t="s">
        <v>1995</v>
      </c>
      <c r="BD1131" s="447" t="s">
        <v>1984</v>
      </c>
      <c r="BE1131" s="452" t="s">
        <v>1542</v>
      </c>
      <c r="BF1131" s="453" t="s">
        <v>1543</v>
      </c>
      <c r="BG1131" s="444" t="s">
        <v>1425</v>
      </c>
      <c r="BH1131" s="445" t="s">
        <v>1519</v>
      </c>
      <c r="BI1131" s="444" t="s">
        <v>1530</v>
      </c>
      <c r="BJ1131" s="445" t="s">
        <v>1531</v>
      </c>
      <c r="BK1131" s="436" t="s">
        <v>1887</v>
      </c>
      <c r="BL1131" s="435" t="s">
        <v>1562</v>
      </c>
      <c r="BM1131" s="436" t="s">
        <v>1579</v>
      </c>
      <c r="BN1131" s="435" t="s">
        <v>1447</v>
      </c>
      <c r="BO1131" s="449" t="str">
        <f t="shared" si="10"/>
        <v>Healthcare</v>
      </c>
    </row>
    <row r="1132" spans="1:67" hidden="1">
      <c r="A1132" s="400">
        <v>6</v>
      </c>
      <c r="B1132" s="2" t="s">
        <v>85</v>
      </c>
      <c r="C1132" s="2" t="s">
        <v>1098</v>
      </c>
      <c r="D1132" s="2" t="s">
        <v>996</v>
      </c>
      <c r="F1132" s="401" t="s">
        <v>1401</v>
      </c>
      <c r="G1132" s="416" t="s">
        <v>1402</v>
      </c>
      <c r="H1132" s="401" t="s">
        <v>1411</v>
      </c>
      <c r="I1132" s="416" t="s">
        <v>1848</v>
      </c>
      <c r="J1132" s="401" t="s">
        <v>1437</v>
      </c>
      <c r="K1132" s="416" t="s">
        <v>1436</v>
      </c>
      <c r="L1132" s="401" t="s">
        <v>1849</v>
      </c>
      <c r="M1132" s="416" t="s">
        <v>1850</v>
      </c>
      <c r="N1132" s="47" t="s">
        <v>3</v>
      </c>
      <c r="P1132" s="401" t="s">
        <v>1760</v>
      </c>
      <c r="Q1132" s="416" t="s">
        <v>1448</v>
      </c>
      <c r="R1132" s="401" t="s">
        <v>1880</v>
      </c>
      <c r="S1132" s="416" t="s">
        <v>1879</v>
      </c>
      <c r="T1132" s="424" t="s">
        <v>1882</v>
      </c>
      <c r="U1132" s="425" t="s">
        <v>1881</v>
      </c>
      <c r="V1132" s="426" t="s">
        <v>1878</v>
      </c>
      <c r="W1132" s="425" t="s">
        <v>1883</v>
      </c>
      <c r="X1132" s="437" t="s">
        <v>1488</v>
      </c>
      <c r="Y1132" s="439" t="s">
        <v>1487</v>
      </c>
      <c r="Z1132" s="437" t="s">
        <v>1489</v>
      </c>
      <c r="AA1132" s="439" t="s">
        <v>1486</v>
      </c>
      <c r="BA1132" s="516" t="s">
        <v>3</v>
      </c>
      <c r="BB1132" s="517"/>
      <c r="BC1132" s="446" t="s">
        <v>1996</v>
      </c>
      <c r="BD1132" s="447" t="s">
        <v>1985</v>
      </c>
      <c r="BE1132" s="452" t="s">
        <v>1544</v>
      </c>
      <c r="BF1132" s="453" t="s">
        <v>1877</v>
      </c>
      <c r="BG1132" s="444" t="s">
        <v>579</v>
      </c>
      <c r="BH1132" s="445" t="s">
        <v>239</v>
      </c>
      <c r="BI1132" s="444" t="s">
        <v>563</v>
      </c>
      <c r="BJ1132" s="445" t="s">
        <v>1890</v>
      </c>
      <c r="BK1132" s="436" t="s">
        <v>1565</v>
      </c>
      <c r="BL1132" s="435" t="s">
        <v>1947</v>
      </c>
      <c r="BM1132" s="436" t="s">
        <v>1972</v>
      </c>
      <c r="BN1132" s="435" t="s">
        <v>1582</v>
      </c>
      <c r="BO1132" s="449" t="str">
        <f t="shared" si="10"/>
        <v>Criminal justice</v>
      </c>
    </row>
    <row r="1133" spans="1:67" hidden="1">
      <c r="A1133" s="400">
        <v>7</v>
      </c>
      <c r="B1133" s="2" t="s">
        <v>86</v>
      </c>
      <c r="C1133" s="2" t="s">
        <v>1099</v>
      </c>
      <c r="D1133" s="2" t="s">
        <v>1950</v>
      </c>
      <c r="F1133" s="401" t="s">
        <v>1804</v>
      </c>
      <c r="G1133" s="416" t="s">
        <v>1803</v>
      </c>
      <c r="H1133" s="401" t="s">
        <v>1801</v>
      </c>
      <c r="I1133" s="416" t="s">
        <v>1802</v>
      </c>
      <c r="J1133" s="401" t="s">
        <v>1403</v>
      </c>
      <c r="K1133" s="416" t="s">
        <v>1404</v>
      </c>
      <c r="L1133" s="401" t="s">
        <v>1845</v>
      </c>
      <c r="M1133" s="416" t="s">
        <v>1440</v>
      </c>
      <c r="N1133" s="47" t="s">
        <v>3</v>
      </c>
      <c r="P1133" s="401" t="s">
        <v>1449</v>
      </c>
      <c r="Q1133" s="416" t="s">
        <v>1450</v>
      </c>
      <c r="R1133" s="401" t="s">
        <v>1454</v>
      </c>
      <c r="S1133" s="416" t="s">
        <v>1455</v>
      </c>
      <c r="T1133" s="424" t="s">
        <v>1905</v>
      </c>
      <c r="U1133" s="425" t="s">
        <v>1891</v>
      </c>
      <c r="V1133" s="571" t="s">
        <v>1929</v>
      </c>
      <c r="W1133" s="572" t="s">
        <v>1906</v>
      </c>
      <c r="X1133" s="437" t="s">
        <v>1948</v>
      </c>
      <c r="Y1133" s="439" t="s">
        <v>2001</v>
      </c>
      <c r="Z1133" s="437" t="s">
        <v>1949</v>
      </c>
      <c r="AA1133" s="439" t="s">
        <v>1485</v>
      </c>
      <c r="BA1133" s="516" t="s">
        <v>3</v>
      </c>
      <c r="BB1133" s="517"/>
      <c r="BC1133" s="446" t="s">
        <v>1984</v>
      </c>
      <c r="BD1133" s="447" t="s">
        <v>1986</v>
      </c>
      <c r="BE1133" s="452" t="s">
        <v>1545</v>
      </c>
      <c r="BF1133" s="453" t="s">
        <v>1546</v>
      </c>
      <c r="BG1133" s="444" t="s">
        <v>1520</v>
      </c>
      <c r="BH1133" s="445" t="s">
        <v>210</v>
      </c>
      <c r="BI1133" s="444" t="s">
        <v>569</v>
      </c>
      <c r="BJ1133" s="445" t="s">
        <v>1522</v>
      </c>
      <c r="BK1133" s="436" t="s">
        <v>1566</v>
      </c>
      <c r="BL1133" s="435" t="s">
        <v>1564</v>
      </c>
      <c r="BM1133" s="436" t="s">
        <v>1973</v>
      </c>
      <c r="BN1133" s="435" t="s">
        <v>1583</v>
      </c>
      <c r="BO1133" s="449" t="str">
        <f t="shared" si="10"/>
        <v>Economy</v>
      </c>
    </row>
    <row r="1134" spans="1:67" hidden="1">
      <c r="A1134" s="400">
        <v>8</v>
      </c>
      <c r="B1134" s="2" t="s">
        <v>1207</v>
      </c>
      <c r="C1134" s="2" t="s">
        <v>1100</v>
      </c>
      <c r="D1134" s="2" t="s">
        <v>998</v>
      </c>
      <c r="F1134" s="401" t="s">
        <v>1297</v>
      </c>
      <c r="G1134" s="416" t="s">
        <v>1386</v>
      </c>
      <c r="H1134" s="401" t="s">
        <v>1412</v>
      </c>
      <c r="I1134" s="416" t="s">
        <v>1416</v>
      </c>
      <c r="J1134" s="401" t="s">
        <v>1435</v>
      </c>
      <c r="K1134" s="416" t="s">
        <v>1434</v>
      </c>
      <c r="L1134" s="401" t="s">
        <v>1441</v>
      </c>
      <c r="M1134" s="416" t="s">
        <v>1965</v>
      </c>
      <c r="N1134" s="47" t="s">
        <v>3</v>
      </c>
      <c r="P1134" s="401" t="s">
        <v>1761</v>
      </c>
      <c r="Q1134" s="416" t="s">
        <v>1762</v>
      </c>
      <c r="R1134" s="401" t="s">
        <v>1433</v>
      </c>
      <c r="S1134" s="416" t="s">
        <v>1960</v>
      </c>
      <c r="T1134" s="427" t="s">
        <v>1908</v>
      </c>
      <c r="U1134" s="425" t="s">
        <v>1910</v>
      </c>
      <c r="V1134" s="426" t="s">
        <v>1907</v>
      </c>
      <c r="W1134" s="425" t="s">
        <v>1930</v>
      </c>
      <c r="X1134" s="437" t="s">
        <v>1483</v>
      </c>
      <c r="Y1134" s="439" t="s">
        <v>2002</v>
      </c>
      <c r="Z1134" s="437" t="s">
        <v>1484</v>
      </c>
      <c r="AA1134" s="439" t="s">
        <v>1481</v>
      </c>
      <c r="BA1134" s="516" t="s">
        <v>3</v>
      </c>
      <c r="BB1134" s="517" t="s">
        <v>1753</v>
      </c>
      <c r="BC1134" s="446" t="s">
        <v>1996</v>
      </c>
      <c r="BD1134" s="447" t="s">
        <v>1987</v>
      </c>
      <c r="BE1134" s="452" t="s">
        <v>1547</v>
      </c>
      <c r="BF1134" s="453" t="s">
        <v>1548</v>
      </c>
      <c r="BG1134" s="444" t="s">
        <v>1521</v>
      </c>
      <c r="BH1134" s="445" t="s">
        <v>569</v>
      </c>
      <c r="BI1134" s="444" t="s">
        <v>569</v>
      </c>
      <c r="BJ1134" s="445" t="s">
        <v>1524</v>
      </c>
      <c r="BK1134" s="436" t="s">
        <v>1567</v>
      </c>
      <c r="BL1134" s="435" t="s">
        <v>1568</v>
      </c>
      <c r="BM1134" s="436" t="s">
        <v>1974</v>
      </c>
      <c r="BN1134" s="435" t="s">
        <v>1584</v>
      </c>
      <c r="BO1134" s="449" t="str">
        <f t="shared" si="10"/>
        <v>Racism</v>
      </c>
    </row>
    <row r="1135" spans="1:67" hidden="1">
      <c r="A1135" s="400">
        <v>9</v>
      </c>
      <c r="B1135" s="2" t="s">
        <v>1284</v>
      </c>
      <c r="C1135" s="2" t="s">
        <v>1287</v>
      </c>
      <c r="D1135" s="2" t="s">
        <v>1290</v>
      </c>
      <c r="F1135" s="401" t="s">
        <v>1318</v>
      </c>
      <c r="G1135" s="416" t="s">
        <v>1319</v>
      </c>
      <c r="H1135" s="401" t="s">
        <v>1413</v>
      </c>
      <c r="I1135" s="416" t="s">
        <v>1417</v>
      </c>
      <c r="J1135" s="401" t="s">
        <v>1297</v>
      </c>
      <c r="K1135" s="416" t="s">
        <v>1298</v>
      </c>
      <c r="L1135" s="401" t="s">
        <v>1966</v>
      </c>
      <c r="M1135" s="416" t="s">
        <v>1851</v>
      </c>
      <c r="N1135" s="47" t="s">
        <v>3</v>
      </c>
      <c r="P1135" s="401" t="s">
        <v>1320</v>
      </c>
      <c r="Q1135" s="416" t="s">
        <v>1852</v>
      </c>
      <c r="R1135" s="401" t="s">
        <v>1453</v>
      </c>
      <c r="S1135" s="416" t="s">
        <v>1959</v>
      </c>
      <c r="T1135" s="424" t="s">
        <v>1912</v>
      </c>
      <c r="U1135" s="425" t="s">
        <v>1915</v>
      </c>
      <c r="V1135" s="426" t="s">
        <v>1913</v>
      </c>
      <c r="W1135" s="425" t="s">
        <v>1914</v>
      </c>
      <c r="X1135" s="437" t="s">
        <v>1492</v>
      </c>
      <c r="Y1135" s="439" t="s">
        <v>1497</v>
      </c>
      <c r="Z1135" s="437" t="s">
        <v>1489</v>
      </c>
      <c r="AA1135" s="439" t="s">
        <v>1498</v>
      </c>
      <c r="BA1135" s="518" t="s">
        <v>1358</v>
      </c>
      <c r="BB1135" s="517"/>
      <c r="BC1135" s="446" t="s">
        <v>1997</v>
      </c>
      <c r="BD1135" s="447" t="s">
        <v>1988</v>
      </c>
      <c r="BE1135" s="452" t="s">
        <v>1549</v>
      </c>
      <c r="BF1135" s="453" t="s">
        <v>1550</v>
      </c>
      <c r="BG1135" s="444" t="s">
        <v>1512</v>
      </c>
      <c r="BH1135" s="445" t="s">
        <v>239</v>
      </c>
      <c r="BI1135" s="444" t="s">
        <v>562</v>
      </c>
      <c r="BJ1135" s="445" t="s">
        <v>1525</v>
      </c>
      <c r="BK1135" s="436" t="s">
        <v>1563</v>
      </c>
      <c r="BL1135" s="435" t="s">
        <v>1569</v>
      </c>
      <c r="BM1135" s="436" t="s">
        <v>1580</v>
      </c>
      <c r="BN1135" s="435" t="s">
        <v>1585</v>
      </c>
      <c r="BO1135" s="449" t="str">
        <f t="shared" si="10"/>
        <v>Police brutality</v>
      </c>
    </row>
    <row r="1136" spans="1:67" hidden="1">
      <c r="A1136" s="400">
        <v>10</v>
      </c>
      <c r="B1136" s="2" t="s">
        <v>1285</v>
      </c>
      <c r="C1136" s="2" t="s">
        <v>1288</v>
      </c>
      <c r="D1136" s="2" t="s">
        <v>1291</v>
      </c>
      <c r="F1136" s="401" t="s">
        <v>1293</v>
      </c>
      <c r="G1136" s="416" t="s">
        <v>1294</v>
      </c>
      <c r="H1136" s="401" t="s">
        <v>1295</v>
      </c>
      <c r="I1136" s="416" t="s">
        <v>1296</v>
      </c>
      <c r="J1136" s="401" t="s">
        <v>1438</v>
      </c>
      <c r="K1136" s="416" t="s">
        <v>1439</v>
      </c>
      <c r="L1136" s="401" t="s">
        <v>1967</v>
      </c>
      <c r="M1136" s="416" t="s">
        <v>1968</v>
      </c>
      <c r="N1136" s="47" t="s">
        <v>3</v>
      </c>
      <c r="P1136" s="401" t="s">
        <v>1763</v>
      </c>
      <c r="Q1136" s="416" t="s">
        <v>1442</v>
      </c>
      <c r="R1136" s="497" t="s">
        <v>1764</v>
      </c>
      <c r="S1136" s="416" t="s">
        <v>1954</v>
      </c>
      <c r="T1136" s="427" t="s">
        <v>1919</v>
      </c>
      <c r="U1136" s="425" t="s">
        <v>1917</v>
      </c>
      <c r="V1136" s="428" t="s">
        <v>1916</v>
      </c>
      <c r="W1136" s="425" t="s">
        <v>1918</v>
      </c>
      <c r="X1136" s="437" t="s">
        <v>1479</v>
      </c>
      <c r="Y1136" s="439" t="s">
        <v>1480</v>
      </c>
      <c r="Z1136" s="437" t="s">
        <v>1491</v>
      </c>
      <c r="AA1136" s="439" t="s">
        <v>1491</v>
      </c>
      <c r="BA1136" s="516" t="s">
        <v>3</v>
      </c>
      <c r="BB1136" s="517" t="s">
        <v>1430</v>
      </c>
      <c r="BC1136" s="448" t="s">
        <v>1989</v>
      </c>
      <c r="BD1136" s="447" t="s">
        <v>1989</v>
      </c>
      <c r="BE1136" s="452" t="s">
        <v>1551</v>
      </c>
      <c r="BF1136" s="453" t="s">
        <v>1552</v>
      </c>
      <c r="BG1136" s="444" t="s">
        <v>1425</v>
      </c>
      <c r="BH1136" s="445" t="s">
        <v>198</v>
      </c>
      <c r="BI1136" s="444" t="s">
        <v>1532</v>
      </c>
      <c r="BJ1136" s="445" t="s">
        <v>1526</v>
      </c>
      <c r="BK1136" s="434" t="s">
        <v>1571</v>
      </c>
      <c r="BL1136" s="435" t="s">
        <v>1570</v>
      </c>
      <c r="BM1136" s="436" t="s">
        <v>1581</v>
      </c>
      <c r="BN1136" s="435" t="s">
        <v>1586</v>
      </c>
      <c r="BO1136" s="449" t="str">
        <f t="shared" si="10"/>
        <v>Voting fairness</v>
      </c>
    </row>
    <row r="1137" spans="1:67" hidden="1">
      <c r="A1137" s="400">
        <v>11</v>
      </c>
      <c r="B1137" s="2" t="s">
        <v>1286</v>
      </c>
      <c r="C1137" s="2" t="s">
        <v>1289</v>
      </c>
      <c r="D1137" s="2" t="s">
        <v>1292</v>
      </c>
      <c r="F1137" s="401" t="s">
        <v>1798</v>
      </c>
      <c r="G1137" s="416" t="s">
        <v>1799</v>
      </c>
      <c r="H1137" s="401" t="s">
        <v>1800</v>
      </c>
      <c r="I1137" s="416" t="s">
        <v>1856</v>
      </c>
      <c r="J1137" s="401" t="s">
        <v>1431</v>
      </c>
      <c r="K1137" s="416" t="s">
        <v>1432</v>
      </c>
      <c r="L1137" s="401" t="s">
        <v>1853</v>
      </c>
      <c r="M1137" s="416" t="s">
        <v>1854</v>
      </c>
      <c r="N1137" s="47" t="s">
        <v>3</v>
      </c>
      <c r="P1137" s="401" t="s">
        <v>1451</v>
      </c>
      <c r="Q1137" s="416" t="s">
        <v>1857</v>
      </c>
      <c r="R1137" s="401" t="s">
        <v>1957</v>
      </c>
      <c r="S1137" s="416" t="s">
        <v>1317</v>
      </c>
      <c r="T1137" s="427" t="s">
        <v>1920</v>
      </c>
      <c r="U1137" s="425" t="s">
        <v>1922</v>
      </c>
      <c r="V1137" s="426" t="s">
        <v>1921</v>
      </c>
      <c r="W1137" s="425" t="s">
        <v>1931</v>
      </c>
      <c r="X1137" s="437" t="s">
        <v>1368</v>
      </c>
      <c r="Y1137" s="439" t="s">
        <v>1368</v>
      </c>
      <c r="Z1137" s="437" t="s">
        <v>1498</v>
      </c>
      <c r="AA1137" s="439" t="s">
        <v>1369</v>
      </c>
      <c r="BA1137" s="516" t="s">
        <v>3</v>
      </c>
      <c r="BB1137" s="517"/>
      <c r="BC1137" s="446" t="s">
        <v>1998</v>
      </c>
      <c r="BD1137" s="447" t="s">
        <v>1990</v>
      </c>
      <c r="BE1137" s="452" t="s">
        <v>1553</v>
      </c>
      <c r="BF1137" s="453" t="s">
        <v>1554</v>
      </c>
      <c r="BG1137" s="444" t="s">
        <v>1523</v>
      </c>
      <c r="BH1137" s="445" t="s">
        <v>1527</v>
      </c>
      <c r="BI1137" s="444" t="s">
        <v>563</v>
      </c>
      <c r="BJ1137" s="445" t="s">
        <v>1528</v>
      </c>
      <c r="BK1137" s="434" t="s">
        <v>1572</v>
      </c>
      <c r="BL1137" s="435" t="s">
        <v>1573</v>
      </c>
      <c r="BM1137" s="436" t="s">
        <v>1975</v>
      </c>
      <c r="BN1137" s="435" t="s">
        <v>1587</v>
      </c>
      <c r="BO1137" s="449" t="str">
        <f t="shared" si="10"/>
        <v>Covid safety</v>
      </c>
    </row>
    <row r="1138" spans="1:67" hidden="1">
      <c r="A1138" s="400">
        <v>12</v>
      </c>
      <c r="B1138" s="2" t="s">
        <v>1859</v>
      </c>
      <c r="C1138" s="2" t="s">
        <v>1860</v>
      </c>
      <c r="D1138" s="2" t="s">
        <v>1858</v>
      </c>
      <c r="F1138" s="401" t="s">
        <v>1862</v>
      </c>
      <c r="G1138" s="416" t="s">
        <v>1392</v>
      </c>
      <c r="H1138" s="401" t="s">
        <v>1861</v>
      </c>
      <c r="I1138" s="416" t="s">
        <v>1393</v>
      </c>
      <c r="J1138" s="401" t="s">
        <v>1421</v>
      </c>
      <c r="K1138" s="416" t="s">
        <v>1422</v>
      </c>
      <c r="L1138" s="401" t="s">
        <v>1443</v>
      </c>
      <c r="M1138" s="416" t="s">
        <v>1444</v>
      </c>
      <c r="N1138" s="47" t="s">
        <v>3</v>
      </c>
      <c r="P1138" s="401" t="s">
        <v>1765</v>
      </c>
      <c r="Q1138" s="416" t="s">
        <v>1766</v>
      </c>
      <c r="R1138" s="401" t="s">
        <v>1952</v>
      </c>
      <c r="S1138" s="498" t="s">
        <v>1953</v>
      </c>
      <c r="T1138" s="429" t="s">
        <v>1923</v>
      </c>
      <c r="U1138" s="430" t="s">
        <v>1924</v>
      </c>
      <c r="V1138" s="431" t="s">
        <v>1926</v>
      </c>
      <c r="W1138" s="430" t="s">
        <v>1925</v>
      </c>
      <c r="X1138" s="437" t="s">
        <v>1368</v>
      </c>
      <c r="Y1138" s="439" t="s">
        <v>1494</v>
      </c>
      <c r="Z1138" s="437" t="s">
        <v>1495</v>
      </c>
      <c r="AA1138" s="439" t="s">
        <v>1493</v>
      </c>
      <c r="BA1138" s="519" t="s">
        <v>1420</v>
      </c>
      <c r="BB1138" s="520"/>
      <c r="BC1138" s="446" t="s">
        <v>1999</v>
      </c>
      <c r="BD1138" s="447" t="s">
        <v>1979</v>
      </c>
      <c r="BE1138" s="452" t="s">
        <v>1555</v>
      </c>
      <c r="BF1138" s="453" t="s">
        <v>1556</v>
      </c>
      <c r="BG1138" s="444" t="s">
        <v>1425</v>
      </c>
      <c r="BH1138" s="445" t="s">
        <v>567</v>
      </c>
      <c r="BI1138" s="444" t="s">
        <v>567</v>
      </c>
      <c r="BJ1138" s="445" t="s">
        <v>1529</v>
      </c>
      <c r="BK1138" s="434" t="s">
        <v>1574</v>
      </c>
      <c r="BL1138" s="435" t="s">
        <v>1977</v>
      </c>
      <c r="BM1138" s="436" t="s">
        <v>1971</v>
      </c>
      <c r="BN1138" s="435" t="s">
        <v>1978</v>
      </c>
      <c r="BO1138" s="449" t="str">
        <f t="shared" si="10"/>
        <v>Public speech</v>
      </c>
    </row>
    <row r="1139" spans="1:67" hidden="1">
      <c r="A1139" s="400">
        <v>13</v>
      </c>
      <c r="D1139" s="575" t="s">
        <v>1933</v>
      </c>
      <c r="E1139" s="575"/>
    </row>
    <row r="1140" spans="1:67" hidden="1">
      <c r="A1140" s="400">
        <v>14</v>
      </c>
      <c r="D1140" s="575" t="s">
        <v>1909</v>
      </c>
      <c r="E1140" s="575"/>
      <c r="U1140" s="575" t="s">
        <v>1911</v>
      </c>
      <c r="X1140" s="437" t="s">
        <v>1482</v>
      </c>
    </row>
    <row r="1141" spans="1:67" hidden="1">
      <c r="A1141" s="400">
        <v>15</v>
      </c>
      <c r="D1141" s="575" t="s">
        <v>1932</v>
      </c>
      <c r="E1141" s="575"/>
    </row>
    <row r="1142" spans="1:67" hidden="1">
      <c r="A1142" s="400">
        <v>16</v>
      </c>
      <c r="D1142" s="575" t="s">
        <v>1934</v>
      </c>
      <c r="E1142" s="575"/>
    </row>
    <row r="1143" spans="1:67" hidden="1">
      <c r="A1143" s="400">
        <v>17</v>
      </c>
      <c r="D1143" s="575" t="s">
        <v>1935</v>
      </c>
      <c r="E1143" s="575"/>
    </row>
    <row r="1144" spans="1:67" hidden="1">
      <c r="A1144" s="400">
        <v>18</v>
      </c>
      <c r="D1144" s="575" t="s">
        <v>1936</v>
      </c>
      <c r="E1144" s="575"/>
    </row>
    <row r="1145" spans="1:67" hidden="1">
      <c r="A1145" s="400">
        <v>19</v>
      </c>
      <c r="D1145" s="575" t="s">
        <v>1937</v>
      </c>
      <c r="E1145" s="575"/>
    </row>
    <row r="1146" spans="1:67" hidden="1">
      <c r="A1146" s="400">
        <v>20</v>
      </c>
      <c r="D1146" s="575" t="s">
        <v>1938</v>
      </c>
      <c r="E1146" s="575"/>
    </row>
    <row r="1147" spans="1:67" hidden="1">
      <c r="A1147" s="400">
        <v>21</v>
      </c>
      <c r="D1147" s="575" t="s">
        <v>1939</v>
      </c>
      <c r="E1147" s="575"/>
    </row>
    <row r="1148" spans="1:67" hidden="1">
      <c r="A1148" s="400">
        <v>22</v>
      </c>
      <c r="D1148" s="575" t="s">
        <v>1940</v>
      </c>
      <c r="E1148" s="575"/>
    </row>
    <row r="1149" spans="1:67" hidden="1">
      <c r="A1149" s="400">
        <v>23</v>
      </c>
      <c r="D1149" s="575" t="s">
        <v>1941</v>
      </c>
      <c r="E1149" s="575"/>
    </row>
    <row r="1150" spans="1:67" hidden="1">
      <c r="A1150" s="400">
        <v>24</v>
      </c>
      <c r="D1150" s="575" t="s">
        <v>1942</v>
      </c>
      <c r="E1150" s="575"/>
    </row>
    <row r="1151" spans="1:67" hidden="1">
      <c r="D1151" s="575" t="s">
        <v>1944</v>
      </c>
      <c r="E1151" s="575"/>
      <c r="F1151" s="575" t="s">
        <v>1884</v>
      </c>
      <c r="G1151" s="575" t="s">
        <v>1885</v>
      </c>
    </row>
    <row r="1152" spans="1:67" hidden="1"/>
    <row r="1153" spans="2:56" hidden="1">
      <c r="T1153" s="575" t="s">
        <v>1884</v>
      </c>
      <c r="U1153" s="575" t="s">
        <v>1885</v>
      </c>
    </row>
    <row r="1154" spans="2:56" hidden="1">
      <c r="T1154" s="575" t="s">
        <v>1886</v>
      </c>
      <c r="U1154" s="575" t="s">
        <v>1945</v>
      </c>
    </row>
    <row r="1155" spans="2:56" hidden="1"/>
    <row r="1156" spans="2:56" hidden="1"/>
    <row r="1157" spans="2:56" ht="14.4" hidden="1">
      <c r="B1157" s="575" t="s">
        <v>1138</v>
      </c>
      <c r="C1157" s="575" t="s">
        <v>1355</v>
      </c>
      <c r="D1157" s="575" t="s">
        <v>1356</v>
      </c>
      <c r="E1157" s="575"/>
      <c r="F1157" s="575" t="s">
        <v>1323</v>
      </c>
      <c r="G1157" s="575" t="s">
        <v>1324</v>
      </c>
      <c r="H1157" s="575"/>
      <c r="I1157" s="575"/>
      <c r="J1157" s="575" t="s">
        <v>1321</v>
      </c>
      <c r="K1157" s="575" t="s">
        <v>1322</v>
      </c>
      <c r="L1157" s="575"/>
      <c r="M1157" s="575"/>
      <c r="P1157"/>
    </row>
    <row r="1158" spans="2:56" hidden="1"/>
    <row r="1159" spans="2:56" hidden="1">
      <c r="B1159" s="37" t="str">
        <f>IF(G298=B1160,B1160,IF(G298=B1161,B1161,IF(G298=B1162,B1162,"")))</f>
        <v>yes</v>
      </c>
    </row>
    <row r="1160" spans="2:56" hidden="1">
      <c r="B1160" s="2" t="s">
        <v>43</v>
      </c>
      <c r="E1160" s="566">
        <f>IF(G298=B1160,1,IF(G298=B1161,-1,IF(G298=B1162,0,"")))</f>
        <v>1</v>
      </c>
    </row>
    <row r="1161" spans="2:56" hidden="1">
      <c r="B1161" s="2" t="s">
        <v>44</v>
      </c>
    </row>
    <row r="1162" spans="2:56" hidden="1">
      <c r="B1162" s="2" t="s">
        <v>1363</v>
      </c>
    </row>
    <row r="1163" spans="2:56" hidden="1"/>
    <row r="1164" spans="2:56" hidden="1">
      <c r="B1164" s="37" t="str">
        <f>IF(G300=B1165,B1165,IF(G300=B1166,B1166,IF(G300=B1167,B1167,"")))</f>
        <v>more general than specific</v>
      </c>
    </row>
    <row r="1165" spans="2:56" ht="14.4" hidden="1">
      <c r="B1165" s="2" t="s">
        <v>1359</v>
      </c>
      <c r="E1165" s="566">
        <f>IF(G300=B1165,1,IF(G300=B1166,-1,IF(G300=B1167,0,0)))</f>
        <v>1</v>
      </c>
      <c r="G1165" s="2" t="str">
        <f>IF((E1165+E1170)&gt;1,"prone to…","")</f>
        <v>prone to…</v>
      </c>
      <c r="BC1165"/>
    </row>
    <row r="1166" spans="2:56" hidden="1">
      <c r="B1166" s="2" t="s">
        <v>1361</v>
      </c>
    </row>
    <row r="1167" spans="2:56" ht="14.4" hidden="1">
      <c r="B1167" s="2" t="s">
        <v>1363</v>
      </c>
      <c r="BD1167"/>
    </row>
    <row r="1168" spans="2:56" ht="14.4" hidden="1">
      <c r="Y1168"/>
    </row>
    <row r="1169" spans="2:56" ht="14.4" hidden="1">
      <c r="B1169" s="37" t="str">
        <f>IF(G302=B1170,B1170,IF(G302=B1171,B1171,IF(G302=B1172,B1172,"")))</f>
        <v>more relief than resolve</v>
      </c>
      <c r="BD1169"/>
    </row>
    <row r="1170" spans="2:56" hidden="1">
      <c r="B1170" s="2" t="s">
        <v>1360</v>
      </c>
      <c r="E1170" s="566">
        <f>IF(G302=B1170,1,IF(G302=B1171,-1,IF(G302=B1172,0,0)))</f>
        <v>1</v>
      </c>
    </row>
    <row r="1171" spans="2:56" hidden="1">
      <c r="B1171" s="2" t="s">
        <v>1362</v>
      </c>
    </row>
    <row r="1172" spans="2:56" hidden="1">
      <c r="B1172" s="2" t="s">
        <v>1363</v>
      </c>
    </row>
    <row r="1187" spans="3:3" ht="14.4">
      <c r="C1187"/>
    </row>
  </sheetData>
  <mergeCells count="147">
    <mergeCell ref="B532:M536"/>
    <mergeCell ref="B472:M475"/>
    <mergeCell ref="B477:M481"/>
    <mergeCell ref="B590:M593"/>
    <mergeCell ref="B613:H618"/>
    <mergeCell ref="B620:M623"/>
    <mergeCell ref="B337:M341"/>
    <mergeCell ref="B636:M640"/>
    <mergeCell ref="H665:J665"/>
    <mergeCell ref="B488:M492"/>
    <mergeCell ref="B494:M498"/>
    <mergeCell ref="B454:M459"/>
    <mergeCell ref="B398:M402"/>
    <mergeCell ref="B404:M409"/>
    <mergeCell ref="B411:M416"/>
    <mergeCell ref="B418:M423"/>
    <mergeCell ref="B429:M434"/>
    <mergeCell ref="B447:M452"/>
    <mergeCell ref="B515:M520"/>
    <mergeCell ref="B566:M569"/>
    <mergeCell ref="B540:M540"/>
    <mergeCell ref="B542:H548"/>
    <mergeCell ref="E550:M556"/>
    <mergeCell ref="B558:I564"/>
    <mergeCell ref="E465:M470"/>
    <mergeCell ref="B504:M508"/>
    <mergeCell ref="B510:M513"/>
    <mergeCell ref="B270:M274"/>
    <mergeCell ref="H97:M97"/>
    <mergeCell ref="B240:M240"/>
    <mergeCell ref="E318:M323"/>
    <mergeCell ref="B325:M330"/>
    <mergeCell ref="B332:M335"/>
    <mergeCell ref="H99:M99"/>
    <mergeCell ref="H101:M101"/>
    <mergeCell ref="D193:G197"/>
    <mergeCell ref="H661:J661"/>
    <mergeCell ref="K659:M659"/>
    <mergeCell ref="B706:L708"/>
    <mergeCell ref="B705:L705"/>
    <mergeCell ref="B704:L704"/>
    <mergeCell ref="B625:G625"/>
    <mergeCell ref="B612:G612"/>
    <mergeCell ref="D680:G683"/>
    <mergeCell ref="D685:G688"/>
    <mergeCell ref="D690:G693"/>
    <mergeCell ref="J680:M683"/>
    <mergeCell ref="J685:M688"/>
    <mergeCell ref="J690:M693"/>
    <mergeCell ref="B626:G634"/>
    <mergeCell ref="B676:L676"/>
    <mergeCell ref="B575:M578"/>
    <mergeCell ref="B580:M583"/>
    <mergeCell ref="B585:M588"/>
    <mergeCell ref="H193:K197"/>
    <mergeCell ref="B139:M144"/>
    <mergeCell ref="B147:M151"/>
    <mergeCell ref="B116:G117"/>
    <mergeCell ref="H116:M117"/>
    <mergeCell ref="B118:M124"/>
    <mergeCell ref="B343:M350"/>
    <mergeCell ref="B304:M308"/>
    <mergeCell ref="G302:M302"/>
    <mergeCell ref="B244:M247"/>
    <mergeCell ref="B249:M254"/>
    <mergeCell ref="B163:M163"/>
    <mergeCell ref="B203:M203"/>
    <mergeCell ref="B235:M238"/>
    <mergeCell ref="B167:M169"/>
    <mergeCell ref="B171:M173"/>
    <mergeCell ref="B175:M179"/>
    <mergeCell ref="B181:M185"/>
    <mergeCell ref="B187:M191"/>
    <mergeCell ref="B160:M161"/>
    <mergeCell ref="B199:M201"/>
    <mergeCell ref="P676:V676"/>
    <mergeCell ref="P54:V54"/>
    <mergeCell ref="B92:M95"/>
    <mergeCell ref="B128:M131"/>
    <mergeCell ref="B133:M136"/>
    <mergeCell ref="B610:M610"/>
    <mergeCell ref="B658:G670"/>
    <mergeCell ref="B646:M649"/>
    <mergeCell ref="B672:M674"/>
    <mergeCell ref="G298:M298"/>
    <mergeCell ref="G300:M300"/>
    <mergeCell ref="B207:M212"/>
    <mergeCell ref="B214:M219"/>
    <mergeCell ref="B231:M233"/>
    <mergeCell ref="B292:M296"/>
    <mergeCell ref="B286:M290"/>
    <mergeCell ref="B280:M284"/>
    <mergeCell ref="B256:M268"/>
    <mergeCell ref="K667:M667"/>
    <mergeCell ref="B375:M378"/>
    <mergeCell ref="B380:M384"/>
    <mergeCell ref="E390:M396"/>
    <mergeCell ref="B356:M360"/>
    <mergeCell ref="B362:M366"/>
    <mergeCell ref="B20:M20"/>
    <mergeCell ref="B221:M226"/>
    <mergeCell ref="C112:G112"/>
    <mergeCell ref="I112:M112"/>
    <mergeCell ref="C114:G114"/>
    <mergeCell ref="I114:M114"/>
    <mergeCell ref="C111:G111"/>
    <mergeCell ref="C40:H40"/>
    <mergeCell ref="I40:K40"/>
    <mergeCell ref="C46:K46"/>
    <mergeCell ref="C48:H48"/>
    <mergeCell ref="C49:H49"/>
    <mergeCell ref="C50:H50"/>
    <mergeCell ref="C51:H51"/>
    <mergeCell ref="C47:H47"/>
    <mergeCell ref="C39:K39"/>
    <mergeCell ref="C41:K41"/>
    <mergeCell ref="C43:K43"/>
    <mergeCell ref="C38:K38"/>
    <mergeCell ref="C45:K45"/>
    <mergeCell ref="C42:K42"/>
    <mergeCell ref="C44:K44"/>
    <mergeCell ref="B153:M155"/>
    <mergeCell ref="B89:M89"/>
    <mergeCell ref="B21:M21"/>
    <mergeCell ref="B157:M158"/>
    <mergeCell ref="P1:V1"/>
    <mergeCell ref="P3:V3"/>
    <mergeCell ref="P5:V5"/>
    <mergeCell ref="P7:V7"/>
    <mergeCell ref="P10:V10"/>
    <mergeCell ref="C108:G108"/>
    <mergeCell ref="I108:M108"/>
    <mergeCell ref="C110:G110"/>
    <mergeCell ref="I110:M110"/>
    <mergeCell ref="C36:K36"/>
    <mergeCell ref="C35:G35"/>
    <mergeCell ref="B103:M104"/>
    <mergeCell ref="C107:G107"/>
    <mergeCell ref="I107:M107"/>
    <mergeCell ref="C109:G109"/>
    <mergeCell ref="I109:M109"/>
    <mergeCell ref="C37:K37"/>
    <mergeCell ref="P12:V12"/>
    <mergeCell ref="I111:M111"/>
    <mergeCell ref="C113:G113"/>
    <mergeCell ref="I113:M113"/>
    <mergeCell ref="B126:M126"/>
  </mergeCells>
  <phoneticPr fontId="144" type="noConversion"/>
  <dataValidations count="13">
    <dataValidation type="list" errorStyle="warning" allowBlank="1" showInputMessage="1" showErrorMessage="1" sqref="H99:M99 H97:M97" xr:uid="{020B5A84-ED62-4410-AF1D-FDE35286F206}">
      <formula1>$B$1100:$B$1117</formula1>
    </dataValidation>
    <dataValidation type="list" errorStyle="warning" allowBlank="1" showInputMessage="1" showErrorMessage="1" sqref="H101:M101" xr:uid="{8167A75D-E2F7-48BA-B04C-E8E699B29BF7}">
      <formula1>$B$1127:$B$1138</formula1>
    </dataValidation>
    <dataValidation type="list" errorStyle="warning" allowBlank="1" showInputMessage="1" showErrorMessage="1" sqref="G298:M298" xr:uid="{009D36E7-5191-446F-B236-DE16BFAB494C}">
      <formula1>$B$1160:$B$1162</formula1>
    </dataValidation>
    <dataValidation type="list" errorStyle="warning" allowBlank="1" showInputMessage="1" showErrorMessage="1" sqref="G300:M300" xr:uid="{832EA01A-463B-404D-90A4-36D35B014C45}">
      <formula1>$B$1165:$B$1167</formula1>
    </dataValidation>
    <dataValidation type="list" errorStyle="warning" allowBlank="1" showInputMessage="1" showErrorMessage="1" sqref="G302:M302" xr:uid="{5083B0F8-3B8E-4214-98D7-D537072049F3}">
      <formula1>$B$1170:$B$1172</formula1>
    </dataValidation>
    <dataValidation type="list" errorStyle="information" allowBlank="1" showInputMessage="1" showErrorMessage="1" sqref="C107:G107 I107:M107" xr:uid="{EB1A61FA-B0CC-4305-93E2-96B5AAB4CB53}">
      <formula1>$BH$107:$BH$108</formula1>
    </dataValidation>
    <dataValidation type="list" errorStyle="information" allowBlank="1" showInputMessage="1" showErrorMessage="1" sqref="C108:G108 I108:M108" xr:uid="{6E269B16-DF17-41C7-B310-72BAD00F251D}">
      <formula1>$BH$109:$BH$110</formula1>
    </dataValidation>
    <dataValidation type="list" errorStyle="information" allowBlank="1" showInputMessage="1" showErrorMessage="1" sqref="C109:G109 I109:M109" xr:uid="{3677F897-D85E-4F83-A1DF-C7B11BA8F086}">
      <formula1>$BH$111:$BH$112</formula1>
    </dataValidation>
    <dataValidation type="list" errorStyle="information" allowBlank="1" showInputMessage="1" showErrorMessage="1" sqref="C110:G110 I110:M110" xr:uid="{CE5C276B-235F-4E88-A359-D30E00B9EB9D}">
      <formula1>$BH$113:$BH$114</formula1>
    </dataValidation>
    <dataValidation type="list" errorStyle="information" allowBlank="1" showInputMessage="1" showErrorMessage="1" sqref="C111:G111 I111:M111" xr:uid="{EBDD256F-ADE9-4DE6-B2A3-0B3A732EB52D}">
      <formula1>$BH$115:$BH$116</formula1>
    </dataValidation>
    <dataValidation type="list" errorStyle="information" allowBlank="1" showInputMessage="1" showErrorMessage="1" sqref="C112:G112 I112:M112" xr:uid="{C10AB12C-57CA-46C0-9651-7EB1E5557527}">
      <formula1>$BH$117:$BH$118</formula1>
    </dataValidation>
    <dataValidation type="list" errorStyle="information" allowBlank="1" showInputMessage="1" showErrorMessage="1" sqref="C113:G113 I113:M113" xr:uid="{7607254C-F871-4CF7-A9A4-40DE26157AE7}">
      <formula1>$BH$119:$BH$120</formula1>
    </dataValidation>
    <dataValidation type="list" errorStyle="information" allowBlank="1" showInputMessage="1" showErrorMessage="1" sqref="C114:G114 I114:M114" xr:uid="{5954DB1B-F7F9-4A53-A632-53C28EF49FC0}">
      <formula1>$BH$121:$BH$122</formula1>
    </dataValidation>
  </dataValidations>
  <hyperlinks>
    <hyperlink ref="A89" location="clients!A54:N54" tooltip="to previous header" display="#" xr:uid="{AB177792-987F-47A0-9D1C-65BF952FD91B}"/>
    <hyperlink ref="AB89" location="campaign!A72:AB113" tooltip="next page" display="$" xr:uid="{E5A0F26B-53CB-4001-ADE4-3A302438C049}"/>
    <hyperlink ref="AB163" location="campaign!A155:AB195" tooltip="next page" display="$" xr:uid="{4930DE11-BF7E-430C-86C9-8B3B6A4FF8CE}"/>
    <hyperlink ref="A126" location="clients!A89:N89" tooltip="to previous page header" display="#" xr:uid="{7157A30E-E476-405C-B883-2AFC02E72C32}"/>
    <hyperlink ref="A163" location="clients!A126:N126" tooltip="to previous page header" display="#" xr:uid="{B527A827-F82B-43BF-AD3A-B5A6746DEA84}"/>
    <hyperlink ref="A240" location="clients!A203:N203" tooltip="to previous page header" display="#" xr:uid="{B548268B-5AE2-4895-83CA-6EF9A1FFD986}"/>
    <hyperlink ref="AB676" location="campaign!A277:AB277" tooltip="next page" display="$" xr:uid="{783F1C21-150C-473A-B9CC-80D1F0FE575C}"/>
    <hyperlink ref="AB203" location="campaign!A196:AB235" tooltip="next page" display="$" xr:uid="{8AB2EA68-62B7-40CD-B681-F248C3EAD78E}"/>
    <hyperlink ref="A203" location="clients!A163:N163" tooltip="to previous page header" display="#" xr:uid="{E766EA4F-E9CF-4EE3-9D85-9B99A6D35037}"/>
    <hyperlink ref="B676" location="campaign!A1:AB1" tooltip="back to the top" display="Value Relating consulting services" xr:uid="{396E39CB-B743-43F6-ACAF-5041B8DB72A2}"/>
    <hyperlink ref="AB126" location="campaign!A114:AB154" display="$" xr:uid="{D4CC09E8-FC82-4760-A17A-2DE1A2EE21E1}"/>
    <hyperlink ref="AB240" location="campaign!A236:AB276" tooltip="next page" display="$" xr:uid="{C737BF0A-9254-43B5-A3A3-8AA1828E5A0D}"/>
    <hyperlink ref="A277" location="clients!A240:N240" tooltip="to previous page header" display="#" xr:uid="{8B6B29C2-C1CF-4C5E-B49F-D5D1788CA802}"/>
    <hyperlink ref="A314" location="clients!A277:N277" tooltip="to previous page header" display="#" xr:uid="{9588858C-EF60-485A-AD82-1E0600B78AC0}"/>
    <hyperlink ref="A386" location="clients!A352:N352" tooltip="to previous page header" display="#" xr:uid="{EFF4DA11-BEBE-404C-B68D-47302584CC0D}"/>
    <hyperlink ref="A461" location="clients!A425:N425" tooltip="to previous page header" display="#" xr:uid="{35394FD7-3716-4705-9C26-93398B312A9B}"/>
    <hyperlink ref="A538" location="clients!A500:N500" tooltip="to previous page header" display="#" xr:uid="{77A48B93-76A5-4043-B9E0-E55C4218517F}"/>
    <hyperlink ref="A571" location="clients!A538:N538" tooltip="to previous page header" display="#" xr:uid="{4C7102E2-AF2D-4677-A54D-AD81EF8AE11D}"/>
    <hyperlink ref="A641" location="clients!A608:N608" tooltip="to previous page header" display="#" xr:uid="{2DC1BB2F-848C-408C-B072-5E5322A25D52}"/>
    <hyperlink ref="A425" location="clients!A386:N386" tooltip="to previous page header" display="#" xr:uid="{22EAC099-3C90-4112-BF69-13BA65C77990}"/>
    <hyperlink ref="A500" location="clients!A461:N461" tooltip="to previous page header" display="#" xr:uid="{A2582EC5-F416-4DA8-8DA9-4B2B9911F8CE}"/>
    <hyperlink ref="A352" location="clients!A314:N314" tooltip="to previous page header" display="#" xr:uid="{EC5EA8E1-3724-4577-ACCB-4FB97D4CC2A9}"/>
    <hyperlink ref="A608" location="clients!A571:N571" tooltip="to previous page header" display="#" xr:uid="{CA694A8B-20C9-435A-9B86-4F9CD91FBB83}"/>
    <hyperlink ref="B157:M158" location="clients!B704" tooltip="Pies, R. Culture Wars, COVID-19 and Countertransference. What America’s Cultural Rifts Might Mean for Psychiatry and Psychotherapy. https://pro.psychcentral.com/culture-wars-covid-19-and-countertransference. June 29, 2020. Accessed 2020-11-07.." display="Your client could become disillusioned with therapy itself. They may see it as hopelessly partisan.1 They likely will warn others not to see you. You then risk your professional reputation. " xr:uid="{56B8A15F-A4DD-45F0-8160-A97211DCD345}"/>
    <hyperlink ref="B171:M173" location="clients!B705" tooltip="Haidt, J. (2013). The righteous mind. Penguin Books." display="clients!B705" xr:uid="{79A2BF66-A9C5-4706-B758-81E569BCDE75}"/>
    <hyperlink ref="B585:M588" location="clients!B706" tooltip="HHS. (2013). Business Associate Contracts. https://www.hhs.gov/hipaa/for-professionals/covered-entities/sample-business-associate-agreement-provisions/index.html. Accessed 2020-11-08." display="clients!B706" xr:uid="{F77F39A0-9E27-4BBB-A617-E223C369A8A2}"/>
    <hyperlink ref="M704" r:id="rId1" tooltip="click to go to webpage" xr:uid="{9AB5E320-935F-49CF-97A4-97A3E7FB826D}"/>
    <hyperlink ref="M706" r:id="rId2" tooltip="click to go to webpage" xr:uid="{A5D5165E-893A-42AF-AC5B-E96CC597CD82}"/>
    <hyperlink ref="M705" r:id="rId3" tooltip="click to go to webpage (Amazon)" xr:uid="{653D1857-25B7-481F-9645-05607D181378}"/>
    <hyperlink ref="AB277" location="campaign!A236:AB276" tooltip="next page" display="$" xr:uid="{4688667D-2F16-438E-BFD0-B83168BC98B1}"/>
    <hyperlink ref="AB314" location="campaign!A236:AB276" tooltip="next page" display="$" xr:uid="{5B3247F1-EE8C-4051-87F5-78056E03080D}"/>
    <hyperlink ref="AB352" location="campaign!A236:AB276" tooltip="next page" display="$" xr:uid="{E63A09ED-7627-4AAF-8A54-24FACBC036E5}"/>
    <hyperlink ref="AB386" location="campaign!A236:AB276" tooltip="next page" display="$" xr:uid="{7C8BF862-89DE-475F-9AB1-80D92A03B4CF}"/>
    <hyperlink ref="AB425" location="campaign!A236:AB276" tooltip="next page" display="$" xr:uid="{1A9EB1FA-E420-4BE1-8372-0FB3AFB84A01}"/>
    <hyperlink ref="AB461" location="campaign!A236:AB276" tooltip="next page" display="$" xr:uid="{29A08279-EC8D-4BCF-9E3A-33DAEC1BF610}"/>
    <hyperlink ref="AB500" location="campaign!A236:AB276" tooltip="next page" display="$" xr:uid="{8C1BF7EE-6599-4027-A85E-527AA0327E29}"/>
    <hyperlink ref="AB538" location="campaign!A236:AB276" tooltip="next page" display="$" xr:uid="{7E8C98B7-58AC-4807-8DE1-2B65E5FC1C96}"/>
    <hyperlink ref="AB571" location="campaign!A236:AB276" tooltip="next page" display="$" xr:uid="{DC786E6A-D464-42FF-A359-A5F2F9742774}"/>
    <hyperlink ref="AB608" location="campaign!A236:AB276" tooltip="next page" display="$" xr:uid="{88F1B780-86F6-4806-A4C4-AB40BF02DFBA}"/>
    <hyperlink ref="AB641" location="campaign!A236:AB276" tooltip="next page" display="$" xr:uid="{30575425-53BE-46A5-9025-16DE6C72B403}"/>
    <hyperlink ref="AB54" location="campaign!A72:AB113" tooltip="next page" display="$" xr:uid="{C90104A7-E354-488B-A944-02BC1FFA764D}"/>
    <hyperlink ref="C36" location="clients!A126:N162" tooltip="click to go to page" display="clients!A126:N162" xr:uid="{C2332A2A-92AA-45AF-BB84-0C2C6E90EF28}"/>
    <hyperlink ref="D685:G688" r:id="rId4" tooltip="click to go to landing page online" display="https://www.valuerelating.com/sttp-4s" xr:uid="{144777AD-59D7-41FB-8337-B5A9DE06D7CA}"/>
    <hyperlink ref="B612:H612" r:id="rId5" display="psychosociotherapy" xr:uid="{73B5CDA0-2A38-40F1-8C80-7B46BC5DCB56}"/>
    <hyperlink ref="B625:G625" r:id="rId6" display="impact parity model" xr:uid="{5B523409-6554-4291-9C2E-0254986E1EFA}"/>
    <hyperlink ref="B126" location="clients!B36:M36" tooltip="back to contents listing" display="Moving therapy beyond popular politics" xr:uid="{3CAB4523-2F2A-4F9E-B8E4-81C4314A567D}"/>
    <hyperlink ref="I35" location="clients!H97:M97" tooltip="go to dropdown list to select your client's political outlook" display="client's" xr:uid="{7C57F8E4-5AD6-4E8F-8E1D-AB73EB632EAF}"/>
    <hyperlink ref="B704:L704" location="clients!B157:M157" tooltip="to use in text" display="1Pies, R. (2020). Culture Wars, COVID-19 and Countertransference. What America’s Cultural Rifts Might Mean for Psychiatry and Psychotherapy. https://pro.psychcentral.com/culture-wars-covid-19-and-countertransference. Accessed 2020-11-07." xr:uid="{753EC004-9BE9-41EE-8351-A6F90B8F7B79}"/>
    <hyperlink ref="B705:L705" location="clients!B171" tooltip="to use in text" display="2Haidt, J. (2013). The righteous mind. Penguin Books." xr:uid="{AB9DC621-6218-4F7C-B300-6810F090F7FA}"/>
    <hyperlink ref="B706:L708" location="clients!B585" tooltip="to use in text" display="3HHS. (2013). Business Associate Contracts. https://www.hhs.gov/hipaa/for-professionals/covered-entities/sample-business-associate-agreement-provisions/index.html. Accessed 2020-11-08." xr:uid="{28F9EFBB-C8D0-4486-9001-D46557BFE953}"/>
    <hyperlink ref="B277:J277" location="clients!B40:K40" tooltip="back to contents" display="Therapeutic Harmony Politics" xr:uid="{02CE0A31-FE99-4FD1-9316-5B9E4C45BB65}"/>
    <hyperlink ref="B286:M290" location="clients!B695:M697" tooltip="Anankelogy, the disciplined study of need" display="Anankelogy, the new social science for understanding needs, finds we have a set way for relating to others, and toward other things. Simplified here, you either relate to other as generally as possible, or you relate to other's specifics. Politics entices you, and your client, to cling to comforting generalizations. Politics builds on coalitions that must avoid potentially divisive specifics. Politics routinely overlooks the specifics necessary to resolve needs, which would remove the pain." xr:uid="{3C4AA80F-085D-48D1-8FB3-0E6CB986A30D}"/>
    <hyperlink ref="B89:M89" location="clients!B35:K35" tooltip="to contents menu above" display="Slipping into political tension" xr:uid="{9B03588D-44A2-48B2-BAE8-311DE2002E77}"/>
    <hyperlink ref="B163:M163" location="clients!B37:K37" tooltip="back to contents menu above" display="1. Politics reveals your client's unresolved needs." xr:uid="{D0D8FA8C-CAC1-497E-8229-F2E1C034AD9F}"/>
    <hyperlink ref="C37:K37" location="clients!A163:N163" tooltip="click to go to page" display="clients!A163:N163" xr:uid="{BA4FA404-FDAE-47BF-A4F7-3C5299B98E9F}"/>
    <hyperlink ref="L37" location="clients!A164:N202" tooltip="to page 6" display="clients!A164:N202" xr:uid="{13FD1D5D-5C74-4799-888A-124B7AD7BE54}"/>
    <hyperlink ref="B203:M203" location="clients!B39:K39" tooltip="back to contents menu above" display="2. Politics unmasks your client's vulnerable needs." xr:uid="{4B4AD168-9162-4E6D-BB73-28351E3AEFCF}"/>
    <hyperlink ref="L39" location="clients!A240:N276" tooltip="to page 8" display="clients!A240:N276" xr:uid="{54DCA0E8-F212-4725-A44F-81F6A240686F}"/>
    <hyperlink ref="C39:K39" location="clients!A240:N240" tooltip="to page 8 header" display="clients!A240:N240" xr:uid="{8C96B016-1991-4596-B369-141F68DDFEDB}"/>
    <hyperlink ref="C38:K38" location="clients!A203:N203" tooltip="to page 7 header" display="clients!A203:N203" xr:uid="{25AB027E-A3D1-4546-AA55-2D8206D2B130}"/>
    <hyperlink ref="L38" location="clients!A203:N239" tooltip="to page 7" display="clients!A203:N239" xr:uid="{2636C986-A527-47D5-85D3-3C8285321E2F}"/>
    <hyperlink ref="J35" location="clients!H99:M99" tooltip="go to dropdown list to select your political outlook" display="yours" xr:uid="{A758E21F-FEE8-431A-8EDB-0DB239436B50}"/>
    <hyperlink ref="K35" location="clients!H101" tooltip="go to dropdown list to select a political issue" display="issue" xr:uid="{02C66A95-D8A8-4306-9852-ABEB0A34216E}"/>
    <hyperlink ref="C34" location="clients!A54:N54" tooltip="go to page 3 header" display="Aims" xr:uid="{D9AD0D2C-8421-4DF1-8FD7-5D2940623051}"/>
    <hyperlink ref="L34" location="clients!A54:N88" tooltip="to page 3" display="clients!A54:N88" xr:uid="{951896C8-68D0-45C0-BA26-CCA29A55BC2F}"/>
    <hyperlink ref="B54:C54" location="clients!B34:K34" tooltip="back to contents menu above" display="Aims" xr:uid="{E8FD685A-D6E5-4A48-8922-24F50A8C60D7}"/>
    <hyperlink ref="C35:G35" location="clients!A89:N89" tooltip="to page 4 header" display="clients!A89:N89" xr:uid="{19138B38-00CB-4C64-97A2-B64F986E6204}"/>
    <hyperlink ref="L35" location="clients!A89:N125" tooltip="to page 4" display="clients!A89:N125" xr:uid="{F9E3DC17-4EDF-4D47-BA75-FD356622B447}"/>
    <hyperlink ref="L33" location="clients!A23:N53" tooltip="to contents (this page)" display="clients!A23:N53" xr:uid="{4B76E7DE-BBE9-4539-A432-0E66251105C1}"/>
    <hyperlink ref="L40" location="clients!A277:N313" tooltip="to page 9" display="clients!A277:N313" xr:uid="{4E288D59-7D5F-4199-82C4-B8BA9C93BCD2}"/>
    <hyperlink ref="C40:K40" location="clients!A277:N277" tooltip="to page 9 header" display="clients!A277:N277" xr:uid="{D1BE0557-7584-4D51-A8A5-5424D4A5738A}"/>
    <hyperlink ref="L41" location="clients!A314:N351" tooltip="to page 10" display="clients!A314:N351" xr:uid="{2D0AE6E2-92B7-4C1A-AC80-8A4642543F31}"/>
    <hyperlink ref="C41:K41" location="clients!A314:N314" tooltip="to page 10 header" display="clients!A314:N314" xr:uid="{FAB54905-308A-4CFB-932E-A9AAD324464E}"/>
    <hyperlink ref="L42" location="clients!A352:N385" tooltip="to page 11" display="clients!A352:N385" xr:uid="{DA2D3AC7-98F6-4E70-BA9A-6B56CB01B9C2}"/>
    <hyperlink ref="C42:K42" location="clients!A352:N352" tooltip="to page 11 header" display="clients!A352:N352" xr:uid="{93BC5CE6-9539-4AD7-AEDF-B013EAEBBA8D}"/>
    <hyperlink ref="L43" location="clients!A386:N424" tooltip="to page 12" display="clients!A386:N424" xr:uid="{95E56840-A762-4D11-80F7-AF2F203F748D}"/>
    <hyperlink ref="C43:K43" location="clients!A386:N386" tooltip="to page 12 header" display="clients!A386:N386" xr:uid="{3BA95C70-16C3-46CA-A66D-2C256BDA4F1E}"/>
    <hyperlink ref="L44" location="clients!A425:N460" tooltip="to page 13" display="clients!A425:N460" xr:uid="{968C45C0-4055-472C-98C5-F8CC0333B82B}"/>
    <hyperlink ref="C44:K44" location="clients!A425:N425" tooltip="to page 13 header" display="clients!A425:N425" xr:uid="{17C4558D-2C0C-4746-A0E8-F4B81C3A0CA6}"/>
    <hyperlink ref="L45" location="clients!A461:N499" tooltip="to page 14" display="clients!A461:N499" xr:uid="{568C827A-3BFB-4304-9E34-F17BE6D01346}"/>
    <hyperlink ref="C45:K45" location="clients!A461:N461" tooltip="to page 14 header" display="clients!A461:N461" xr:uid="{58865333-BC70-4A7C-8A71-20FCFC0D8534}"/>
    <hyperlink ref="L46" location="clients!A500:N537" tooltip="to page 15" display="clients!A500:N537" xr:uid="{A138C1AC-11B3-4DA9-A6D3-0BF8C182B214}"/>
    <hyperlink ref="C46:K46" location="clients!A500:N500" tooltip="to page 15 header" display="clients!A500:N500" xr:uid="{D24845A4-D00E-4336-8DC8-6EA0AA427BA3}"/>
    <hyperlink ref="L47" location="clients!A538:N570" tooltip="to page 16" display="clients!A538:N570" xr:uid="{5B814F4C-11D0-45C4-B24A-2B05E1336F1F}"/>
    <hyperlink ref="C47:H47" location="clients!A538:N538" tooltip="to page 16 header" display="clients!A538:N538" xr:uid="{DFB8FCBA-CCE0-4A3D-B8C6-0486FB6A0FD1}"/>
    <hyperlink ref="L48" location="clients!A571:N607" tooltip="to page 17" display="clients!A571:N607" xr:uid="{94F1A7B0-ACD4-416F-A055-B7DF929A7314}"/>
    <hyperlink ref="C48:H48" location="clients!A571:N571" tooltip="to page 17 header" display="clients!A571:N571" xr:uid="{0D655F77-FB8B-4DB9-B99D-AE96FE922A28}"/>
    <hyperlink ref="L49" location="clients!A608:N640" tooltip="to page 18" display="clients!A608:N640" xr:uid="{1A9C1DC0-7143-4703-86C8-E9DCBE116E24}"/>
    <hyperlink ref="C49:H49" location="clients!A608:N608" tooltip="to page 18 header" display="clients!A608:N608" xr:uid="{50C2FEB5-B850-470B-95C2-AF3686204B10}"/>
    <hyperlink ref="L50" location="clients!A641:N675" tooltip="to page 19" display="clients!A641:N675" xr:uid="{68E1679A-A88C-4CD2-A2E4-18884431DAD2}"/>
    <hyperlink ref="C50:H50" location="clients!A641:N641" tooltip="to page 19 header" display="clients!A641:N641" xr:uid="{8A1DB157-D2B7-4E25-9C28-D0CB4CC7DE75}"/>
    <hyperlink ref="L51" location="clients!A676:N710" tooltip="to page 20" display="clients!A676:N710" xr:uid="{81E732E2-F000-4F7E-AF9B-055ECCA9E98A}"/>
    <hyperlink ref="C51:H51" location="clients!A676:N676" tooltip="to page 20 header" display="clients!A676:N676" xr:uid="{F6020037-A5C4-4549-9EFA-8BB23213B4B6}"/>
    <hyperlink ref="B314:L314" location="clients!B41:K41" tooltip="back to contents menu above" display="1. Identifying affected needs - &quot;degeneralize&quot;" xr:uid="{E65A1AFA-7E93-4AF2-8FB8-42FB4F84CB9E}"/>
    <hyperlink ref="B352:E352" location="clients!B42:K42" tooltip="back to contents menu above" display="De-generalizing" xr:uid="{B890D525-8D38-4FF9-AB21-1C8C7D66A9F1}"/>
    <hyperlink ref="B386:K386" location="clients!B43:K43" tooltip="back to contents menu above" display="2. Expressing affected needs - &quot;dealienate&quot;" xr:uid="{7D91FED3-9E25-49D3-A5CB-C69455C35B5B}"/>
    <hyperlink ref="B425:D425" location="clients!B44:K44" tooltip="back to contents menu above" display="De-alienating" xr:uid="{8328AE3D-C7C2-4C85-80FF-A983F14CD56F}"/>
    <hyperlink ref="B461:K461" location="clients!B45:K45" tooltip="back to contents menu above" display="3. Addressing affected needs - &quot;depolarize&quot;" xr:uid="{73EB0D83-7778-4BD4-A2F3-6654C8DD7CAA}"/>
    <hyperlink ref="B500" location="clients!B46:K46" tooltip="back to contents menu above" display="De-polarizing" xr:uid="{83DEDA92-CCFA-4994-9CC8-E643446EA70B}"/>
    <hyperlink ref="B538:E538" location="clients!B47:K47" tooltip="back to the contents menu above" display="TAKEAWAY" xr:uid="{764F98AB-BCE2-4919-AC2D-694DE5792C82}"/>
    <hyperlink ref="B571:J571" location="clients!B48:K48" tooltip="back to contents menu above" display="Therapeutic Harmony Politics" xr:uid="{AF26C383-DD2D-4F99-B64E-4C647C64AAB1}"/>
    <hyperlink ref="B573:L573" r:id="rId7" tooltip="CLICK to request support for optimizing this pioneering approach to politics." display="This tool covers just enough to get you started on your own. Contact me for support." xr:uid="{F411AE67-A63B-4D6D-8B02-21EF85A3B3C9}"/>
    <hyperlink ref="B608:J608" location="clients!B49:K49" tooltip="back to the contents menu above" display="Introducing psychosociotherapy" xr:uid="{58D58132-67F6-41AC-ADB7-2F58407130C0}"/>
    <hyperlink ref="B641:I641" location="clients!B50:K52" tooltip="back to contents menu above" display="Competitive responsiveness" xr:uid="{C2258992-AFC0-4B0F-A610-B8A1A9E0BE96}"/>
    <hyperlink ref="A676" location="clients!A641:N641" tooltip="to previous page header" display="#" xr:uid="{B0C057F3-E3CE-4444-9C05-7B6897C73BDF}"/>
    <hyperlink ref="N89" location="clients!A126:N126" tooltip="next page header" display="$" xr:uid="{A05E3540-DFB0-4A43-8825-FF3B5853629E}"/>
    <hyperlink ref="N126" location="clients!A163:N163" tooltip="to next page header" display="$" xr:uid="{D5B7EF55-9F03-489E-A9FF-CEA0354B425E}"/>
    <hyperlink ref="N163" location="clients!A203:N203" tooltip="to next page header" display="$" xr:uid="{C1431303-2106-4FE6-B92B-ED2FB9674436}"/>
    <hyperlink ref="N203" location="clients!A240:N240" tooltip="to next page header" display="$" xr:uid="{FF4FCBEA-C8BE-4CDB-9202-34286DBDA948}"/>
    <hyperlink ref="N240" location="clients!A277:N277" tooltip="to next page header" display="$" xr:uid="{B9C52BD0-476C-4CC7-83C2-DF9E041E1851}"/>
    <hyperlink ref="N277" location="clients!A314:N314" tooltip="to next page header" display="$" xr:uid="{725C4F8B-B2F6-4C28-B15C-C55CFB5CF78D}"/>
    <hyperlink ref="N314" location="clients!A352:N352" tooltip="to next page header" display="$" xr:uid="{A707DC95-7D38-467C-868E-242FD2F33AD4}"/>
    <hyperlink ref="N352" location="clients!A386:N386" tooltip="to next page header" display="$" xr:uid="{8AB630C9-6864-4567-A1B6-5F6300DD7651}"/>
    <hyperlink ref="N386" location="clients!A425:N425" tooltip="to next page header" display="$" xr:uid="{EFD1C0E8-235C-44DB-B789-D37A0234B626}"/>
    <hyperlink ref="N425" location="clients!A461:N461" tooltip="to next page header" display="$" xr:uid="{62DCE743-6A7C-4585-94EB-C15C1AD0B667}"/>
    <hyperlink ref="N461" location="clients!A500:N500" tooltip="to next page header" display="$" xr:uid="{80941B9D-FA5E-43F3-844B-99E0B97A0159}"/>
    <hyperlink ref="N500" location="clients!A538:N538" tooltip="to next page header" display="$" xr:uid="{FD61E55C-05CF-4327-ADF4-BBD5690B1E67}"/>
    <hyperlink ref="N538" location="clients!A571:N571" tooltip="to next page header" display="$" xr:uid="{FDAD9B7E-5327-4A7A-AE8D-13AE6C536810}"/>
    <hyperlink ref="N571" location="clients!A608:N608" tooltip="to next page header" display="$" xr:uid="{D044CE23-EFE3-469A-B83D-C63D6054EC08}"/>
    <hyperlink ref="N608" location="clients!A641:N641" tooltip="to next page header" display="$" xr:uid="{21BB73A9-42D5-4657-AD29-9B317327E399}"/>
    <hyperlink ref="N641" location="clients!A676:N676" tooltip="to next page header" display="$" xr:uid="{0CC26789-B044-4135-AA76-AB8707565959}"/>
    <hyperlink ref="N676" location="clients!A710:N710" tooltip="end of the line" display="$" xr:uid="{F91CB3E7-31D7-4ACD-8281-F6E07D141284}"/>
  </hyperlinks>
  <printOptions horizontalCentered="1"/>
  <pageMargins left="0.65" right="0.65" top="0.75" bottom="0.75" header="0.3" footer="0.3"/>
  <pageSetup pageOrder="overThenDown" orientation="portrait" r:id="rId8"/>
  <headerFooter>
    <oddHeader>&amp;C&amp;"Arial Black,Regular"&amp;16&amp;K00B050Value&amp;K01+000 &amp;K7030A0Relating&amp;Rver. 01</oddHeader>
    <oddFooter>&amp;L&amp;D&amp;C&amp;P&amp;R&amp;F; &amp;A</oddFooter>
  </headerFooter>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EC86C4-D1E5-4E2C-84E3-BB2D1A1BC844}">
  <dimension ref="A1:CD1399"/>
  <sheetViews>
    <sheetView zoomScaleNormal="100" zoomScaleSheetLayoutView="90" workbookViewId="0">
      <selection activeCell="B1" sqref="B1"/>
    </sheetView>
  </sheetViews>
  <sheetFormatPr defaultColWidth="8.88671875" defaultRowHeight="13.8"/>
  <cols>
    <col min="1" max="1" width="1.6640625" style="2" customWidth="1"/>
    <col min="2" max="13" width="7.33203125" style="2" customWidth="1"/>
    <col min="14" max="14" width="1.6640625" style="2" customWidth="1"/>
    <col min="15" max="15" width="1.6640625" style="2" hidden="1" customWidth="1"/>
    <col min="16" max="27" width="7.33203125" style="2" hidden="1" customWidth="1"/>
    <col min="28" max="28" width="1.6640625" style="2" hidden="1" customWidth="1"/>
    <col min="29" max="29" width="1.6640625" style="2" customWidth="1"/>
    <col min="30" max="33" width="8.88671875" style="2"/>
    <col min="34" max="34" width="8.88671875" style="2" customWidth="1"/>
    <col min="35" max="52" width="8.88671875" style="2" hidden="1" customWidth="1"/>
    <col min="53" max="79" width="8.88671875" style="2" customWidth="1"/>
    <col min="80" max="80" width="8.88671875" style="2"/>
    <col min="81" max="106" width="8.88671875" style="2" customWidth="1"/>
    <col min="107" max="16384" width="8.88671875" style="2"/>
  </cols>
  <sheetData>
    <row r="1" spans="1:28" ht="45" customHeight="1">
      <c r="A1" s="482"/>
      <c r="B1" s="483"/>
      <c r="C1" s="483"/>
      <c r="D1" s="484"/>
      <c r="E1" s="484"/>
      <c r="F1" s="484"/>
      <c r="G1" s="484"/>
      <c r="H1" s="484"/>
      <c r="I1" s="484"/>
      <c r="J1" s="484"/>
      <c r="K1" s="484"/>
      <c r="L1" s="484"/>
      <c r="M1" s="484"/>
      <c r="N1" s="485"/>
      <c r="O1" s="482"/>
      <c r="P1" s="1278"/>
      <c r="Q1" s="1278"/>
      <c r="R1" s="1278"/>
      <c r="S1" s="1278"/>
      <c r="T1" s="1278"/>
      <c r="U1" s="1278"/>
      <c r="V1" s="1278"/>
      <c r="W1" s="486"/>
      <c r="X1" s="487"/>
      <c r="Y1" s="487"/>
      <c r="Z1" s="487"/>
      <c r="AA1" s="487"/>
      <c r="AB1" s="485"/>
    </row>
    <row r="2" spans="1:28" ht="10.050000000000001" customHeight="1">
      <c r="A2" s="299"/>
      <c r="B2" s="488"/>
      <c r="C2" s="488"/>
      <c r="D2" s="488"/>
      <c r="E2" s="488"/>
      <c r="F2" s="488"/>
      <c r="G2" s="488"/>
      <c r="H2" s="488"/>
      <c r="I2" s="488"/>
      <c r="J2" s="488"/>
      <c r="K2" s="488"/>
      <c r="L2" s="488"/>
      <c r="M2" s="488"/>
      <c r="N2" s="489"/>
      <c r="O2" s="299"/>
      <c r="P2" s="488"/>
      <c r="Q2" s="488"/>
      <c r="R2" s="488"/>
      <c r="S2" s="488"/>
      <c r="T2" s="488"/>
      <c r="U2" s="488"/>
      <c r="V2" s="488"/>
      <c r="W2" s="488"/>
      <c r="X2" s="488"/>
      <c r="Y2" s="488"/>
      <c r="Z2" s="488"/>
      <c r="AA2" s="488"/>
      <c r="AB2" s="489"/>
    </row>
    <row r="3" spans="1:28" ht="30" customHeight="1">
      <c r="A3" s="299"/>
      <c r="B3" s="488"/>
      <c r="C3" s="488"/>
      <c r="D3" s="488"/>
      <c r="E3" s="488"/>
      <c r="F3" s="488"/>
      <c r="G3" s="488"/>
      <c r="H3" s="488"/>
      <c r="I3" s="488"/>
      <c r="J3" s="488"/>
      <c r="K3" s="488"/>
      <c r="L3" s="488"/>
      <c r="M3" s="488"/>
      <c r="N3" s="489"/>
      <c r="O3" s="490"/>
      <c r="P3" s="1279"/>
      <c r="Q3" s="1279"/>
      <c r="R3" s="1279"/>
      <c r="S3" s="1279"/>
      <c r="T3" s="1279"/>
      <c r="U3" s="1279"/>
      <c r="V3" s="1279"/>
      <c r="W3" s="492"/>
      <c r="X3" s="493"/>
      <c r="Y3" s="493"/>
      <c r="Z3" s="493"/>
      <c r="AA3" s="493"/>
      <c r="AB3" s="494"/>
    </row>
    <row r="4" spans="1:28" ht="30" customHeight="1">
      <c r="A4" s="299"/>
      <c r="B4" s="488"/>
      <c r="C4" s="488"/>
      <c r="D4" s="488"/>
      <c r="E4" s="488"/>
      <c r="F4" s="488"/>
      <c r="G4" s="488"/>
      <c r="H4" s="488"/>
      <c r="I4" s="488"/>
      <c r="J4" s="488"/>
      <c r="K4" s="488"/>
      <c r="L4" s="488"/>
      <c r="M4" s="488"/>
      <c r="N4" s="489"/>
      <c r="O4" s="299"/>
      <c r="P4" s="488"/>
      <c r="Q4" s="488"/>
      <c r="R4" s="488"/>
      <c r="S4" s="488"/>
      <c r="T4" s="488"/>
      <c r="U4" s="488"/>
      <c r="V4" s="488"/>
      <c r="W4" s="488"/>
      <c r="X4" s="488"/>
      <c r="Y4" s="488"/>
      <c r="Z4" s="488"/>
      <c r="AA4" s="488"/>
      <c r="AB4" s="489"/>
    </row>
    <row r="5" spans="1:28" ht="30" customHeight="1">
      <c r="A5" s="299"/>
      <c r="B5" s="488"/>
      <c r="C5" s="488"/>
      <c r="D5" s="488"/>
      <c r="E5" s="488"/>
      <c r="F5" s="488"/>
      <c r="G5" s="488"/>
      <c r="H5" s="488"/>
      <c r="I5" s="488"/>
      <c r="J5" s="488"/>
      <c r="K5" s="488"/>
      <c r="L5" s="488"/>
      <c r="M5" s="488"/>
      <c r="N5" s="489"/>
      <c r="O5" s="490"/>
      <c r="P5" s="1279"/>
      <c r="Q5" s="1279"/>
      <c r="R5" s="1279"/>
      <c r="S5" s="1279"/>
      <c r="T5" s="1279"/>
      <c r="U5" s="1279"/>
      <c r="V5" s="1279"/>
      <c r="W5" s="492"/>
      <c r="X5" s="493"/>
      <c r="Y5" s="493"/>
      <c r="Z5" s="493"/>
      <c r="AA5" s="493"/>
      <c r="AB5" s="494"/>
    </row>
    <row r="6" spans="1:28" ht="30" customHeight="1">
      <c r="A6" s="299"/>
      <c r="B6" s="488"/>
      <c r="C6" s="488"/>
      <c r="D6" s="488"/>
      <c r="E6" s="488"/>
      <c r="F6" s="488"/>
      <c r="G6" s="488"/>
      <c r="H6" s="488"/>
      <c r="I6" s="488"/>
      <c r="J6" s="488"/>
      <c r="K6" s="488"/>
      <c r="L6" s="488"/>
      <c r="M6" s="488"/>
      <c r="N6" s="489"/>
      <c r="O6" s="299"/>
      <c r="P6" s="488"/>
      <c r="Q6" s="488"/>
      <c r="R6" s="488"/>
      <c r="S6" s="488"/>
      <c r="T6" s="488"/>
      <c r="U6" s="488"/>
      <c r="V6" s="488"/>
      <c r="W6" s="488"/>
      <c r="X6" s="488"/>
      <c r="Y6" s="488"/>
      <c r="Z6" s="488"/>
      <c r="AA6" s="488"/>
      <c r="AB6" s="489"/>
    </row>
    <row r="7" spans="1:28" ht="30" customHeight="1">
      <c r="A7" s="299"/>
      <c r="B7" s="488"/>
      <c r="C7" s="488"/>
      <c r="D7" s="488"/>
      <c r="E7" s="488"/>
      <c r="F7" s="488"/>
      <c r="G7" s="488"/>
      <c r="H7" s="488"/>
      <c r="I7" s="488"/>
      <c r="J7" s="488"/>
      <c r="K7" s="488"/>
      <c r="L7" s="488"/>
      <c r="M7" s="488"/>
      <c r="N7" s="489"/>
      <c r="O7" s="490"/>
      <c r="P7" s="1279"/>
      <c r="Q7" s="1279"/>
      <c r="R7" s="1279"/>
      <c r="S7" s="1279"/>
      <c r="T7" s="1279"/>
      <c r="U7" s="1279"/>
      <c r="V7" s="1279"/>
      <c r="W7" s="492"/>
      <c r="X7" s="493"/>
      <c r="Y7" s="493"/>
      <c r="Z7" s="493"/>
      <c r="AA7" s="493"/>
      <c r="AB7" s="494"/>
    </row>
    <row r="8" spans="1:28" ht="30" customHeight="1">
      <c r="A8" s="299"/>
      <c r="B8" s="488"/>
      <c r="C8" s="488"/>
      <c r="D8" s="488"/>
      <c r="E8" s="488"/>
      <c r="F8" s="488"/>
      <c r="G8" s="488"/>
      <c r="H8" s="488"/>
      <c r="I8" s="488"/>
      <c r="J8" s="488"/>
      <c r="K8" s="488"/>
      <c r="L8" s="488"/>
      <c r="M8" s="488"/>
      <c r="N8" s="489"/>
      <c r="O8" s="490"/>
      <c r="P8" s="573"/>
      <c r="Q8" s="573"/>
      <c r="R8" s="573"/>
      <c r="S8" s="573"/>
      <c r="T8" s="573"/>
      <c r="U8" s="573"/>
      <c r="V8" s="573"/>
      <c r="W8" s="492"/>
      <c r="X8" s="493"/>
      <c r="Y8" s="493"/>
      <c r="Z8" s="493"/>
      <c r="AA8" s="493"/>
      <c r="AB8" s="494"/>
    </row>
    <row r="9" spans="1:28" ht="30" customHeight="1">
      <c r="A9" s="299"/>
      <c r="B9" s="488"/>
      <c r="C9" s="488"/>
      <c r="D9" s="488"/>
      <c r="E9" s="488"/>
      <c r="F9" s="488"/>
      <c r="G9" s="488"/>
      <c r="H9" s="488"/>
      <c r="I9" s="488"/>
      <c r="J9" s="488"/>
      <c r="K9" s="488"/>
      <c r="L9" s="488"/>
      <c r="M9" s="488"/>
      <c r="N9" s="489"/>
      <c r="O9" s="299"/>
      <c r="P9" s="488"/>
      <c r="Q9" s="488"/>
      <c r="R9" s="488"/>
      <c r="S9" s="488"/>
      <c r="T9" s="488"/>
      <c r="U9" s="488"/>
      <c r="V9" s="488"/>
      <c r="W9" s="488"/>
      <c r="X9" s="488"/>
      <c r="Y9" s="488"/>
      <c r="Z9" s="488"/>
      <c r="AA9" s="488"/>
      <c r="AB9" s="489"/>
    </row>
    <row r="10" spans="1:28" ht="30" customHeight="1">
      <c r="A10" s="299"/>
      <c r="B10" s="488"/>
      <c r="C10" s="488"/>
      <c r="D10" s="488"/>
      <c r="E10" s="488"/>
      <c r="F10" s="488"/>
      <c r="G10" s="488"/>
      <c r="H10" s="488"/>
      <c r="I10" s="488"/>
      <c r="J10" s="488"/>
      <c r="K10" s="488"/>
      <c r="L10" s="488"/>
      <c r="M10" s="488"/>
      <c r="N10" s="489"/>
      <c r="O10" s="490"/>
      <c r="P10" s="1279"/>
      <c r="Q10" s="1279"/>
      <c r="R10" s="1279"/>
      <c r="S10" s="1279"/>
      <c r="T10" s="1279"/>
      <c r="U10" s="1279"/>
      <c r="V10" s="1279"/>
      <c r="W10" s="492"/>
      <c r="X10" s="493"/>
      <c r="Y10" s="493"/>
      <c r="Z10" s="493"/>
      <c r="AA10" s="493"/>
      <c r="AB10" s="494"/>
    </row>
    <row r="11" spans="1:28" ht="30" customHeight="1">
      <c r="A11" s="299"/>
      <c r="B11" s="488"/>
      <c r="C11" s="488"/>
      <c r="D11" s="488"/>
      <c r="E11" s="488"/>
      <c r="F11" s="488"/>
      <c r="G11" s="488"/>
      <c r="H11" s="488"/>
      <c r="I11" s="488"/>
      <c r="J11" s="488"/>
      <c r="K11" s="488"/>
      <c r="L11" s="488"/>
      <c r="M11" s="488"/>
      <c r="N11" s="489"/>
      <c r="O11" s="299"/>
      <c r="P11" s="488"/>
      <c r="Q11" s="488"/>
      <c r="R11" s="488"/>
      <c r="S11" s="488"/>
      <c r="T11" s="488"/>
      <c r="U11" s="488"/>
      <c r="V11" s="488"/>
      <c r="W11" s="488"/>
      <c r="X11" s="488"/>
      <c r="Y11" s="488"/>
      <c r="Z11" s="488"/>
      <c r="AA11" s="488"/>
      <c r="AB11" s="489"/>
    </row>
    <row r="12" spans="1:28" ht="30" customHeight="1">
      <c r="A12" s="299"/>
      <c r="B12" s="488"/>
      <c r="C12" s="488"/>
      <c r="D12" s="488"/>
      <c r="E12" s="488"/>
      <c r="F12" s="488"/>
      <c r="G12" s="488"/>
      <c r="H12" s="488"/>
      <c r="I12" s="488"/>
      <c r="J12" s="488"/>
      <c r="K12" s="488"/>
      <c r="L12" s="488"/>
      <c r="M12" s="488"/>
      <c r="N12" s="489"/>
      <c r="O12" s="490"/>
      <c r="P12" s="1279"/>
      <c r="Q12" s="1279"/>
      <c r="R12" s="1279"/>
      <c r="S12" s="1279"/>
      <c r="T12" s="1279"/>
      <c r="U12" s="1279"/>
      <c r="V12" s="1279"/>
      <c r="W12" s="492"/>
      <c r="X12" s="493"/>
      <c r="Y12" s="493"/>
      <c r="Z12" s="493"/>
      <c r="AA12" s="493"/>
      <c r="AB12" s="494"/>
    </row>
    <row r="13" spans="1:28" ht="30" customHeight="1">
      <c r="A13" s="299"/>
      <c r="B13" s="488"/>
      <c r="C13" s="488"/>
      <c r="D13" s="488"/>
      <c r="E13" s="488"/>
      <c r="F13" s="488"/>
      <c r="G13" s="488"/>
      <c r="H13" s="488"/>
      <c r="I13" s="488"/>
      <c r="J13" s="488"/>
      <c r="K13" s="488"/>
      <c r="L13" s="488"/>
      <c r="M13" s="488"/>
      <c r="N13" s="489"/>
      <c r="O13" s="299"/>
      <c r="P13" s="488"/>
      <c r="Q13" s="488"/>
      <c r="R13" s="488"/>
      <c r="S13" s="488"/>
      <c r="T13" s="488"/>
      <c r="U13" s="488"/>
      <c r="V13" s="488"/>
      <c r="W13" s="488"/>
      <c r="X13" s="488"/>
      <c r="Y13" s="488"/>
      <c r="Z13" s="488"/>
      <c r="AA13" s="488"/>
      <c r="AB13" s="489"/>
    </row>
    <row r="14" spans="1:28" ht="30" customHeight="1">
      <c r="A14" s="299"/>
      <c r="B14" s="488"/>
      <c r="C14" s="488"/>
      <c r="D14" s="488"/>
      <c r="E14" s="488"/>
      <c r="F14" s="488"/>
      <c r="G14" s="488"/>
      <c r="H14" s="488"/>
      <c r="I14" s="488"/>
      <c r="J14" s="488"/>
      <c r="K14" s="488"/>
      <c r="L14" s="488"/>
      <c r="M14" s="488"/>
      <c r="N14" s="489"/>
      <c r="O14" s="299"/>
      <c r="P14" s="488"/>
      <c r="Q14" s="488"/>
      <c r="R14" s="488"/>
      <c r="S14" s="488"/>
      <c r="T14" s="488"/>
      <c r="U14" s="488"/>
      <c r="V14" s="488"/>
      <c r="W14" s="488"/>
      <c r="X14" s="488"/>
      <c r="Y14" s="488"/>
      <c r="Z14" s="488"/>
      <c r="AA14" s="488"/>
      <c r="AB14" s="489"/>
    </row>
    <row r="15" spans="1:28" ht="30" customHeight="1">
      <c r="A15" s="299"/>
      <c r="B15" s="488"/>
      <c r="C15" s="488"/>
      <c r="D15" s="488"/>
      <c r="E15" s="488"/>
      <c r="F15" s="488"/>
      <c r="G15" s="488"/>
      <c r="H15" s="488"/>
      <c r="I15" s="488"/>
      <c r="J15" s="488"/>
      <c r="K15" s="488"/>
      <c r="L15" s="488"/>
      <c r="M15" s="488"/>
      <c r="N15" s="489"/>
      <c r="O15" s="299"/>
      <c r="P15" s="488"/>
      <c r="Q15" s="488"/>
      <c r="R15" s="488"/>
      <c r="S15" s="488"/>
      <c r="T15" s="488"/>
      <c r="U15" s="488"/>
      <c r="V15" s="488"/>
      <c r="W15" s="488"/>
      <c r="X15" s="488"/>
      <c r="Y15" s="488"/>
      <c r="Z15" s="488"/>
      <c r="AA15" s="488"/>
      <c r="AB15" s="489"/>
    </row>
    <row r="16" spans="1:28" ht="30" customHeight="1">
      <c r="A16" s="299"/>
      <c r="B16" s="488"/>
      <c r="C16" s="488"/>
      <c r="D16" s="488"/>
      <c r="E16" s="488"/>
      <c r="F16" s="488"/>
      <c r="G16" s="488"/>
      <c r="H16" s="488"/>
      <c r="I16" s="488"/>
      <c r="J16" s="488"/>
      <c r="K16" s="488"/>
      <c r="L16" s="488"/>
      <c r="M16" s="488"/>
      <c r="N16" s="489"/>
      <c r="O16" s="299"/>
      <c r="P16" s="488"/>
      <c r="Q16" s="488"/>
      <c r="R16" s="488"/>
      <c r="S16" s="488"/>
      <c r="T16" s="488"/>
      <c r="U16" s="488"/>
      <c r="V16" s="488"/>
      <c r="W16" s="488"/>
      <c r="X16" s="488"/>
      <c r="Y16" s="488"/>
      <c r="Z16" s="488"/>
      <c r="AA16" s="488"/>
      <c r="AB16" s="489"/>
    </row>
    <row r="17" spans="1:28" ht="30" customHeight="1">
      <c r="A17" s="299"/>
      <c r="B17" s="488"/>
      <c r="C17" s="488"/>
      <c r="D17" s="488"/>
      <c r="E17" s="488"/>
      <c r="F17" s="488"/>
      <c r="G17" s="488"/>
      <c r="H17" s="488"/>
      <c r="I17" s="488"/>
      <c r="J17" s="488"/>
      <c r="K17" s="488"/>
      <c r="L17" s="488"/>
      <c r="M17" s="488"/>
      <c r="N17" s="489"/>
      <c r="O17" s="299"/>
      <c r="P17" s="488"/>
      <c r="Q17" s="488"/>
      <c r="R17" s="488"/>
      <c r="S17" s="488"/>
      <c r="T17" s="488"/>
      <c r="U17" s="488"/>
      <c r="V17" s="488"/>
      <c r="W17" s="488"/>
      <c r="X17" s="488"/>
      <c r="Y17" s="488"/>
      <c r="Z17" s="488"/>
      <c r="AA17" s="488"/>
      <c r="AB17" s="489"/>
    </row>
    <row r="18" spans="1:28" ht="30" customHeight="1">
      <c r="A18" s="299"/>
      <c r="B18" s="488"/>
      <c r="C18" s="488"/>
      <c r="D18" s="488"/>
      <c r="E18" s="488"/>
      <c r="F18" s="488"/>
      <c r="G18" s="488"/>
      <c r="H18" s="488"/>
      <c r="I18" s="488"/>
      <c r="J18" s="488"/>
      <c r="K18" s="488"/>
      <c r="L18" s="488"/>
      <c r="M18" s="488"/>
      <c r="N18" s="489"/>
      <c r="O18" s="299"/>
      <c r="P18" s="488"/>
      <c r="Q18" s="488"/>
      <c r="R18" s="488"/>
      <c r="S18" s="488"/>
      <c r="T18" s="488"/>
      <c r="U18" s="488"/>
      <c r="V18" s="488"/>
      <c r="W18" s="488"/>
      <c r="X18" s="488"/>
      <c r="Y18" s="488"/>
      <c r="Z18" s="488"/>
      <c r="AA18" s="488"/>
      <c r="AB18" s="489"/>
    </row>
    <row r="19" spans="1:28" ht="30" customHeight="1">
      <c r="A19" s="299"/>
      <c r="B19" s="488"/>
      <c r="C19" s="488"/>
      <c r="D19" s="488"/>
      <c r="E19" s="488"/>
      <c r="F19" s="488"/>
      <c r="G19" s="488"/>
      <c r="H19" s="488"/>
      <c r="I19" s="488"/>
      <c r="J19" s="488"/>
      <c r="K19" s="488"/>
      <c r="L19" s="488"/>
      <c r="M19" s="488"/>
      <c r="N19" s="489"/>
      <c r="O19" s="299"/>
      <c r="P19" s="488"/>
      <c r="Q19" s="488"/>
      <c r="R19" s="488"/>
      <c r="S19" s="488"/>
      <c r="T19" s="488"/>
      <c r="U19" s="488"/>
      <c r="V19" s="488"/>
      <c r="W19" s="488"/>
      <c r="X19" s="488"/>
      <c r="Y19" s="488"/>
      <c r="Z19" s="488"/>
      <c r="AA19" s="488"/>
      <c r="AB19" s="489"/>
    </row>
    <row r="20" spans="1:28" ht="40.049999999999997" customHeight="1">
      <c r="A20" s="299"/>
      <c r="B20" s="1287" t="s">
        <v>1787</v>
      </c>
      <c r="C20" s="1287"/>
      <c r="D20" s="1287"/>
      <c r="E20" s="1287"/>
      <c r="F20" s="1287"/>
      <c r="G20" s="1287"/>
      <c r="H20" s="1287"/>
      <c r="I20" s="1287"/>
      <c r="J20" s="1287"/>
      <c r="K20" s="1287"/>
      <c r="L20" s="1287"/>
      <c r="M20" s="1287"/>
      <c r="N20" s="489"/>
      <c r="O20" s="299"/>
      <c r="P20" s="488"/>
      <c r="Q20" s="488"/>
      <c r="R20" s="488"/>
      <c r="S20" s="488"/>
      <c r="T20" s="488"/>
      <c r="U20" s="488"/>
      <c r="V20" s="488"/>
      <c r="W20" s="488"/>
      <c r="X20" s="488"/>
      <c r="Y20" s="488"/>
      <c r="Z20" s="488"/>
      <c r="AA20" s="488"/>
      <c r="AB20" s="489"/>
    </row>
    <row r="21" spans="1:28" ht="30" customHeight="1">
      <c r="A21" s="299"/>
      <c r="B21" s="1276" t="s">
        <v>1786</v>
      </c>
      <c r="C21" s="1276"/>
      <c r="D21" s="1276"/>
      <c r="E21" s="1276"/>
      <c r="F21" s="1276"/>
      <c r="G21" s="1276"/>
      <c r="H21" s="1276"/>
      <c r="I21" s="1276"/>
      <c r="J21" s="1276"/>
      <c r="K21" s="1276"/>
      <c r="L21" s="1276"/>
      <c r="M21" s="1276"/>
      <c r="N21" s="489"/>
      <c r="O21" s="299"/>
      <c r="P21" s="488"/>
      <c r="Q21" s="488"/>
      <c r="R21" s="488"/>
      <c r="S21" s="488"/>
      <c r="T21" s="488"/>
      <c r="U21" s="488"/>
      <c r="V21" s="488"/>
      <c r="W21" s="488"/>
      <c r="X21" s="488"/>
      <c r="Y21" s="488"/>
      <c r="Z21" s="488"/>
      <c r="AA21" s="488"/>
      <c r="AB21" s="489"/>
    </row>
    <row r="22" spans="1:28" ht="30" customHeight="1">
      <c r="A22" s="299"/>
      <c r="B22" s="488"/>
      <c r="C22" s="488"/>
      <c r="D22" s="488"/>
      <c r="E22" s="488"/>
      <c r="F22" s="488"/>
      <c r="G22" s="488"/>
      <c r="H22" s="488"/>
      <c r="I22" s="488"/>
      <c r="J22" s="488"/>
      <c r="K22" s="488"/>
      <c r="L22" s="488"/>
      <c r="M22" s="488"/>
      <c r="N22" s="489"/>
      <c r="O22" s="299"/>
      <c r="P22" s="488"/>
      <c r="Q22" s="488"/>
      <c r="R22" s="488"/>
      <c r="S22" s="488"/>
      <c r="T22" s="488"/>
      <c r="U22" s="488"/>
      <c r="V22" s="488"/>
      <c r="W22" s="488"/>
      <c r="X22" s="488"/>
      <c r="Y22" s="488"/>
      <c r="Z22" s="488"/>
      <c r="AA22" s="488"/>
      <c r="AB22" s="489"/>
    </row>
    <row r="23" spans="1:28" ht="30" customHeight="1" thickBot="1">
      <c r="A23" s="479"/>
      <c r="B23" s="479"/>
      <c r="C23" s="479"/>
      <c r="D23" s="479"/>
      <c r="E23" s="479"/>
      <c r="F23" s="479"/>
      <c r="G23" s="479"/>
      <c r="H23" s="479"/>
      <c r="I23" s="479"/>
      <c r="J23" s="479"/>
      <c r="K23" s="479"/>
      <c r="L23" s="479"/>
      <c r="M23" s="479"/>
      <c r="N23" s="479"/>
      <c r="O23" s="479"/>
      <c r="P23" s="479"/>
      <c r="Q23" s="479"/>
      <c r="R23" s="479"/>
      <c r="S23" s="479"/>
      <c r="T23" s="479"/>
      <c r="U23" s="479"/>
      <c r="V23" s="479"/>
      <c r="W23" s="479"/>
      <c r="X23" s="479"/>
      <c r="Y23" s="479"/>
      <c r="Z23" s="479"/>
      <c r="AA23" s="479"/>
      <c r="AB23" s="479"/>
    </row>
    <row r="24" spans="1:28" ht="21" customHeight="1">
      <c r="A24" s="479"/>
      <c r="B24" s="529"/>
      <c r="C24" s="1337" t="s">
        <v>2010</v>
      </c>
      <c r="D24" s="1337"/>
      <c r="E24" s="1337"/>
      <c r="F24" s="1337"/>
      <c r="G24" s="1337"/>
      <c r="H24" s="1337"/>
      <c r="I24" s="1337"/>
      <c r="J24" s="1337"/>
      <c r="K24" s="1337"/>
      <c r="L24" s="541">
        <v>2</v>
      </c>
      <c r="M24" s="545">
        <v>2</v>
      </c>
      <c r="N24" s="479"/>
      <c r="O24" s="479"/>
      <c r="P24" s="479"/>
      <c r="Q24" s="479"/>
      <c r="R24" s="479"/>
      <c r="S24" s="479"/>
      <c r="T24" s="479"/>
      <c r="U24" s="479"/>
      <c r="V24" s="479"/>
      <c r="W24" s="479"/>
      <c r="X24" s="479"/>
      <c r="Y24" s="479"/>
      <c r="Z24" s="479"/>
      <c r="AA24" s="479"/>
      <c r="AB24" s="479"/>
    </row>
    <row r="25" spans="1:28" ht="21" customHeight="1" thickBot="1">
      <c r="A25" s="479"/>
      <c r="B25" s="531"/>
      <c r="C25" s="891" t="s">
        <v>1790</v>
      </c>
      <c r="D25" s="891"/>
      <c r="E25" s="891"/>
      <c r="F25" s="891"/>
      <c r="G25" s="891"/>
      <c r="H25" s="891"/>
      <c r="I25" s="891"/>
      <c r="J25" s="891"/>
      <c r="K25" s="891"/>
      <c r="L25" s="847">
        <v>3</v>
      </c>
      <c r="M25" s="848">
        <v>3</v>
      </c>
      <c r="N25" s="479"/>
      <c r="O25" s="479"/>
      <c r="P25" s="479"/>
      <c r="Q25" s="479"/>
      <c r="R25" s="479"/>
      <c r="S25" s="479"/>
      <c r="T25" s="479"/>
      <c r="U25" s="479"/>
      <c r="V25" s="479"/>
      <c r="W25" s="479"/>
      <c r="X25" s="479"/>
      <c r="Y25" s="479"/>
      <c r="Z25" s="479"/>
      <c r="AA25" s="479"/>
      <c r="AB25" s="479"/>
    </row>
    <row r="26" spans="1:28" ht="21" customHeight="1">
      <c r="A26" s="479"/>
      <c r="B26" s="849"/>
      <c r="C26" s="1340" t="str">
        <f>B90</f>
        <v>Parallel political differences</v>
      </c>
      <c r="D26" s="1340"/>
      <c r="E26" s="1340"/>
      <c r="F26" s="1340"/>
      <c r="G26" s="1340"/>
      <c r="H26" s="1340"/>
      <c r="I26" s="1340"/>
      <c r="J26" s="1340"/>
      <c r="K26" s="889" t="s">
        <v>2616</v>
      </c>
      <c r="L26" s="542">
        <v>4</v>
      </c>
      <c r="M26" s="850">
        <v>4</v>
      </c>
      <c r="N26" s="479"/>
      <c r="O26" s="479"/>
      <c r="P26" s="479"/>
      <c r="Q26" s="479"/>
      <c r="R26" s="479"/>
      <c r="S26" s="479"/>
      <c r="T26" s="479"/>
      <c r="U26" s="479"/>
      <c r="V26" s="479"/>
      <c r="W26" s="479"/>
      <c r="X26" s="479"/>
      <c r="Y26" s="479"/>
      <c r="Z26" s="479"/>
      <c r="AA26" s="479"/>
      <c r="AB26" s="479"/>
    </row>
    <row r="27" spans="1:28" ht="21" customHeight="1">
      <c r="A27" s="479"/>
      <c r="B27" s="531"/>
      <c r="C27" s="1339" t="str">
        <f>B129</f>
        <v>Our divisive politics</v>
      </c>
      <c r="D27" s="1339"/>
      <c r="E27" s="1339"/>
      <c r="F27" s="1339"/>
      <c r="G27" s="1339"/>
      <c r="H27" s="1339"/>
      <c r="I27" s="1339"/>
      <c r="J27" s="1339"/>
      <c r="K27" s="881"/>
      <c r="L27" s="542">
        <v>5</v>
      </c>
      <c r="M27" s="546"/>
      <c r="N27" s="479"/>
      <c r="O27" s="479"/>
      <c r="P27" s="479"/>
      <c r="Q27" s="479"/>
      <c r="R27" s="479"/>
      <c r="S27" s="479"/>
      <c r="T27" s="479"/>
      <c r="U27" s="479"/>
      <c r="V27" s="479"/>
      <c r="W27" s="479"/>
      <c r="X27" s="479"/>
      <c r="Y27" s="479"/>
      <c r="Z27" s="479"/>
      <c r="AA27" s="479"/>
      <c r="AB27" s="479"/>
    </row>
    <row r="28" spans="1:28" ht="21" customHeight="1">
      <c r="A28" s="479"/>
      <c r="B28" s="531"/>
      <c r="C28" s="1339" t="str">
        <f>B165</f>
        <v>A need-responsive politics</v>
      </c>
      <c r="D28" s="1339"/>
      <c r="E28" s="1339"/>
      <c r="F28" s="1339"/>
      <c r="G28" s="1339"/>
      <c r="H28" s="1339"/>
      <c r="I28" s="1339"/>
      <c r="J28" s="1339"/>
      <c r="K28" s="879"/>
      <c r="L28" s="542">
        <v>6</v>
      </c>
      <c r="M28" s="546"/>
      <c r="N28" s="479"/>
      <c r="O28" s="479"/>
      <c r="P28" s="479"/>
      <c r="Q28" s="479"/>
      <c r="R28" s="479"/>
      <c r="S28" s="479"/>
      <c r="T28" s="479"/>
      <c r="U28" s="479"/>
      <c r="V28" s="479"/>
      <c r="W28" s="479"/>
      <c r="X28" s="479"/>
      <c r="Y28" s="479"/>
      <c r="Z28" s="479"/>
      <c r="AA28" s="479"/>
      <c r="AB28" s="479"/>
    </row>
    <row r="29" spans="1:28" ht="21" customHeight="1">
      <c r="A29" s="479"/>
      <c r="B29" s="531"/>
      <c r="C29" s="1339" t="str">
        <f>B202</f>
        <v>Slipping into needless battle</v>
      </c>
      <c r="D29" s="1339"/>
      <c r="E29" s="1339"/>
      <c r="F29" s="1339"/>
      <c r="G29" s="1339"/>
      <c r="H29" s="1339"/>
      <c r="I29" s="1339"/>
      <c r="J29" s="1339"/>
      <c r="K29" s="881"/>
      <c r="L29" s="542">
        <v>7</v>
      </c>
      <c r="M29" s="546"/>
      <c r="N29" s="479"/>
      <c r="O29" s="479"/>
      <c r="P29" s="479"/>
      <c r="Q29" s="479"/>
      <c r="R29" s="479"/>
      <c r="S29" s="479"/>
      <c r="T29" s="479"/>
      <c r="U29" s="479"/>
      <c r="V29" s="479"/>
      <c r="W29" s="479"/>
      <c r="X29" s="479"/>
      <c r="Y29" s="479"/>
      <c r="Z29" s="479"/>
      <c r="AA29" s="479"/>
      <c r="AB29" s="479"/>
    </row>
    <row r="30" spans="1:28" ht="21" customHeight="1">
      <c r="A30" s="479"/>
      <c r="B30" s="531"/>
      <c r="C30" s="1339" t="str">
        <f>B239</f>
        <v>Stuck in pointless conflict</v>
      </c>
      <c r="D30" s="1339"/>
      <c r="E30" s="1339"/>
      <c r="F30" s="1339"/>
      <c r="G30" s="1339"/>
      <c r="H30" s="1339"/>
      <c r="I30" s="1339"/>
      <c r="J30" s="1339"/>
      <c r="K30" s="881" t="s">
        <v>2616</v>
      </c>
      <c r="L30" s="542">
        <v>8</v>
      </c>
      <c r="M30" s="546"/>
      <c r="N30" s="479"/>
      <c r="O30" s="479"/>
      <c r="P30" s="479"/>
      <c r="Q30" s="479"/>
      <c r="R30" s="479"/>
      <c r="S30" s="479"/>
      <c r="T30" s="479"/>
      <c r="U30" s="479"/>
      <c r="V30" s="479"/>
      <c r="W30" s="479"/>
      <c r="X30" s="479"/>
      <c r="Y30" s="479"/>
      <c r="Z30" s="479"/>
      <c r="AA30" s="479"/>
      <c r="AB30" s="479"/>
    </row>
    <row r="31" spans="1:28" ht="21" customHeight="1">
      <c r="A31" s="479"/>
      <c r="B31" s="531"/>
      <c r="C31" s="1339" t="str">
        <f>B275</f>
        <v>Liberated by love</v>
      </c>
      <c r="D31" s="1339"/>
      <c r="E31" s="1339"/>
      <c r="F31" s="1339"/>
      <c r="G31" s="1339"/>
      <c r="H31" s="1339"/>
      <c r="I31" s="1339"/>
      <c r="J31" s="1339"/>
      <c r="K31" s="881" t="s">
        <v>2616</v>
      </c>
      <c r="L31" s="542">
        <v>9</v>
      </c>
      <c r="M31" s="546"/>
      <c r="N31" s="479"/>
      <c r="O31" s="479"/>
      <c r="P31" s="479"/>
      <c r="Q31" s="479"/>
      <c r="R31" s="479"/>
      <c r="S31" s="479"/>
      <c r="T31" s="479"/>
      <c r="U31" s="479"/>
      <c r="V31" s="479"/>
      <c r="W31" s="479"/>
      <c r="X31" s="479"/>
      <c r="Y31" s="479"/>
      <c r="Z31" s="479"/>
      <c r="AA31" s="479"/>
      <c r="AB31" s="479"/>
    </row>
    <row r="32" spans="1:28" ht="21" customHeight="1">
      <c r="A32" s="479"/>
      <c r="B32" s="531"/>
      <c r="C32" s="1339" t="str">
        <f>B312</f>
        <v>Depolarizing politics</v>
      </c>
      <c r="D32" s="1339"/>
      <c r="E32" s="1339"/>
      <c r="F32" s="1339"/>
      <c r="G32" s="1339"/>
      <c r="H32" s="1339"/>
      <c r="I32" s="1339"/>
      <c r="J32" s="1339"/>
      <c r="K32" s="881"/>
      <c r="L32" s="542">
        <v>10</v>
      </c>
      <c r="M32" s="546"/>
      <c r="N32" s="479"/>
      <c r="O32" s="479"/>
      <c r="P32" s="479"/>
      <c r="Q32" s="479"/>
      <c r="R32" s="479"/>
      <c r="S32" s="479"/>
      <c r="T32" s="479"/>
      <c r="U32" s="479"/>
      <c r="V32" s="479"/>
      <c r="W32" s="479"/>
      <c r="X32" s="479"/>
      <c r="Y32" s="479"/>
      <c r="Z32" s="479"/>
      <c r="AA32" s="479"/>
      <c r="AB32" s="479"/>
    </row>
    <row r="33" spans="1:28" ht="21" customHeight="1">
      <c r="A33" s="479"/>
      <c r="B33" s="531"/>
      <c r="C33" s="1339" t="str">
        <f>B349</f>
        <v>Our responsive politics</v>
      </c>
      <c r="D33" s="1339"/>
      <c r="E33" s="1339"/>
      <c r="F33" s="1339"/>
      <c r="G33" s="1339"/>
      <c r="H33" s="1339"/>
      <c r="I33" s="1339"/>
      <c r="J33" s="1339"/>
      <c r="K33" s="881"/>
      <c r="L33" s="542">
        <v>11</v>
      </c>
      <c r="M33" s="546"/>
      <c r="N33" s="479"/>
      <c r="O33" s="479"/>
      <c r="P33" s="479"/>
      <c r="Q33" s="479"/>
      <c r="R33" s="479"/>
      <c r="S33" s="479"/>
      <c r="T33" s="479"/>
      <c r="U33" s="479"/>
      <c r="V33" s="479"/>
      <c r="W33" s="479"/>
      <c r="X33" s="479"/>
      <c r="Y33" s="479"/>
      <c r="Z33" s="479"/>
      <c r="AA33" s="479"/>
      <c r="AB33" s="479"/>
    </row>
    <row r="34" spans="1:28" ht="21" customHeight="1" thickBot="1">
      <c r="A34" s="479"/>
      <c r="B34" s="846"/>
      <c r="C34" s="1336" t="str">
        <f>B385</f>
        <v>Respecting all political differences</v>
      </c>
      <c r="D34" s="1336"/>
      <c r="E34" s="1336"/>
      <c r="F34" s="1336"/>
      <c r="G34" s="1336"/>
      <c r="H34" s="1336"/>
      <c r="I34" s="1336"/>
      <c r="J34" s="1336"/>
      <c r="K34" s="890"/>
      <c r="L34" s="847">
        <v>12</v>
      </c>
      <c r="M34" s="848"/>
      <c r="N34" s="479"/>
      <c r="O34" s="479"/>
      <c r="P34" s="479"/>
      <c r="Q34" s="479"/>
      <c r="R34" s="479"/>
      <c r="S34" s="479"/>
      <c r="T34" s="479"/>
      <c r="U34" s="479"/>
      <c r="V34" s="479"/>
      <c r="W34" s="479"/>
      <c r="X34" s="479"/>
      <c r="Y34" s="479"/>
      <c r="Z34" s="479"/>
      <c r="AA34" s="479"/>
      <c r="AB34" s="479"/>
    </row>
    <row r="35" spans="1:28" ht="21" customHeight="1">
      <c r="A35" s="479"/>
      <c r="B35" s="531"/>
      <c r="C35" s="1342" t="str">
        <f>B422</f>
        <v>Welcome to campaign advocacy</v>
      </c>
      <c r="D35" s="1342"/>
      <c r="E35" s="1342"/>
      <c r="F35" s="1342"/>
      <c r="G35" s="1342"/>
      <c r="H35" s="1342"/>
      <c r="I35" s="845"/>
      <c r="J35" s="845"/>
      <c r="K35" s="881"/>
      <c r="L35" s="542">
        <v>13</v>
      </c>
      <c r="M35" s="546"/>
      <c r="N35" s="479"/>
      <c r="O35" s="479"/>
      <c r="P35" s="479"/>
      <c r="Q35" s="479"/>
      <c r="R35" s="479"/>
      <c r="S35" s="479"/>
      <c r="T35" s="479"/>
      <c r="U35" s="479"/>
      <c r="V35" s="479"/>
      <c r="W35" s="479"/>
      <c r="X35" s="479"/>
      <c r="Y35" s="479"/>
      <c r="Z35" s="479"/>
      <c r="AA35" s="479"/>
      <c r="AB35" s="479"/>
    </row>
    <row r="36" spans="1:28" ht="21" customHeight="1">
      <c r="A36" s="479"/>
      <c r="B36" s="531"/>
      <c r="C36" s="1342" t="str">
        <f>B462</f>
        <v>What is the impact parity model?</v>
      </c>
      <c r="D36" s="1342"/>
      <c r="E36" s="1342"/>
      <c r="F36" s="1342"/>
      <c r="G36" s="1342"/>
      <c r="H36" s="1342"/>
      <c r="I36" s="704"/>
      <c r="J36" s="704"/>
      <c r="K36" s="881"/>
      <c r="L36" s="542">
        <v>14</v>
      </c>
      <c r="M36" s="546"/>
      <c r="N36" s="479"/>
      <c r="O36" s="479"/>
      <c r="P36" s="479"/>
      <c r="Q36" s="479"/>
      <c r="R36" s="479"/>
      <c r="S36" s="479"/>
      <c r="T36" s="479"/>
      <c r="U36" s="479"/>
      <c r="V36" s="479"/>
      <c r="W36" s="479"/>
      <c r="X36" s="479"/>
      <c r="Y36" s="479"/>
      <c r="Z36" s="479"/>
      <c r="AA36" s="479"/>
      <c r="AB36" s="479"/>
    </row>
    <row r="37" spans="1:28" ht="21" customHeight="1">
      <c r="A37" s="479"/>
      <c r="B37" s="531"/>
      <c r="C37" s="1341" t="str">
        <f>B493</f>
        <v>Because they need you</v>
      </c>
      <c r="D37" s="1341"/>
      <c r="E37" s="1341"/>
      <c r="F37" s="1341"/>
      <c r="G37" s="1341"/>
      <c r="H37" s="1341"/>
      <c r="I37" s="704"/>
      <c r="J37" s="704"/>
      <c r="K37" s="881"/>
      <c r="L37" s="542">
        <v>15</v>
      </c>
      <c r="M37" s="546"/>
      <c r="N37" s="479"/>
      <c r="O37" s="479"/>
      <c r="P37" s="479"/>
      <c r="Q37" s="479"/>
      <c r="R37" s="479"/>
      <c r="S37" s="479"/>
      <c r="T37" s="479"/>
      <c r="U37" s="479"/>
      <c r="V37" s="479"/>
      <c r="W37" s="479"/>
      <c r="X37" s="479"/>
      <c r="Y37" s="479"/>
      <c r="Z37" s="479"/>
      <c r="AA37" s="479"/>
      <c r="AB37" s="479"/>
    </row>
    <row r="38" spans="1:28" ht="21" customHeight="1">
      <c r="A38" s="479"/>
      <c r="B38" s="531"/>
      <c r="C38" s="1341" t="str">
        <f>B530</f>
        <v>FIT 1: Your personal readiness</v>
      </c>
      <c r="D38" s="1341"/>
      <c r="E38" s="1341"/>
      <c r="F38" s="1341"/>
      <c r="G38" s="1341"/>
      <c r="H38" s="1341"/>
      <c r="I38" s="845"/>
      <c r="J38" s="845"/>
      <c r="K38" s="881" t="s">
        <v>2616</v>
      </c>
      <c r="L38" s="542">
        <v>16</v>
      </c>
      <c r="M38" s="546">
        <v>6</v>
      </c>
      <c r="N38" s="479"/>
      <c r="O38" s="479"/>
      <c r="P38" s="479"/>
      <c r="Q38" s="479"/>
      <c r="R38" s="479"/>
      <c r="S38" s="479"/>
      <c r="T38" s="479"/>
      <c r="U38" s="479"/>
      <c r="V38" s="479"/>
      <c r="W38" s="479"/>
      <c r="X38" s="479"/>
      <c r="Y38" s="479"/>
      <c r="Z38" s="479"/>
      <c r="AA38" s="479"/>
      <c r="AB38" s="479"/>
    </row>
    <row r="39" spans="1:28" ht="21" customHeight="1">
      <c r="A39" s="479"/>
      <c r="B39" s="531"/>
      <c r="C39" s="1341" t="str">
        <f>B568</f>
        <v>FIT 2: Your support potential</v>
      </c>
      <c r="D39" s="1341"/>
      <c r="E39" s="1341"/>
      <c r="F39" s="1341"/>
      <c r="G39" s="1341"/>
      <c r="H39" s="1341"/>
      <c r="I39" s="704"/>
      <c r="J39" s="704"/>
      <c r="K39" s="881"/>
      <c r="L39" s="542">
        <v>17</v>
      </c>
      <c r="M39" s="546">
        <v>7</v>
      </c>
      <c r="N39" s="479"/>
      <c r="O39" s="479"/>
      <c r="P39" s="479"/>
      <c r="Q39" s="479"/>
      <c r="R39" s="479"/>
      <c r="S39" s="479"/>
      <c r="T39" s="479"/>
      <c r="U39" s="479"/>
      <c r="V39" s="479"/>
      <c r="W39" s="479"/>
      <c r="X39" s="479"/>
      <c r="Y39" s="479"/>
      <c r="Z39" s="479"/>
      <c r="AA39" s="479"/>
      <c r="AB39" s="479"/>
    </row>
    <row r="40" spans="1:28" ht="21" customHeight="1">
      <c r="A40" s="479"/>
      <c r="B40" s="531"/>
      <c r="C40" s="1341" t="str">
        <f>B602</f>
        <v>FIT 3: Your responsive impactors</v>
      </c>
      <c r="D40" s="1341"/>
      <c r="E40" s="1341"/>
      <c r="F40" s="1341"/>
      <c r="G40" s="1341"/>
      <c r="H40" s="1341"/>
      <c r="I40" s="704"/>
      <c r="J40" s="704"/>
      <c r="K40" s="881" t="s">
        <v>2616</v>
      </c>
      <c r="L40" s="542">
        <v>18</v>
      </c>
      <c r="M40" s="546">
        <v>8</v>
      </c>
      <c r="N40" s="479"/>
      <c r="O40" s="479"/>
      <c r="P40" s="479"/>
      <c r="Q40" s="479"/>
      <c r="R40" s="479"/>
      <c r="S40" s="479"/>
      <c r="T40" s="479"/>
      <c r="U40" s="479"/>
      <c r="V40" s="479"/>
      <c r="W40" s="479"/>
      <c r="X40" s="479"/>
      <c r="Y40" s="479"/>
      <c r="Z40" s="479"/>
      <c r="AA40" s="479"/>
      <c r="AB40" s="479"/>
    </row>
    <row r="41" spans="1:28" ht="21" customHeight="1">
      <c r="A41" s="479"/>
      <c r="B41" s="531"/>
      <c r="C41" s="1342" t="str">
        <f>B636</f>
        <v>CAMPAIGN PHASES</v>
      </c>
      <c r="D41" s="1342"/>
      <c r="E41" s="1342"/>
      <c r="F41" s="1342"/>
      <c r="G41" s="1342"/>
      <c r="H41" s="1342"/>
      <c r="I41" s="845"/>
      <c r="J41" s="845"/>
      <c r="K41" s="881" t="s">
        <v>2616</v>
      </c>
      <c r="L41" s="542">
        <v>19</v>
      </c>
      <c r="M41" s="546">
        <v>9</v>
      </c>
      <c r="N41" s="479"/>
      <c r="O41" s="479"/>
      <c r="P41" s="479"/>
      <c r="Q41" s="479"/>
      <c r="R41" s="479"/>
      <c r="S41" s="479"/>
      <c r="T41" s="479"/>
      <c r="U41" s="479"/>
      <c r="V41" s="479"/>
      <c r="W41" s="479"/>
      <c r="X41" s="479"/>
      <c r="Y41" s="479"/>
      <c r="Z41" s="479"/>
      <c r="AA41" s="479"/>
      <c r="AB41" s="479"/>
    </row>
    <row r="42" spans="1:28" ht="21" customHeight="1">
      <c r="A42" s="479"/>
      <c r="B42" s="531"/>
      <c r="C42" s="1341" t="str">
        <f>B676</f>
        <v>1: PREP phase</v>
      </c>
      <c r="D42" s="1341"/>
      <c r="E42" s="1341"/>
      <c r="F42" s="1341"/>
      <c r="G42" s="1341"/>
      <c r="H42" s="1341"/>
      <c r="I42" s="760"/>
      <c r="J42" s="760"/>
      <c r="K42" s="881"/>
      <c r="L42" s="542">
        <v>20</v>
      </c>
      <c r="M42" s="546">
        <v>10</v>
      </c>
      <c r="N42" s="479"/>
      <c r="O42" s="479"/>
      <c r="P42" s="479"/>
      <c r="Q42" s="479"/>
      <c r="R42" s="479"/>
      <c r="S42" s="479"/>
      <c r="T42" s="479"/>
      <c r="U42" s="479"/>
      <c r="V42" s="479"/>
      <c r="W42" s="479"/>
      <c r="X42" s="479"/>
      <c r="Y42" s="479"/>
      <c r="Z42" s="479"/>
      <c r="AA42" s="479"/>
      <c r="AB42" s="479"/>
    </row>
    <row r="43" spans="1:28" ht="21" customHeight="1">
      <c r="A43" s="479"/>
      <c r="B43" s="531"/>
      <c r="C43" s="1341" t="str">
        <f>B714</f>
        <v>2: BASE phase</v>
      </c>
      <c r="D43" s="1341"/>
      <c r="E43" s="1341"/>
      <c r="F43" s="1341"/>
      <c r="G43" s="1341"/>
      <c r="H43" s="1341"/>
      <c r="I43" s="761"/>
      <c r="J43" s="761"/>
      <c r="K43" s="881" t="s">
        <v>2616</v>
      </c>
      <c r="L43" s="542">
        <v>21</v>
      </c>
      <c r="M43" s="546">
        <v>11</v>
      </c>
      <c r="N43" s="479"/>
      <c r="O43" s="479"/>
      <c r="P43" s="479"/>
      <c r="Q43" s="479"/>
      <c r="R43" s="479"/>
      <c r="S43" s="479"/>
      <c r="T43" s="479"/>
      <c r="U43" s="479"/>
      <c r="V43" s="479"/>
      <c r="W43" s="479"/>
      <c r="X43" s="479"/>
      <c r="Y43" s="479"/>
      <c r="Z43" s="479"/>
      <c r="AA43" s="479"/>
      <c r="AB43" s="479"/>
    </row>
    <row r="44" spans="1:28" ht="21" customHeight="1">
      <c r="A44" s="479"/>
      <c r="B44" s="531"/>
      <c r="C44" s="1341" t="str">
        <f>B749</f>
        <v>3: LAUNCH phase</v>
      </c>
      <c r="D44" s="1341"/>
      <c r="E44" s="1341"/>
      <c r="F44" s="1341"/>
      <c r="G44" s="1341"/>
      <c r="H44" s="1341"/>
      <c r="I44" s="761"/>
      <c r="J44" s="761"/>
      <c r="K44" s="881" t="s">
        <v>2616</v>
      </c>
      <c r="L44" s="542">
        <v>22</v>
      </c>
      <c r="M44" s="546">
        <v>12</v>
      </c>
      <c r="N44" s="479"/>
      <c r="O44" s="479"/>
      <c r="P44" s="479"/>
      <c r="Q44" s="479"/>
      <c r="R44" s="479"/>
      <c r="S44" s="479"/>
      <c r="T44" s="479"/>
      <c r="U44" s="479"/>
      <c r="V44" s="479"/>
      <c r="W44" s="479"/>
      <c r="X44" s="479"/>
      <c r="Y44" s="479"/>
      <c r="Z44" s="479"/>
      <c r="AA44" s="479"/>
      <c r="AB44" s="479"/>
    </row>
    <row r="45" spans="1:28" ht="21" customHeight="1">
      <c r="A45" s="479"/>
      <c r="B45" s="531"/>
      <c r="C45" s="1341" t="str">
        <f>B783</f>
        <v>4. GROWTH phase</v>
      </c>
      <c r="D45" s="1341"/>
      <c r="E45" s="1341"/>
      <c r="F45" s="1341"/>
      <c r="G45" s="1341"/>
      <c r="H45" s="1341"/>
      <c r="I45" s="761"/>
      <c r="J45" s="761"/>
      <c r="K45" s="881" t="s">
        <v>2616</v>
      </c>
      <c r="L45" s="542">
        <v>23</v>
      </c>
      <c r="M45" s="546">
        <v>13</v>
      </c>
      <c r="N45" s="479"/>
      <c r="O45" s="479"/>
      <c r="P45" s="479"/>
      <c r="Q45" s="479"/>
      <c r="R45" s="479"/>
      <c r="S45" s="479"/>
      <c r="T45" s="479"/>
      <c r="U45" s="479"/>
      <c r="V45" s="479"/>
      <c r="W45" s="479"/>
      <c r="X45" s="479"/>
      <c r="Y45" s="479"/>
      <c r="Z45" s="479"/>
      <c r="AA45" s="479"/>
      <c r="AB45" s="479"/>
    </row>
    <row r="46" spans="1:28" ht="21" customHeight="1">
      <c r="A46" s="479"/>
      <c r="B46" s="531"/>
      <c r="C46" s="1341" t="str">
        <f>B819</f>
        <v>5. CAUSE phase</v>
      </c>
      <c r="D46" s="1341"/>
      <c r="E46" s="1341"/>
      <c r="F46" s="1341"/>
      <c r="G46" s="1341"/>
      <c r="H46" s="1341"/>
      <c r="I46" s="761"/>
      <c r="J46" s="761"/>
      <c r="K46" s="881" t="s">
        <v>2616</v>
      </c>
      <c r="L46" s="542">
        <v>24</v>
      </c>
      <c r="M46" s="546">
        <v>14</v>
      </c>
      <c r="N46" s="479"/>
      <c r="O46" s="479"/>
      <c r="P46" s="479"/>
      <c r="Q46" s="479"/>
      <c r="R46" s="479"/>
      <c r="S46" s="479"/>
      <c r="T46" s="479"/>
      <c r="U46" s="479"/>
      <c r="V46" s="479"/>
      <c r="W46" s="479"/>
      <c r="X46" s="479"/>
      <c r="Y46" s="479"/>
      <c r="Z46" s="479"/>
      <c r="AA46" s="479"/>
      <c r="AB46" s="479"/>
    </row>
    <row r="47" spans="1:28" ht="21" customHeight="1">
      <c r="A47" s="479"/>
      <c r="B47" s="531"/>
      <c r="C47" s="1342" t="str">
        <f>B854</f>
        <v>Overview with revenue potential</v>
      </c>
      <c r="D47" s="1342"/>
      <c r="E47" s="1342"/>
      <c r="F47" s="1342"/>
      <c r="G47" s="1342"/>
      <c r="H47" s="1342"/>
      <c r="I47" s="704"/>
      <c r="J47" s="704"/>
      <c r="K47" s="881" t="s">
        <v>2616</v>
      </c>
      <c r="L47" s="542">
        <v>25</v>
      </c>
      <c r="M47" s="546">
        <v>15</v>
      </c>
      <c r="N47" s="479"/>
      <c r="O47" s="479"/>
      <c r="P47" s="479"/>
      <c r="Q47" s="479"/>
      <c r="R47" s="479"/>
      <c r="S47" s="479"/>
      <c r="T47" s="479"/>
      <c r="U47" s="479"/>
      <c r="V47" s="479"/>
      <c r="W47" s="479"/>
      <c r="X47" s="479"/>
      <c r="Y47" s="479"/>
      <c r="Z47" s="479"/>
      <c r="AA47" s="479"/>
      <c r="AB47" s="479"/>
    </row>
    <row r="48" spans="1:28" ht="21" customHeight="1">
      <c r="A48" s="479"/>
      <c r="B48" s="531"/>
      <c r="C48" s="1341" t="str">
        <f>B893</f>
        <v>Your Relating Terms</v>
      </c>
      <c r="D48" s="1341"/>
      <c r="E48" s="1341"/>
      <c r="F48" s="1341"/>
      <c r="G48" s="1341"/>
      <c r="H48" s="1341"/>
      <c r="I48" s="705"/>
      <c r="J48" s="705"/>
      <c r="K48" s="881" t="s">
        <v>2616</v>
      </c>
      <c r="L48" s="542">
        <v>26</v>
      </c>
      <c r="M48" s="546">
        <v>16</v>
      </c>
      <c r="N48" s="479"/>
      <c r="O48" s="479"/>
      <c r="P48" s="479"/>
      <c r="Q48" s="479"/>
      <c r="R48" s="479"/>
      <c r="S48" s="479"/>
      <c r="T48" s="479"/>
      <c r="U48" s="479"/>
      <c r="V48" s="479"/>
      <c r="W48" s="479"/>
      <c r="X48" s="479"/>
      <c r="Y48" s="479"/>
      <c r="Z48" s="479"/>
      <c r="AA48" s="479"/>
      <c r="AB48" s="479"/>
    </row>
    <row r="49" spans="1:30" ht="21" customHeight="1">
      <c r="A49" s="479"/>
      <c r="B49" s="531"/>
      <c r="C49" s="1341" t="str">
        <f>B931</f>
        <v>Exaction Invoice</v>
      </c>
      <c r="D49" s="1341"/>
      <c r="E49" s="1341"/>
      <c r="F49" s="1341"/>
      <c r="G49" s="1341"/>
      <c r="H49" s="1341"/>
      <c r="I49" s="705"/>
      <c r="J49" s="705"/>
      <c r="K49" s="881" t="s">
        <v>2616</v>
      </c>
      <c r="L49" s="542">
        <v>27</v>
      </c>
      <c r="M49" s="546">
        <v>17</v>
      </c>
      <c r="N49" s="479"/>
      <c r="O49" s="479"/>
      <c r="P49" s="479"/>
      <c r="Q49" s="479"/>
      <c r="R49" s="479"/>
      <c r="S49" s="479"/>
      <c r="T49" s="479"/>
      <c r="U49" s="479"/>
      <c r="V49" s="479"/>
      <c r="W49" s="479"/>
      <c r="X49" s="479"/>
      <c r="Y49" s="479"/>
      <c r="Z49" s="479"/>
      <c r="AA49" s="479"/>
      <c r="AB49" s="479"/>
    </row>
    <row r="50" spans="1:30" ht="21" customHeight="1">
      <c r="A50" s="479"/>
      <c r="B50" s="531"/>
      <c r="C50" s="1341" t="str">
        <f>B966</f>
        <v>Legitimacy Quality</v>
      </c>
      <c r="D50" s="1341"/>
      <c r="E50" s="1341"/>
      <c r="F50" s="1341"/>
      <c r="G50" s="1341"/>
      <c r="H50" s="1341"/>
      <c r="I50" s="705"/>
      <c r="J50" s="705"/>
      <c r="K50" s="881" t="s">
        <v>2616</v>
      </c>
      <c r="L50" s="542">
        <v>28</v>
      </c>
      <c r="M50" s="546">
        <v>18</v>
      </c>
      <c r="N50" s="479"/>
      <c r="O50" s="479"/>
      <c r="P50" s="479"/>
      <c r="Q50" s="479"/>
      <c r="R50" s="479"/>
      <c r="S50" s="479"/>
      <c r="T50" s="479"/>
      <c r="U50" s="479"/>
      <c r="V50" s="479"/>
      <c r="W50" s="479"/>
      <c r="X50" s="479"/>
      <c r="Y50" s="479"/>
      <c r="Z50" s="479"/>
      <c r="AA50" s="479"/>
      <c r="AB50" s="479"/>
    </row>
    <row r="51" spans="1:30" ht="21" customHeight="1">
      <c r="A51" s="479"/>
      <c r="B51" s="531"/>
      <c r="C51" s="1341" t="str">
        <f>B1009</f>
        <v>Invitations</v>
      </c>
      <c r="D51" s="1341"/>
      <c r="E51" s="1341"/>
      <c r="F51" s="1341"/>
      <c r="G51" s="1341"/>
      <c r="H51" s="1341"/>
      <c r="I51" s="705"/>
      <c r="J51" s="705"/>
      <c r="K51" s="881" t="s">
        <v>2616</v>
      </c>
      <c r="L51" s="542">
        <v>29</v>
      </c>
      <c r="M51" s="546">
        <v>19</v>
      </c>
      <c r="N51" s="479"/>
      <c r="O51" s="479"/>
      <c r="P51" s="479"/>
      <c r="Q51" s="479"/>
      <c r="R51" s="479"/>
      <c r="S51" s="479"/>
      <c r="T51" s="479"/>
      <c r="U51" s="479"/>
      <c r="V51" s="479"/>
      <c r="W51" s="479"/>
      <c r="X51" s="479"/>
      <c r="Y51" s="479"/>
      <c r="Z51" s="479"/>
      <c r="AA51" s="479"/>
      <c r="AB51" s="479"/>
    </row>
    <row r="52" spans="1:30" ht="21" customHeight="1">
      <c r="A52" s="479"/>
      <c r="B52" s="531"/>
      <c r="C52" s="1342" t="str">
        <f>B1044</f>
        <v>Getting started</v>
      </c>
      <c r="D52" s="1342"/>
      <c r="E52" s="1342"/>
      <c r="F52" s="1342"/>
      <c r="G52" s="1342"/>
      <c r="H52" s="1342"/>
      <c r="I52" s="525"/>
      <c r="J52" s="525"/>
      <c r="K52" s="708"/>
      <c r="L52" s="542">
        <v>30</v>
      </c>
      <c r="M52" s="546">
        <v>20</v>
      </c>
      <c r="N52" s="479"/>
      <c r="O52" s="479"/>
      <c r="P52" s="479"/>
      <c r="Q52" s="479"/>
      <c r="R52" s="479"/>
      <c r="S52" s="479"/>
      <c r="T52" s="479"/>
      <c r="U52" s="479"/>
      <c r="V52" s="479"/>
      <c r="W52" s="479"/>
      <c r="X52" s="479"/>
      <c r="Y52" s="479"/>
      <c r="Z52" s="479"/>
      <c r="AA52" s="479"/>
      <c r="AB52" s="479"/>
    </row>
    <row r="53" spans="1:30" ht="10.050000000000001" customHeight="1" thickBot="1">
      <c r="A53" s="479"/>
      <c r="B53" s="535"/>
      <c r="C53" s="540"/>
      <c r="D53" s="540"/>
      <c r="E53" s="536"/>
      <c r="F53" s="536"/>
      <c r="G53" s="536"/>
      <c r="H53" s="536"/>
      <c r="I53" s="536"/>
      <c r="J53" s="536"/>
      <c r="K53" s="536"/>
      <c r="L53" s="536"/>
      <c r="M53" s="537"/>
      <c r="N53" s="479"/>
      <c r="O53" s="479"/>
      <c r="P53" s="479"/>
      <c r="Q53" s="479"/>
      <c r="R53" s="479"/>
      <c r="S53" s="479"/>
      <c r="T53" s="479"/>
      <c r="U53" s="479"/>
      <c r="V53" s="479"/>
      <c r="W53" s="479"/>
      <c r="X53" s="479"/>
      <c r="Y53" s="479"/>
      <c r="Z53" s="479"/>
      <c r="AA53" s="479"/>
      <c r="AB53" s="479"/>
    </row>
    <row r="54" spans="1:30" ht="15" customHeight="1">
      <c r="A54" s="479"/>
      <c r="B54" s="479"/>
      <c r="C54" s="479"/>
      <c r="D54" s="479"/>
      <c r="E54" s="479"/>
      <c r="F54" s="479"/>
      <c r="G54" s="479"/>
      <c r="H54" s="479"/>
      <c r="I54" s="479"/>
      <c r="J54" s="479"/>
      <c r="K54" s="479"/>
      <c r="L54" s="479"/>
      <c r="M54" s="479"/>
      <c r="N54" s="479"/>
      <c r="O54" s="479"/>
      <c r="P54" s="479"/>
      <c r="Q54" s="479"/>
      <c r="R54" s="479"/>
      <c r="S54" s="479"/>
      <c r="T54" s="479"/>
      <c r="U54" s="479"/>
      <c r="V54" s="479"/>
      <c r="W54" s="479"/>
      <c r="X54" s="479"/>
      <c r="Y54" s="479"/>
      <c r="Z54" s="479"/>
      <c r="AA54" s="479"/>
      <c r="AB54" s="479"/>
    </row>
    <row r="55" spans="1:30" ht="45" customHeight="1">
      <c r="A55" s="851" t="s">
        <v>1148</v>
      </c>
      <c r="B55" s="882" t="s">
        <v>1790</v>
      </c>
      <c r="C55" s="882"/>
      <c r="D55" s="882"/>
      <c r="E55" s="388"/>
      <c r="F55" s="388"/>
      <c r="G55" s="388"/>
      <c r="H55" s="388"/>
      <c r="I55" s="388"/>
      <c r="J55" s="388"/>
      <c r="K55" s="388"/>
      <c r="L55" s="388"/>
      <c r="M55" s="388"/>
      <c r="N55" s="653" t="s">
        <v>1149</v>
      </c>
      <c r="O55" s="368"/>
      <c r="P55" s="1293" t="s">
        <v>1246</v>
      </c>
      <c r="Q55" s="1293"/>
      <c r="R55" s="1293"/>
      <c r="S55" s="1293"/>
      <c r="T55" s="1293"/>
      <c r="U55" s="1293"/>
      <c r="V55" s="1293"/>
      <c r="W55" s="371"/>
      <c r="X55" s="369"/>
      <c r="Y55" s="369"/>
      <c r="Z55" s="369"/>
      <c r="AA55" s="369"/>
      <c r="AB55" s="653" t="s">
        <v>1149</v>
      </c>
      <c r="AC55" s="1"/>
    </row>
    <row r="56" spans="1:30" ht="15">
      <c r="A56" s="378"/>
      <c r="B56" s="379"/>
      <c r="C56" s="379"/>
      <c r="D56" s="379"/>
      <c r="E56" s="379"/>
      <c r="F56" s="379"/>
      <c r="G56" s="379"/>
      <c r="H56" s="379"/>
      <c r="I56" s="379"/>
      <c r="J56" s="379"/>
      <c r="K56" s="379"/>
      <c r="L56" s="379"/>
      <c r="M56" s="379"/>
      <c r="N56" s="380"/>
      <c r="O56" s="378"/>
      <c r="P56" s="379"/>
      <c r="Q56" s="379"/>
      <c r="R56" s="379"/>
      <c r="S56" s="379"/>
      <c r="T56" s="379"/>
      <c r="U56" s="379"/>
      <c r="V56" s="379"/>
      <c r="W56" s="379"/>
      <c r="X56" s="379"/>
      <c r="Y56" s="379"/>
      <c r="Z56" s="379"/>
      <c r="AA56" s="379"/>
      <c r="AB56" s="522"/>
      <c r="AC56" s="1"/>
    </row>
    <row r="57" spans="1:30">
      <c r="A57" s="197"/>
      <c r="B57" s="195"/>
      <c r="C57" s="195"/>
      <c r="D57" s="195"/>
      <c r="E57" s="195"/>
      <c r="F57" s="195"/>
      <c r="G57" s="195"/>
      <c r="H57" s="195"/>
      <c r="I57" s="195"/>
      <c r="J57" s="195"/>
      <c r="K57" s="195"/>
      <c r="L57" s="195"/>
      <c r="M57" s="195"/>
      <c r="N57" s="196"/>
      <c r="O57" s="197"/>
      <c r="P57" s="195"/>
      <c r="Q57" s="195"/>
      <c r="R57" s="195"/>
      <c r="S57" s="195"/>
      <c r="T57" s="195"/>
      <c r="U57" s="195"/>
      <c r="V57" s="195"/>
      <c r="W57" s="195"/>
      <c r="X57" s="195"/>
      <c r="Y57" s="195"/>
      <c r="Z57" s="195"/>
      <c r="AA57" s="195"/>
      <c r="AB57" s="906"/>
      <c r="AC57" s="1"/>
    </row>
    <row r="58" spans="1:30" ht="30" customHeight="1">
      <c r="A58" s="197"/>
      <c r="B58" s="195"/>
      <c r="C58" s="195"/>
      <c r="D58" s="195"/>
      <c r="E58" s="195"/>
      <c r="F58" s="195"/>
      <c r="G58" s="195"/>
      <c r="H58" s="195"/>
      <c r="I58" s="195"/>
      <c r="J58" s="195"/>
      <c r="K58" s="195"/>
      <c r="L58" s="195"/>
      <c r="M58" s="195"/>
      <c r="N58" s="196"/>
      <c r="O58" s="197"/>
      <c r="P58" s="195"/>
      <c r="Q58" s="195"/>
      <c r="R58" s="195"/>
      <c r="S58" s="195"/>
      <c r="T58" s="195"/>
      <c r="U58" s="195"/>
      <c r="V58" s="195"/>
      <c r="W58" s="195"/>
      <c r="X58" s="195"/>
      <c r="Y58" s="195"/>
      <c r="Z58" s="195"/>
      <c r="AA58" s="195"/>
      <c r="AB58" s="196"/>
      <c r="AC58" s="1"/>
    </row>
    <row r="59" spans="1:30">
      <c r="A59" s="197"/>
      <c r="B59" s="195"/>
      <c r="C59" s="195"/>
      <c r="D59" s="195"/>
      <c r="E59" s="195"/>
      <c r="F59" s="195"/>
      <c r="G59" s="195"/>
      <c r="H59" s="195"/>
      <c r="I59" s="195"/>
      <c r="J59" s="195"/>
      <c r="K59" s="195"/>
      <c r="L59" s="195"/>
      <c r="M59" s="195"/>
      <c r="N59" s="196"/>
      <c r="O59" s="197"/>
      <c r="P59" s="195"/>
      <c r="Q59" s="195"/>
      <c r="R59" s="195"/>
      <c r="S59" s="195"/>
      <c r="T59" s="195"/>
      <c r="U59" s="195"/>
      <c r="V59" s="195"/>
      <c r="W59" s="195"/>
      <c r="X59" s="195"/>
      <c r="Y59" s="195"/>
      <c r="Z59" s="195"/>
      <c r="AA59" s="195"/>
      <c r="AB59" s="196"/>
      <c r="AC59" s="1"/>
      <c r="AD59" s="654"/>
    </row>
    <row r="60" spans="1:30">
      <c r="A60" s="197"/>
      <c r="B60" s="195"/>
      <c r="C60" s="195"/>
      <c r="D60" s="195"/>
      <c r="E60" s="195"/>
      <c r="F60" s="195"/>
      <c r="G60" s="195"/>
      <c r="H60" s="195"/>
      <c r="I60" s="195"/>
      <c r="J60" s="195"/>
      <c r="K60" s="195"/>
      <c r="L60" s="195"/>
      <c r="M60" s="195"/>
      <c r="N60" s="196"/>
      <c r="O60" s="197"/>
      <c r="P60" s="195"/>
      <c r="Q60" s="195"/>
      <c r="R60" s="195"/>
      <c r="S60" s="195"/>
      <c r="T60" s="195"/>
      <c r="U60" s="195"/>
      <c r="V60" s="195"/>
      <c r="W60" s="195"/>
      <c r="X60" s="195"/>
      <c r="Y60" s="195"/>
      <c r="Z60" s="195"/>
      <c r="AA60" s="195"/>
      <c r="AB60" s="196"/>
      <c r="AC60" s="1"/>
    </row>
    <row r="61" spans="1:30">
      <c r="A61" s="197"/>
      <c r="B61" s="195"/>
      <c r="C61" s="195"/>
      <c r="D61" s="195"/>
      <c r="E61" s="195"/>
      <c r="F61" s="195"/>
      <c r="G61" s="195"/>
      <c r="H61" s="195"/>
      <c r="I61" s="195"/>
      <c r="J61" s="195"/>
      <c r="K61" s="195"/>
      <c r="L61" s="195"/>
      <c r="M61" s="195"/>
      <c r="N61" s="196"/>
      <c r="O61" s="197"/>
      <c r="P61" s="195"/>
      <c r="Q61" s="195"/>
      <c r="R61" s="195"/>
      <c r="S61" s="195"/>
      <c r="T61" s="195"/>
      <c r="U61" s="195"/>
      <c r="V61" s="195"/>
      <c r="W61" s="195"/>
      <c r="X61" s="195"/>
      <c r="Y61" s="195"/>
      <c r="Z61" s="195"/>
      <c r="AA61" s="195"/>
      <c r="AB61" s="196"/>
      <c r="AC61" s="1"/>
    </row>
    <row r="62" spans="1:30">
      <c r="A62" s="197"/>
      <c r="B62" s="195"/>
      <c r="C62" s="195"/>
      <c r="D62" s="195"/>
      <c r="E62" s="195"/>
      <c r="F62" s="195"/>
      <c r="G62" s="195"/>
      <c r="H62" s="195"/>
      <c r="I62" s="195"/>
      <c r="J62" s="195"/>
      <c r="K62" s="195"/>
      <c r="L62" s="195"/>
      <c r="M62" s="195"/>
      <c r="N62" s="196"/>
      <c r="O62" s="197"/>
      <c r="P62" s="195"/>
      <c r="Q62" s="195"/>
      <c r="R62" s="195"/>
      <c r="S62" s="195"/>
      <c r="T62" s="195"/>
      <c r="U62" s="195"/>
      <c r="V62" s="195"/>
      <c r="W62" s="195"/>
      <c r="X62" s="195"/>
      <c r="Y62" s="195"/>
      <c r="Z62" s="195"/>
      <c r="AA62" s="195"/>
      <c r="AB62" s="196"/>
      <c r="AC62" s="1"/>
    </row>
    <row r="63" spans="1:30">
      <c r="A63" s="197"/>
      <c r="B63" s="195"/>
      <c r="C63" s="195"/>
      <c r="D63" s="195"/>
      <c r="E63" s="195"/>
      <c r="F63" s="195"/>
      <c r="G63" s="195"/>
      <c r="H63" s="195"/>
      <c r="I63" s="195"/>
      <c r="J63" s="195"/>
      <c r="K63" s="195"/>
      <c r="L63" s="195"/>
      <c r="M63" s="195"/>
      <c r="N63" s="196"/>
      <c r="O63" s="197"/>
      <c r="P63" s="195"/>
      <c r="Q63" s="195"/>
      <c r="R63" s="195"/>
      <c r="S63" s="195"/>
      <c r="T63" s="195"/>
      <c r="U63" s="195"/>
      <c r="V63" s="195"/>
      <c r="W63" s="195"/>
      <c r="X63" s="195"/>
      <c r="Y63" s="195"/>
      <c r="Z63" s="195"/>
      <c r="AA63" s="195"/>
      <c r="AB63" s="196"/>
      <c r="AC63" s="1"/>
    </row>
    <row r="64" spans="1:30">
      <c r="A64" s="197"/>
      <c r="B64" s="195"/>
      <c r="C64" s="195"/>
      <c r="D64" s="195"/>
      <c r="E64" s="195"/>
      <c r="F64" s="195"/>
      <c r="G64" s="195"/>
      <c r="H64" s="195"/>
      <c r="I64" s="195"/>
      <c r="J64" s="195"/>
      <c r="K64" s="195"/>
      <c r="L64" s="195"/>
      <c r="M64" s="195"/>
      <c r="N64" s="196"/>
      <c r="O64" s="197"/>
      <c r="P64" s="195"/>
      <c r="Q64" s="195"/>
      <c r="R64" s="195"/>
      <c r="S64" s="195"/>
      <c r="T64" s="195"/>
      <c r="U64" s="195"/>
      <c r="V64" s="195"/>
      <c r="W64" s="195"/>
      <c r="X64" s="195"/>
      <c r="Y64" s="195"/>
      <c r="Z64" s="195"/>
      <c r="AA64" s="195"/>
      <c r="AB64" s="196"/>
      <c r="AC64" s="1"/>
    </row>
    <row r="65" spans="1:29">
      <c r="A65" s="197"/>
      <c r="B65" s="195"/>
      <c r="C65" s="195"/>
      <c r="D65" s="195"/>
      <c r="E65" s="195"/>
      <c r="F65" s="195"/>
      <c r="G65" s="195"/>
      <c r="H65" s="195"/>
      <c r="I65" s="195"/>
      <c r="J65" s="195"/>
      <c r="K65" s="195"/>
      <c r="L65" s="195"/>
      <c r="M65" s="195"/>
      <c r="N65" s="196"/>
      <c r="O65" s="197"/>
      <c r="P65" s="195"/>
      <c r="Q65" s="195"/>
      <c r="R65" s="195"/>
      <c r="S65" s="195"/>
      <c r="T65" s="195"/>
      <c r="U65" s="195"/>
      <c r="V65" s="195"/>
      <c r="W65" s="195"/>
      <c r="X65" s="195"/>
      <c r="Y65" s="195"/>
      <c r="Z65" s="195"/>
      <c r="AA65" s="195"/>
      <c r="AB65" s="196"/>
      <c r="AC65" s="1"/>
    </row>
    <row r="66" spans="1:29">
      <c r="A66" s="197"/>
      <c r="B66" s="195"/>
      <c r="C66" s="195"/>
      <c r="D66" s="195"/>
      <c r="E66" s="195"/>
      <c r="F66" s="195"/>
      <c r="G66" s="195"/>
      <c r="H66" s="195"/>
      <c r="I66" s="195"/>
      <c r="J66" s="195"/>
      <c r="K66" s="195"/>
      <c r="L66" s="195"/>
      <c r="M66" s="195"/>
      <c r="N66" s="196"/>
      <c r="O66" s="197"/>
      <c r="P66" s="195"/>
      <c r="Q66" s="195"/>
      <c r="R66" s="195"/>
      <c r="S66" s="195"/>
      <c r="T66" s="195"/>
      <c r="U66" s="195"/>
      <c r="V66" s="195"/>
      <c r="W66" s="195"/>
      <c r="X66" s="195"/>
      <c r="Y66" s="195"/>
      <c r="Z66" s="195"/>
      <c r="AA66" s="195"/>
      <c r="AB66" s="196"/>
      <c r="AC66" s="1"/>
    </row>
    <row r="67" spans="1:29" ht="30" customHeight="1">
      <c r="A67" s="197"/>
      <c r="B67" s="195"/>
      <c r="C67" s="195"/>
      <c r="D67" s="195"/>
      <c r="E67" s="195"/>
      <c r="F67" s="195"/>
      <c r="G67" s="195"/>
      <c r="H67" s="195"/>
      <c r="I67" s="195"/>
      <c r="J67" s="195"/>
      <c r="K67" s="195"/>
      <c r="L67" s="195"/>
      <c r="M67" s="195"/>
      <c r="N67" s="196"/>
      <c r="O67" s="197"/>
      <c r="P67" s="195"/>
      <c r="Q67" s="195"/>
      <c r="R67" s="195"/>
      <c r="S67" s="195"/>
      <c r="T67" s="195"/>
      <c r="U67" s="195"/>
      <c r="V67" s="195"/>
      <c r="W67" s="195"/>
      <c r="X67" s="195"/>
      <c r="Y67" s="195"/>
      <c r="Z67" s="195"/>
      <c r="AA67" s="195"/>
      <c r="AB67" s="196"/>
      <c r="AC67" s="1"/>
    </row>
    <row r="68" spans="1:29">
      <c r="A68" s="197"/>
      <c r="B68" s="195"/>
      <c r="C68" s="195"/>
      <c r="D68" s="195"/>
      <c r="E68" s="195"/>
      <c r="F68" s="195"/>
      <c r="G68" s="195"/>
      <c r="H68" s="195"/>
      <c r="I68" s="195"/>
      <c r="J68" s="195"/>
      <c r="K68" s="195"/>
      <c r="L68" s="195"/>
      <c r="M68" s="195"/>
      <c r="N68" s="196"/>
      <c r="O68" s="197"/>
      <c r="P68" s="195"/>
      <c r="Q68" s="195"/>
      <c r="R68" s="195"/>
      <c r="S68" s="195"/>
      <c r="T68" s="195"/>
      <c r="U68" s="195"/>
      <c r="V68" s="195"/>
      <c r="W68" s="195"/>
      <c r="X68" s="195"/>
      <c r="Y68" s="195"/>
      <c r="Z68" s="195"/>
      <c r="AA68" s="195"/>
      <c r="AB68" s="196"/>
      <c r="AC68" s="1"/>
    </row>
    <row r="69" spans="1:29">
      <c r="A69" s="197"/>
      <c r="B69" s="195"/>
      <c r="C69" s="195"/>
      <c r="D69" s="195"/>
      <c r="E69" s="195"/>
      <c r="F69" s="195"/>
      <c r="G69" s="195"/>
      <c r="H69" s="195"/>
      <c r="I69" s="195"/>
      <c r="J69" s="195"/>
      <c r="K69" s="195"/>
      <c r="L69" s="195"/>
      <c r="M69" s="195"/>
      <c r="N69" s="196"/>
      <c r="O69" s="197"/>
      <c r="P69" s="195"/>
      <c r="Q69" s="195"/>
      <c r="R69" s="195"/>
      <c r="S69" s="195"/>
      <c r="T69" s="195"/>
      <c r="U69" s="195"/>
      <c r="V69" s="195"/>
      <c r="W69" s="195"/>
      <c r="X69" s="195"/>
      <c r="Y69" s="195"/>
      <c r="Z69" s="195"/>
      <c r="AA69" s="195"/>
      <c r="AB69" s="196"/>
      <c r="AC69" s="1"/>
    </row>
    <row r="70" spans="1:29" ht="19.95" customHeight="1">
      <c r="A70" s="197"/>
      <c r="B70" s="195"/>
      <c r="C70" s="195"/>
      <c r="D70" s="195"/>
      <c r="E70" s="195"/>
      <c r="F70" s="195"/>
      <c r="G70" s="195"/>
      <c r="H70" s="195"/>
      <c r="I70" s="195"/>
      <c r="J70" s="195"/>
      <c r="K70" s="195"/>
      <c r="L70" s="195"/>
      <c r="M70" s="195"/>
      <c r="N70" s="196"/>
      <c r="O70" s="197"/>
      <c r="P70" s="195"/>
      <c r="Q70" s="195"/>
      <c r="R70" s="195"/>
      <c r="S70" s="195"/>
      <c r="T70" s="195"/>
      <c r="U70" s="195"/>
      <c r="V70" s="195"/>
      <c r="W70" s="195"/>
      <c r="X70" s="195"/>
      <c r="Y70" s="195"/>
      <c r="Z70" s="195"/>
      <c r="AA70" s="195"/>
      <c r="AB70" s="196"/>
      <c r="AC70" s="1"/>
    </row>
    <row r="71" spans="1:29" ht="19.95" customHeight="1">
      <c r="A71" s="197"/>
      <c r="B71" s="195"/>
      <c r="C71" s="195"/>
      <c r="D71" s="195"/>
      <c r="E71" s="195"/>
      <c r="F71" s="195"/>
      <c r="G71" s="195"/>
      <c r="H71" s="195"/>
      <c r="I71" s="195"/>
      <c r="J71" s="195"/>
      <c r="K71" s="195"/>
      <c r="L71" s="195"/>
      <c r="M71" s="195"/>
      <c r="N71" s="196"/>
      <c r="O71" s="197"/>
      <c r="P71" s="195"/>
      <c r="Q71" s="195"/>
      <c r="R71" s="195"/>
      <c r="S71" s="195"/>
      <c r="T71" s="195"/>
      <c r="U71" s="195"/>
      <c r="V71" s="195"/>
      <c r="W71" s="195"/>
      <c r="X71" s="195"/>
      <c r="Y71" s="195"/>
      <c r="Z71" s="195"/>
      <c r="AA71" s="195"/>
      <c r="AB71" s="196"/>
      <c r="AC71" s="1"/>
    </row>
    <row r="72" spans="1:29" ht="19.95" customHeight="1">
      <c r="A72" s="197"/>
      <c r="B72" s="195"/>
      <c r="C72" s="195"/>
      <c r="D72" s="195"/>
      <c r="E72" s="195"/>
      <c r="F72" s="195"/>
      <c r="G72" s="195"/>
      <c r="H72" s="195"/>
      <c r="I72" s="195"/>
      <c r="J72" s="195"/>
      <c r="K72" s="195"/>
      <c r="L72" s="195"/>
      <c r="M72" s="195"/>
      <c r="N72" s="196"/>
      <c r="O72" s="197"/>
      <c r="P72" s="195"/>
      <c r="Q72" s="195"/>
      <c r="R72" s="195"/>
      <c r="S72" s="195"/>
      <c r="T72" s="195"/>
      <c r="U72" s="195"/>
      <c r="V72" s="195"/>
      <c r="W72" s="195"/>
      <c r="X72" s="195"/>
      <c r="Y72" s="195"/>
      <c r="Z72" s="195"/>
      <c r="AA72" s="195"/>
      <c r="AB72" s="196"/>
      <c r="AC72" s="1"/>
    </row>
    <row r="73" spans="1:29" ht="19.95" customHeight="1">
      <c r="A73" s="197"/>
      <c r="B73" s="195"/>
      <c r="C73" s="195"/>
      <c r="D73" s="195"/>
      <c r="E73" s="195"/>
      <c r="F73" s="195"/>
      <c r="G73" s="195"/>
      <c r="H73" s="195"/>
      <c r="I73" s="195"/>
      <c r="J73" s="195"/>
      <c r="K73" s="195"/>
      <c r="L73" s="195"/>
      <c r="M73" s="195"/>
      <c r="N73" s="196"/>
      <c r="O73" s="197"/>
      <c r="P73" s="195"/>
      <c r="Q73" s="195"/>
      <c r="R73" s="195"/>
      <c r="S73" s="195"/>
      <c r="T73" s="195"/>
      <c r="U73" s="195"/>
      <c r="V73" s="195"/>
      <c r="W73" s="195"/>
      <c r="X73" s="195"/>
      <c r="Y73" s="195"/>
      <c r="Z73" s="195"/>
      <c r="AA73" s="195"/>
      <c r="AB73" s="196"/>
      <c r="AC73" s="1"/>
    </row>
    <row r="74" spans="1:29" ht="19.95" customHeight="1">
      <c r="A74" s="197"/>
      <c r="B74" s="195"/>
      <c r="C74" s="195"/>
      <c r="D74" s="195"/>
      <c r="E74" s="195"/>
      <c r="F74" s="195"/>
      <c r="G74" s="195"/>
      <c r="H74" s="195"/>
      <c r="I74" s="195"/>
      <c r="J74" s="195"/>
      <c r="K74" s="195"/>
      <c r="L74" s="195"/>
      <c r="M74" s="195"/>
      <c r="N74" s="196"/>
      <c r="O74" s="197"/>
      <c r="P74" s="195"/>
      <c r="Q74" s="195"/>
      <c r="R74" s="195"/>
      <c r="S74" s="195"/>
      <c r="T74" s="195"/>
      <c r="U74" s="195"/>
      <c r="V74" s="195"/>
      <c r="W74" s="195"/>
      <c r="X74" s="195"/>
      <c r="Y74" s="195"/>
      <c r="Z74" s="195"/>
      <c r="AA74" s="195"/>
      <c r="AB74" s="196"/>
      <c r="AC74" s="1"/>
    </row>
    <row r="75" spans="1:29" ht="19.95" customHeight="1">
      <c r="A75" s="197"/>
      <c r="B75" s="195"/>
      <c r="C75" s="195"/>
      <c r="D75" s="195"/>
      <c r="E75" s="195"/>
      <c r="F75" s="195"/>
      <c r="G75" s="195"/>
      <c r="H75" s="195"/>
      <c r="I75" s="195"/>
      <c r="J75" s="195"/>
      <c r="K75" s="195"/>
      <c r="L75" s="195"/>
      <c r="M75" s="195"/>
      <c r="N75" s="196"/>
      <c r="O75" s="197"/>
      <c r="P75" s="195"/>
      <c r="Q75" s="195"/>
      <c r="R75" s="195"/>
      <c r="S75" s="195"/>
      <c r="T75" s="195"/>
      <c r="U75" s="195"/>
      <c r="V75" s="195"/>
      <c r="W75" s="195"/>
      <c r="X75" s="195"/>
      <c r="Y75" s="195"/>
      <c r="Z75" s="195"/>
      <c r="AA75" s="195"/>
      <c r="AB75" s="196"/>
      <c r="AC75" s="1"/>
    </row>
    <row r="76" spans="1:29" ht="19.95" customHeight="1">
      <c r="A76" s="197"/>
      <c r="B76" s="195"/>
      <c r="C76" s="195"/>
      <c r="D76" s="195"/>
      <c r="E76" s="195"/>
      <c r="F76" s="195"/>
      <c r="G76" s="195"/>
      <c r="H76" s="195"/>
      <c r="I76" s="195"/>
      <c r="J76" s="195"/>
      <c r="K76" s="195"/>
      <c r="L76" s="195"/>
      <c r="M76" s="195"/>
      <c r="N76" s="196"/>
      <c r="O76" s="197"/>
      <c r="P76" s="195"/>
      <c r="Q76" s="195"/>
      <c r="R76" s="195"/>
      <c r="S76" s="195"/>
      <c r="T76" s="195"/>
      <c r="U76" s="195"/>
      <c r="V76" s="195"/>
      <c r="W76" s="195"/>
      <c r="X76" s="195"/>
      <c r="Y76" s="195"/>
      <c r="Z76" s="195"/>
      <c r="AA76" s="195"/>
      <c r="AB76" s="196"/>
      <c r="AC76" s="1"/>
    </row>
    <row r="77" spans="1:29" ht="19.95" customHeight="1">
      <c r="A77" s="197"/>
      <c r="B77" s="195"/>
      <c r="C77" s="195"/>
      <c r="D77" s="195"/>
      <c r="E77" s="195"/>
      <c r="F77" s="195"/>
      <c r="G77" s="195"/>
      <c r="H77" s="195"/>
      <c r="I77" s="195"/>
      <c r="J77" s="195"/>
      <c r="K77" s="195"/>
      <c r="L77" s="195"/>
      <c r="M77" s="195"/>
      <c r="N77" s="196"/>
      <c r="O77" s="197"/>
      <c r="P77" s="195"/>
      <c r="Q77" s="195"/>
      <c r="R77" s="195"/>
      <c r="S77" s="195"/>
      <c r="T77" s="195"/>
      <c r="U77" s="195"/>
      <c r="V77" s="195"/>
      <c r="W77" s="195"/>
      <c r="X77" s="195"/>
      <c r="Y77" s="195"/>
      <c r="Z77" s="195"/>
      <c r="AA77" s="195"/>
      <c r="AB77" s="196"/>
      <c r="AC77" s="1"/>
    </row>
    <row r="78" spans="1:29" ht="19.95" customHeight="1">
      <c r="A78" s="197"/>
      <c r="B78" s="195"/>
      <c r="C78" s="195"/>
      <c r="D78" s="195"/>
      <c r="E78" s="195"/>
      <c r="F78" s="195"/>
      <c r="G78" s="195"/>
      <c r="H78" s="195"/>
      <c r="I78" s="195"/>
      <c r="J78" s="195"/>
      <c r="K78" s="195"/>
      <c r="L78" s="195"/>
      <c r="M78" s="195"/>
      <c r="N78" s="196"/>
      <c r="O78" s="197"/>
      <c r="P78" s="195"/>
      <c r="Q78" s="195"/>
      <c r="R78" s="195"/>
      <c r="S78" s="195"/>
      <c r="T78" s="195"/>
      <c r="U78" s="195"/>
      <c r="V78" s="195"/>
      <c r="W78" s="195"/>
      <c r="X78" s="195"/>
      <c r="Y78" s="195"/>
      <c r="Z78" s="195"/>
      <c r="AA78" s="195"/>
      <c r="AB78" s="196"/>
      <c r="AC78" s="1"/>
    </row>
    <row r="79" spans="1:29" ht="19.95" customHeight="1">
      <c r="A79" s="197"/>
      <c r="B79" s="195"/>
      <c r="C79" s="195"/>
      <c r="D79" s="195"/>
      <c r="E79" s="195"/>
      <c r="F79" s="195"/>
      <c r="G79" s="195"/>
      <c r="H79" s="195"/>
      <c r="I79" s="195"/>
      <c r="J79" s="195"/>
      <c r="K79" s="195"/>
      <c r="L79" s="195"/>
      <c r="M79" s="195"/>
      <c r="N79" s="196"/>
      <c r="O79" s="197"/>
      <c r="P79" s="195"/>
      <c r="Q79" s="195"/>
      <c r="R79" s="195"/>
      <c r="S79" s="195"/>
      <c r="T79" s="195"/>
      <c r="U79" s="195"/>
      <c r="V79" s="195"/>
      <c r="W79" s="195"/>
      <c r="X79" s="195"/>
      <c r="Y79" s="195"/>
      <c r="Z79" s="195"/>
      <c r="AA79" s="195"/>
      <c r="AB79" s="196"/>
      <c r="AC79" s="1"/>
    </row>
    <row r="80" spans="1:29" ht="19.95" customHeight="1">
      <c r="A80" s="197"/>
      <c r="B80" s="195"/>
      <c r="C80" s="195"/>
      <c r="D80" s="195"/>
      <c r="E80" s="195"/>
      <c r="F80" s="195"/>
      <c r="G80" s="195"/>
      <c r="H80" s="195"/>
      <c r="I80" s="195"/>
      <c r="J80" s="195"/>
      <c r="K80" s="195"/>
      <c r="L80" s="195"/>
      <c r="M80" s="195"/>
      <c r="N80" s="196"/>
      <c r="O80" s="197"/>
      <c r="P80" s="195"/>
      <c r="Q80" s="195"/>
      <c r="R80" s="195"/>
      <c r="S80" s="195"/>
      <c r="T80" s="195"/>
      <c r="U80" s="195"/>
      <c r="V80" s="195"/>
      <c r="W80" s="195"/>
      <c r="X80" s="195"/>
      <c r="Y80" s="195"/>
      <c r="Z80" s="195"/>
      <c r="AA80" s="195"/>
      <c r="AB80" s="196"/>
      <c r="AC80" s="1"/>
    </row>
    <row r="81" spans="1:45" ht="19.95" customHeight="1">
      <c r="A81" s="197"/>
      <c r="B81" s="195"/>
      <c r="C81" s="195"/>
      <c r="D81" s="195"/>
      <c r="E81" s="195"/>
      <c r="F81" s="195"/>
      <c r="G81" s="195"/>
      <c r="H81" s="195"/>
      <c r="I81" s="195"/>
      <c r="J81" s="195"/>
      <c r="K81" s="195"/>
      <c r="L81" s="195"/>
      <c r="M81" s="195"/>
      <c r="N81" s="196"/>
      <c r="O81" s="197"/>
      <c r="P81" s="195"/>
      <c r="Q81" s="195"/>
      <c r="R81" s="195"/>
      <c r="S81" s="195"/>
      <c r="T81" s="195"/>
      <c r="U81" s="195"/>
      <c r="V81" s="195"/>
      <c r="W81" s="195"/>
      <c r="X81" s="195"/>
      <c r="Y81" s="195"/>
      <c r="Z81" s="195"/>
      <c r="AA81" s="195"/>
      <c r="AB81" s="196"/>
      <c r="AC81" s="1"/>
    </row>
    <row r="82" spans="1:45" ht="19.95" customHeight="1">
      <c r="A82" s="197"/>
      <c r="B82" s="195"/>
      <c r="C82" s="195"/>
      <c r="D82" s="195"/>
      <c r="E82" s="195"/>
      <c r="F82" s="195"/>
      <c r="G82" s="195"/>
      <c r="H82" s="195"/>
      <c r="I82" s="195"/>
      <c r="J82" s="195"/>
      <c r="K82" s="195"/>
      <c r="L82" s="195"/>
      <c r="M82" s="195"/>
      <c r="N82" s="196"/>
      <c r="O82" s="197"/>
      <c r="P82" s="195"/>
      <c r="Q82" s="195"/>
      <c r="R82" s="195"/>
      <c r="S82" s="195"/>
      <c r="T82" s="195"/>
      <c r="U82" s="195"/>
      <c r="V82" s="195"/>
      <c r="W82" s="195"/>
      <c r="X82" s="195"/>
      <c r="Y82" s="195"/>
      <c r="Z82" s="195"/>
      <c r="AA82" s="195"/>
      <c r="AB82" s="196"/>
      <c r="AC82" s="1"/>
    </row>
    <row r="83" spans="1:45" ht="19.95" customHeight="1">
      <c r="A83" s="197"/>
      <c r="B83" s="195"/>
      <c r="C83" s="195"/>
      <c r="D83" s="195"/>
      <c r="E83" s="195"/>
      <c r="F83" s="195"/>
      <c r="G83" s="195"/>
      <c r="H83" s="195"/>
      <c r="I83" s="195"/>
      <c r="J83" s="195"/>
      <c r="K83" s="195"/>
      <c r="L83" s="195"/>
      <c r="M83" s="195"/>
      <c r="N83" s="196"/>
      <c r="O83" s="197"/>
      <c r="P83" s="195"/>
      <c r="Q83" s="195"/>
      <c r="R83" s="195"/>
      <c r="S83" s="195"/>
      <c r="T83" s="195"/>
      <c r="U83" s="195"/>
      <c r="V83" s="195"/>
      <c r="W83" s="195"/>
      <c r="X83" s="195"/>
      <c r="Y83" s="195"/>
      <c r="Z83" s="195"/>
      <c r="AA83" s="195"/>
      <c r="AB83" s="196"/>
      <c r="AC83" s="1"/>
    </row>
    <row r="84" spans="1:45" ht="19.95" customHeight="1">
      <c r="A84" s="197"/>
      <c r="B84" s="195"/>
      <c r="C84" s="195"/>
      <c r="D84" s="195"/>
      <c r="E84" s="195"/>
      <c r="F84" s="195"/>
      <c r="G84" s="195"/>
      <c r="H84" s="195"/>
      <c r="I84" s="195"/>
      <c r="J84" s="195"/>
      <c r="K84" s="195"/>
      <c r="L84" s="195"/>
      <c r="M84" s="195"/>
      <c r="N84" s="196"/>
      <c r="O84" s="197"/>
      <c r="P84" s="195"/>
      <c r="Q84" s="195"/>
      <c r="R84" s="195"/>
      <c r="S84" s="195"/>
      <c r="T84" s="195"/>
      <c r="U84" s="195"/>
      <c r="V84" s="195"/>
      <c r="W84" s="195"/>
      <c r="X84" s="195"/>
      <c r="Y84" s="195"/>
      <c r="Z84" s="195"/>
      <c r="AA84" s="195"/>
      <c r="AB84" s="196"/>
      <c r="AC84" s="1"/>
    </row>
    <row r="85" spans="1:45" ht="19.95" customHeight="1">
      <c r="A85" s="197"/>
      <c r="B85" s="195"/>
      <c r="C85" s="195"/>
      <c r="D85" s="195"/>
      <c r="E85" s="195"/>
      <c r="F85" s="195"/>
      <c r="G85" s="195"/>
      <c r="H85" s="195"/>
      <c r="I85" s="195"/>
      <c r="J85" s="195"/>
      <c r="K85" s="195"/>
      <c r="L85" s="195"/>
      <c r="M85" s="195"/>
      <c r="N85" s="196"/>
      <c r="O85" s="197"/>
      <c r="P85" s="195"/>
      <c r="Q85" s="195"/>
      <c r="R85" s="195"/>
      <c r="S85" s="195"/>
      <c r="T85" s="195"/>
      <c r="U85" s="195"/>
      <c r="V85" s="195"/>
      <c r="W85" s="195"/>
      <c r="X85" s="195"/>
      <c r="Y85" s="195"/>
      <c r="Z85" s="195"/>
      <c r="AA85" s="195"/>
      <c r="AB85" s="196"/>
      <c r="AC85" s="1"/>
      <c r="AK85" s="479" t="str">
        <f>CONCATENATE(AM85,AO85,AP85)</f>
        <v>We simplify your outlook as primarily liberal. No need to complete this.</v>
      </c>
      <c r="AM85" s="570" t="s">
        <v>1741</v>
      </c>
      <c r="AO85" s="2" t="str">
        <f>IF(AS85=AK126,AM126,IF(AS85=AK127,AM127,AM128))</f>
        <v>liberal</v>
      </c>
      <c r="AP85" s="570" t="s">
        <v>1744</v>
      </c>
      <c r="AR85" s="157" t="s">
        <v>1597</v>
      </c>
      <c r="AS85" s="2" t="str">
        <f>E1272</f>
        <v>LIBERAL</v>
      </c>
    </row>
    <row r="86" spans="1:45" ht="19.95" customHeight="1">
      <c r="A86" s="197"/>
      <c r="B86" s="195"/>
      <c r="C86" s="195"/>
      <c r="D86" s="195"/>
      <c r="E86" s="195"/>
      <c r="F86" s="195"/>
      <c r="G86" s="195"/>
      <c r="H86" s="195"/>
      <c r="I86" s="195"/>
      <c r="J86" s="195"/>
      <c r="K86" s="195"/>
      <c r="L86" s="195"/>
      <c r="M86" s="195"/>
      <c r="N86" s="196"/>
      <c r="O86" s="197"/>
      <c r="P86" s="195"/>
      <c r="Q86" s="195"/>
      <c r="R86" s="195"/>
      <c r="S86" s="195"/>
      <c r="T86" s="195"/>
      <c r="U86" s="195"/>
      <c r="V86" s="195"/>
      <c r="W86" s="195"/>
      <c r="X86" s="195"/>
      <c r="Y86" s="195"/>
      <c r="Z86" s="195"/>
      <c r="AA86" s="195"/>
      <c r="AB86" s="196"/>
      <c r="AC86" s="1"/>
      <c r="AK86" s="476" t="str">
        <f>CONCATENATE(AM86,AO86,AP86)</f>
        <v>We simplify your client's outlook as primarily independent. No need to fill out.</v>
      </c>
      <c r="AM86" s="570" t="s">
        <v>1742</v>
      </c>
      <c r="AO86" s="2" t="str">
        <f>IF(AS86=AK126,AM126,IF(AS86=AK127,AM127,AM128))</f>
        <v>independent</v>
      </c>
      <c r="AP86" s="570" t="s">
        <v>1743</v>
      </c>
      <c r="AR86" s="157" t="s">
        <v>1596</v>
      </c>
      <c r="AS86" s="2" t="str">
        <f>E1270</f>
        <v/>
      </c>
    </row>
    <row r="87" spans="1:45" ht="19.95" customHeight="1">
      <c r="A87" s="197"/>
      <c r="B87" s="195"/>
      <c r="C87" s="195"/>
      <c r="D87" s="195"/>
      <c r="E87" s="195"/>
      <c r="F87" s="195"/>
      <c r="G87" s="195"/>
      <c r="H87" s="195"/>
      <c r="I87" s="195"/>
      <c r="J87" s="195"/>
      <c r="K87" s="195"/>
      <c r="L87" s="195"/>
      <c r="M87" s="195"/>
      <c r="N87" s="196"/>
      <c r="O87" s="197"/>
      <c r="P87" s="195"/>
      <c r="Q87" s="195"/>
      <c r="R87" s="195"/>
      <c r="S87" s="195"/>
      <c r="T87" s="195"/>
      <c r="U87" s="195"/>
      <c r="V87" s="195"/>
      <c r="W87" s="195"/>
      <c r="X87" s="195"/>
      <c r="Y87" s="195"/>
      <c r="Z87" s="195"/>
      <c r="AA87" s="195"/>
      <c r="AB87" s="196"/>
      <c r="AC87" s="1"/>
      <c r="AL87" s="2" t="s">
        <v>1739</v>
      </c>
    </row>
    <row r="88" spans="1:45" ht="19.95" customHeight="1">
      <c r="A88" s="197"/>
      <c r="B88" s="195"/>
      <c r="C88" s="195"/>
      <c r="D88" s="195"/>
      <c r="E88" s="195"/>
      <c r="F88" s="195"/>
      <c r="G88" s="195"/>
      <c r="H88" s="195"/>
      <c r="I88" s="195"/>
      <c r="J88" s="195"/>
      <c r="K88" s="195"/>
      <c r="L88" s="195"/>
      <c r="M88" s="195"/>
      <c r="N88" s="196"/>
      <c r="O88" s="197"/>
      <c r="P88" s="195"/>
      <c r="Q88" s="195"/>
      <c r="R88" s="195"/>
      <c r="S88" s="195"/>
      <c r="T88" s="195"/>
      <c r="U88" s="195"/>
      <c r="V88" s="195"/>
      <c r="W88" s="195"/>
      <c r="X88" s="195"/>
      <c r="Y88" s="195"/>
      <c r="Z88" s="195"/>
      <c r="AA88" s="195"/>
      <c r="AB88" s="196"/>
      <c r="AC88" s="1"/>
      <c r="AL88" s="2" t="s">
        <v>1740</v>
      </c>
    </row>
    <row r="89" spans="1:45">
      <c r="A89" s="207"/>
      <c r="B89" s="208"/>
      <c r="C89" s="208"/>
      <c r="D89" s="208"/>
      <c r="E89" s="208"/>
      <c r="F89" s="208"/>
      <c r="G89" s="208"/>
      <c r="H89" s="208"/>
      <c r="I89" s="208"/>
      <c r="J89" s="208"/>
      <c r="K89" s="208"/>
      <c r="L89" s="208"/>
      <c r="M89" s="208"/>
      <c r="N89" s="209"/>
      <c r="O89" s="207"/>
      <c r="P89" s="208"/>
      <c r="Q89" s="208"/>
      <c r="R89" s="208"/>
      <c r="S89" s="208"/>
      <c r="T89" s="208"/>
      <c r="U89" s="208"/>
      <c r="V89" s="208"/>
      <c r="W89" s="208"/>
      <c r="X89" s="208"/>
      <c r="Y89" s="208"/>
      <c r="Z89" s="208"/>
      <c r="AA89" s="208"/>
      <c r="AB89" s="209"/>
      <c r="AC89" s="1"/>
      <c r="AK89" s="479" t="str">
        <f>IF(AO127=AM128,AM90,CONCATENATE(AM89,AN89,AO89,AP89,AQ89,AR89,AS89))</f>
        <v>According to your responses, you are an independent.</v>
      </c>
      <c r="AM89" s="478" t="s">
        <v>1732</v>
      </c>
      <c r="AN89" s="2" t="str">
        <f>AO127</f>
        <v>independent</v>
      </c>
      <c r="AO89" s="478" t="s">
        <v>1733</v>
      </c>
      <c r="AP89" s="2" t="str">
        <f>AO128</f>
        <v>independent</v>
      </c>
      <c r="AQ89" s="478" t="s">
        <v>706</v>
      </c>
      <c r="AS89" s="478"/>
    </row>
    <row r="90" spans="1:45" ht="30" customHeight="1">
      <c r="A90" s="852" t="s">
        <v>1148</v>
      </c>
      <c r="B90" s="1338" t="s">
        <v>2537</v>
      </c>
      <c r="C90" s="1338"/>
      <c r="D90" s="1338"/>
      <c r="E90" s="1338"/>
      <c r="F90" s="1338"/>
      <c r="G90" s="1338"/>
      <c r="H90" s="1338"/>
      <c r="I90" s="1338"/>
      <c r="J90" s="883"/>
      <c r="K90" s="883"/>
      <c r="L90" s="883"/>
      <c r="M90" s="883"/>
      <c r="N90" s="861" t="s">
        <v>1149</v>
      </c>
      <c r="O90" s="860"/>
      <c r="P90" s="1338" t="s">
        <v>2072</v>
      </c>
      <c r="Q90" s="1338"/>
      <c r="R90" s="1338"/>
      <c r="S90" s="1338"/>
      <c r="T90" s="1338"/>
      <c r="U90" s="1338"/>
      <c r="V90" s="1338"/>
      <c r="W90" s="1338"/>
      <c r="X90" s="1338"/>
      <c r="Y90" s="1338"/>
      <c r="Z90" s="1338"/>
      <c r="AA90" s="1338"/>
      <c r="AB90" s="650" t="s">
        <v>1149</v>
      </c>
      <c r="AC90" s="1"/>
      <c r="AM90" s="478" t="s">
        <v>1736</v>
      </c>
    </row>
    <row r="91" spans="1:45" ht="7.05" customHeight="1">
      <c r="A91" s="853"/>
      <c r="B91" s="629"/>
      <c r="C91" s="629"/>
      <c r="D91" s="629"/>
      <c r="E91" s="629"/>
      <c r="F91" s="629"/>
      <c r="G91" s="629"/>
      <c r="H91" s="629"/>
      <c r="I91" s="629"/>
      <c r="J91" s="629"/>
      <c r="K91" s="629"/>
      <c r="L91" s="629"/>
      <c r="M91" s="629"/>
      <c r="N91" s="862"/>
      <c r="O91" s="629"/>
      <c r="P91" s="629"/>
      <c r="Q91" s="629"/>
      <c r="R91" s="629"/>
      <c r="S91" s="629"/>
      <c r="T91" s="629"/>
      <c r="U91" s="629"/>
      <c r="V91" s="629"/>
      <c r="W91" s="629"/>
      <c r="X91" s="629"/>
      <c r="Y91" s="629"/>
      <c r="Z91" s="629"/>
      <c r="AA91" s="629"/>
      <c r="AB91" s="630"/>
      <c r="AC91" s="1"/>
      <c r="AK91" s="476" t="str">
        <f>IF(AQ127=AM128,AM92,CONCATENATE(AM91,AN91,AO91,AP91,AQ91,AR91,AS91))</f>
        <v>According to your responses, you are an independent.</v>
      </c>
      <c r="AM91" s="478" t="s">
        <v>1734</v>
      </c>
      <c r="AN91" s="2" t="str">
        <f>AQ127</f>
        <v>independent</v>
      </c>
      <c r="AO91" s="478" t="s">
        <v>1733</v>
      </c>
      <c r="AP91" s="2" t="str">
        <f>AQ128</f>
        <v>independent</v>
      </c>
      <c r="AQ91" s="478" t="s">
        <v>706</v>
      </c>
      <c r="AS91" s="478"/>
    </row>
    <row r="92" spans="1:45" ht="25.05" customHeight="1">
      <c r="A92" s="853"/>
      <c r="B92" s="632" t="s">
        <v>2538</v>
      </c>
      <c r="C92" s="629"/>
      <c r="D92" s="629"/>
      <c r="E92" s="629"/>
      <c r="F92" s="629"/>
      <c r="G92" s="629"/>
      <c r="H92" s="629"/>
      <c r="I92" s="629"/>
      <c r="J92" s="629"/>
      <c r="K92" s="629"/>
      <c r="L92" s="629"/>
      <c r="M92" s="629"/>
      <c r="N92" s="862"/>
      <c r="O92" s="629"/>
      <c r="P92" s="632"/>
      <c r="Q92" s="629"/>
      <c r="R92" s="629"/>
      <c r="S92" s="629"/>
      <c r="T92" s="629"/>
      <c r="U92" s="629"/>
      <c r="V92" s="629"/>
      <c r="W92" s="629"/>
      <c r="X92" s="629"/>
      <c r="Y92" s="629"/>
      <c r="Z92" s="629"/>
      <c r="AA92" s="629"/>
      <c r="AB92" s="630"/>
      <c r="AC92" s="1"/>
      <c r="AM92" s="478" t="s">
        <v>1736</v>
      </c>
    </row>
    <row r="93" spans="1:45" ht="22.95" customHeight="1">
      <c r="A93" s="853"/>
      <c r="B93" s="633"/>
      <c r="C93" s="633"/>
      <c r="D93" s="633"/>
      <c r="E93" s="633"/>
      <c r="F93" s="633"/>
      <c r="G93" s="633"/>
      <c r="H93" s="633"/>
      <c r="I93" s="633"/>
      <c r="J93" s="633"/>
      <c r="K93" s="633"/>
      <c r="L93" s="633"/>
      <c r="M93" s="633"/>
      <c r="N93" s="862"/>
      <c r="O93" s="629"/>
      <c r="P93" s="629"/>
      <c r="Q93" s="629"/>
      <c r="R93" s="629"/>
      <c r="S93" s="629"/>
      <c r="T93" s="629"/>
      <c r="U93" s="629"/>
      <c r="V93" s="629"/>
      <c r="W93" s="629"/>
      <c r="X93" s="629"/>
      <c r="Y93" s="629"/>
      <c r="Z93" s="629"/>
      <c r="AA93" s="629"/>
      <c r="AB93" s="630"/>
      <c r="AC93" s="1"/>
      <c r="AK93" s="479" t="str">
        <f>IF(AND(AI109&gt;7,AI109&lt;9),AK89,IF(AND(AI109&gt;0,AI109&lt;8),AL87,AL$94))</f>
        <v>NOTE: This tool will not work properly until you select a political outlook for yourself.</v>
      </c>
    </row>
    <row r="94" spans="1:45" ht="22.95" customHeight="1">
      <c r="A94" s="853"/>
      <c r="B94" s="633"/>
      <c r="C94" s="633"/>
      <c r="D94" s="633"/>
      <c r="E94" s="633"/>
      <c r="F94" s="633"/>
      <c r="G94" s="633"/>
      <c r="H94" s="633"/>
      <c r="I94" s="633"/>
      <c r="J94" s="633"/>
      <c r="K94" s="633"/>
      <c r="L94" s="633"/>
      <c r="M94" s="633"/>
      <c r="N94" s="862"/>
      <c r="O94" s="629"/>
      <c r="P94" s="629"/>
      <c r="Q94" s="629"/>
      <c r="R94" s="629"/>
      <c r="S94" s="629"/>
      <c r="T94" s="629"/>
      <c r="U94" s="629"/>
      <c r="V94" s="629"/>
      <c r="W94" s="629"/>
      <c r="X94" s="629"/>
      <c r="Y94" s="629"/>
      <c r="Z94" s="629"/>
      <c r="AA94" s="629"/>
      <c r="AB94" s="630"/>
      <c r="AC94" s="1"/>
      <c r="AL94" s="2" t="s">
        <v>1737</v>
      </c>
    </row>
    <row r="95" spans="1:45" ht="22.95" customHeight="1">
      <c r="A95" s="853"/>
      <c r="B95" s="633"/>
      <c r="C95" s="633"/>
      <c r="D95" s="633"/>
      <c r="E95" s="633"/>
      <c r="F95" s="633"/>
      <c r="G95" s="633"/>
      <c r="H95" s="633"/>
      <c r="I95" s="633"/>
      <c r="J95" s="633"/>
      <c r="K95" s="633"/>
      <c r="L95" s="633"/>
      <c r="M95" s="633"/>
      <c r="N95" s="862"/>
      <c r="O95" s="629"/>
      <c r="P95" s="629"/>
      <c r="Q95" s="629"/>
      <c r="R95" s="629"/>
      <c r="S95" s="629"/>
      <c r="T95" s="629"/>
      <c r="U95" s="629"/>
      <c r="V95" s="629"/>
      <c r="W95" s="629"/>
      <c r="X95" s="629"/>
      <c r="Y95" s="629"/>
      <c r="Z95" s="629"/>
      <c r="AA95" s="629"/>
      <c r="AB95" s="630"/>
      <c r="AC95" s="1"/>
      <c r="AK95" s="476" t="str">
        <f>IF(AND(AI126&gt;7,AI126&lt;9),AK91,IF(AND(AI126&gt;0,AI126&lt;8),AL88,AL$96))</f>
        <v>NOTE: This tool will not work properly until you select a political outlook for your client.</v>
      </c>
    </row>
    <row r="96" spans="1:45" ht="22.95" customHeight="1">
      <c r="A96" s="853"/>
      <c r="B96" s="633"/>
      <c r="C96" s="633"/>
      <c r="D96" s="633"/>
      <c r="E96" s="633"/>
      <c r="F96" s="633"/>
      <c r="G96" s="633"/>
      <c r="H96" s="633"/>
      <c r="I96" s="633"/>
      <c r="J96" s="633"/>
      <c r="K96" s="633"/>
      <c r="L96" s="633"/>
      <c r="M96" s="633"/>
      <c r="N96" s="862"/>
      <c r="O96" s="629"/>
      <c r="P96" s="629"/>
      <c r="Q96" s="629"/>
      <c r="R96" s="629"/>
      <c r="S96" s="629"/>
      <c r="T96" s="629"/>
      <c r="U96" s="629"/>
      <c r="V96" s="629"/>
      <c r="W96" s="629"/>
      <c r="X96" s="629"/>
      <c r="Y96" s="629"/>
      <c r="Z96" s="629"/>
      <c r="AA96" s="629"/>
      <c r="AB96" s="630"/>
      <c r="AC96" s="1"/>
      <c r="AL96" s="2" t="s">
        <v>1738</v>
      </c>
    </row>
    <row r="97" spans="1:43" ht="4.95" customHeight="1">
      <c r="A97" s="853"/>
      <c r="B97" s="633"/>
      <c r="C97" s="633"/>
      <c r="D97" s="633"/>
      <c r="E97" s="633"/>
      <c r="F97" s="633"/>
      <c r="G97" s="633"/>
      <c r="H97" s="633"/>
      <c r="I97" s="633"/>
      <c r="J97" s="633"/>
      <c r="K97" s="633"/>
      <c r="L97" s="633"/>
      <c r="M97" s="633"/>
      <c r="N97" s="862"/>
      <c r="O97" s="629"/>
      <c r="P97" s="629"/>
      <c r="Q97" s="629"/>
      <c r="R97" s="629"/>
      <c r="S97" s="629"/>
      <c r="T97" s="629"/>
      <c r="U97" s="629"/>
      <c r="V97" s="629"/>
      <c r="W97" s="629"/>
      <c r="X97" s="629"/>
      <c r="Y97" s="629"/>
      <c r="Z97" s="629"/>
      <c r="AA97" s="629"/>
      <c r="AB97" s="630"/>
      <c r="AC97" s="1"/>
    </row>
    <row r="98" spans="1:43" ht="19.95" customHeight="1">
      <c r="A98" s="853"/>
      <c r="B98" s="643"/>
      <c r="C98" s="643"/>
      <c r="D98" s="643"/>
      <c r="E98" s="643"/>
      <c r="F98" s="643"/>
      <c r="G98" s="643"/>
      <c r="H98" s="643"/>
      <c r="I98" s="643"/>
      <c r="J98" s="643"/>
      <c r="K98" s="643"/>
      <c r="L98" s="643"/>
      <c r="M98" s="643"/>
      <c r="N98" s="863"/>
      <c r="O98" s="629"/>
      <c r="P98" s="629"/>
      <c r="Q98" s="629"/>
      <c r="R98" s="629"/>
      <c r="S98" s="629"/>
      <c r="T98" s="629"/>
      <c r="U98" s="629"/>
      <c r="V98" s="629"/>
      <c r="W98" s="629"/>
      <c r="X98" s="629"/>
      <c r="Y98" s="629"/>
      <c r="Z98" s="629"/>
      <c r="AA98" s="629"/>
      <c r="AB98" s="630"/>
      <c r="AC98" s="1"/>
    </row>
    <row r="99" spans="1:43" ht="4.95" customHeight="1">
      <c r="A99" s="853"/>
      <c r="B99" s="643"/>
      <c r="C99" s="643"/>
      <c r="D99" s="643"/>
      <c r="E99" s="643"/>
      <c r="F99" s="643"/>
      <c r="G99" s="643"/>
      <c r="H99" s="643"/>
      <c r="I99" s="643"/>
      <c r="J99" s="643"/>
      <c r="K99" s="643"/>
      <c r="L99" s="643"/>
      <c r="M99" s="643"/>
      <c r="N99" s="862"/>
      <c r="O99" s="629"/>
      <c r="P99" s="629"/>
      <c r="Q99" s="629"/>
      <c r="R99" s="629"/>
      <c r="S99" s="629"/>
      <c r="T99" s="629"/>
      <c r="U99" s="629"/>
      <c r="V99" s="629"/>
      <c r="W99" s="629"/>
      <c r="X99" s="629"/>
      <c r="Y99" s="629"/>
      <c r="Z99" s="629"/>
      <c r="AA99" s="629"/>
      <c r="AB99" s="630"/>
      <c r="AC99" s="1"/>
    </row>
    <row r="100" spans="1:43" ht="19.95" customHeight="1">
      <c r="A100" s="853"/>
      <c r="B100" s="643"/>
      <c r="C100" s="643"/>
      <c r="D100" s="643"/>
      <c r="E100" s="643"/>
      <c r="F100" s="643"/>
      <c r="G100" s="643"/>
      <c r="H100" s="643"/>
      <c r="I100" s="643"/>
      <c r="J100" s="643"/>
      <c r="K100" s="643"/>
      <c r="L100" s="643"/>
      <c r="M100" s="643"/>
      <c r="N100" s="862"/>
      <c r="O100" s="629"/>
      <c r="P100" s="629"/>
      <c r="Q100" s="629"/>
      <c r="R100" s="629"/>
      <c r="S100" s="629"/>
      <c r="T100" s="629"/>
      <c r="U100" s="629"/>
      <c r="V100" s="629"/>
      <c r="W100" s="629"/>
      <c r="X100" s="629"/>
      <c r="Y100" s="629"/>
      <c r="Z100" s="629"/>
      <c r="AA100" s="629"/>
      <c r="AB100" s="630"/>
      <c r="AC100" s="1"/>
    </row>
    <row r="101" spans="1:43" ht="4.95" customHeight="1">
      <c r="A101" s="853"/>
      <c r="B101" s="643"/>
      <c r="C101" s="643"/>
      <c r="D101" s="643"/>
      <c r="E101" s="643"/>
      <c r="F101" s="643"/>
      <c r="G101" s="643"/>
      <c r="H101" s="643"/>
      <c r="I101" s="643"/>
      <c r="J101" s="643"/>
      <c r="K101" s="643"/>
      <c r="L101" s="643"/>
      <c r="M101" s="643"/>
      <c r="N101" s="862"/>
      <c r="O101" s="629"/>
      <c r="P101" s="629"/>
      <c r="Q101" s="629"/>
      <c r="R101" s="629"/>
      <c r="S101" s="629"/>
      <c r="T101" s="629"/>
      <c r="U101" s="629"/>
      <c r="V101" s="629"/>
      <c r="W101" s="629"/>
      <c r="X101" s="629"/>
      <c r="Y101" s="629"/>
      <c r="Z101" s="629"/>
      <c r="AA101" s="629"/>
      <c r="AB101" s="630"/>
      <c r="AC101" s="1"/>
    </row>
    <row r="102" spans="1:43" ht="19.95" customHeight="1">
      <c r="A102" s="853"/>
      <c r="B102" s="643"/>
      <c r="C102" s="643"/>
      <c r="D102" s="643"/>
      <c r="E102" s="643"/>
      <c r="F102" s="643"/>
      <c r="G102" s="643"/>
      <c r="H102" s="643"/>
      <c r="I102" s="643"/>
      <c r="J102" s="643"/>
      <c r="K102" s="643"/>
      <c r="L102" s="643"/>
      <c r="M102" s="643"/>
      <c r="N102" s="862"/>
      <c r="O102" s="629"/>
      <c r="P102" s="629"/>
      <c r="Q102" s="629"/>
      <c r="R102" s="629"/>
      <c r="S102" s="629"/>
      <c r="T102" s="629"/>
      <c r="U102" s="629"/>
      <c r="V102" s="629"/>
      <c r="W102" s="629"/>
      <c r="X102" s="629"/>
      <c r="Y102" s="629"/>
      <c r="Z102" s="629"/>
      <c r="AA102" s="629"/>
      <c r="AB102" s="630"/>
      <c r="AC102" s="1"/>
    </row>
    <row r="103" spans="1:43" ht="15" customHeight="1">
      <c r="A103" s="853"/>
      <c r="B103" s="643"/>
      <c r="C103" s="643"/>
      <c r="D103" s="643"/>
      <c r="E103" s="643"/>
      <c r="F103" s="643"/>
      <c r="G103" s="643"/>
      <c r="H103" s="643"/>
      <c r="I103" s="643"/>
      <c r="J103" s="643"/>
      <c r="K103" s="643"/>
      <c r="L103" s="643"/>
      <c r="M103" s="643"/>
      <c r="N103" s="862"/>
      <c r="O103" s="629"/>
      <c r="P103" s="629"/>
      <c r="Q103" s="629"/>
      <c r="R103" s="629"/>
      <c r="S103" s="629"/>
      <c r="T103" s="629"/>
      <c r="U103" s="629"/>
      <c r="V103" s="629"/>
      <c r="W103" s="629"/>
      <c r="X103" s="629"/>
      <c r="Y103" s="629"/>
      <c r="Z103" s="629"/>
      <c r="AA103" s="629"/>
      <c r="AB103" s="630"/>
      <c r="AC103" s="1"/>
    </row>
    <row r="104" spans="1:43" ht="19.95" customHeight="1">
      <c r="A104" s="853"/>
      <c r="B104" s="658"/>
      <c r="C104" s="658"/>
      <c r="D104" s="658"/>
      <c r="E104" s="658"/>
      <c r="F104" s="658"/>
      <c r="G104" s="658"/>
      <c r="H104" s="658"/>
      <c r="I104" s="658"/>
      <c r="J104" s="658"/>
      <c r="K104" s="658"/>
      <c r="L104" s="658"/>
      <c r="M104" s="658"/>
      <c r="N104" s="862"/>
      <c r="O104" s="629"/>
      <c r="P104" s="629"/>
      <c r="Q104" s="629"/>
      <c r="R104" s="629"/>
      <c r="S104" s="629"/>
      <c r="T104" s="629"/>
      <c r="U104" s="629"/>
      <c r="V104" s="629"/>
      <c r="W104" s="629"/>
      <c r="X104" s="629"/>
      <c r="Y104" s="629"/>
      <c r="Z104" s="629"/>
      <c r="AA104" s="629"/>
      <c r="AB104" s="630"/>
      <c r="AC104" s="1"/>
    </row>
    <row r="105" spans="1:43" ht="19.95" customHeight="1">
      <c r="A105" s="853"/>
      <c r="B105" s="658"/>
      <c r="C105" s="658"/>
      <c r="D105" s="658"/>
      <c r="E105" s="658"/>
      <c r="F105" s="658"/>
      <c r="G105" s="658"/>
      <c r="H105" s="658"/>
      <c r="I105" s="658"/>
      <c r="J105" s="658"/>
      <c r="K105" s="658"/>
      <c r="L105" s="658"/>
      <c r="M105" s="658"/>
      <c r="N105" s="862"/>
      <c r="O105" s="629"/>
      <c r="P105" s="629"/>
      <c r="Q105" s="629"/>
      <c r="R105" s="629"/>
      <c r="S105" s="629"/>
      <c r="T105" s="629"/>
      <c r="U105" s="629"/>
      <c r="V105" s="629"/>
      <c r="W105" s="629"/>
      <c r="X105" s="629"/>
      <c r="Y105" s="629"/>
      <c r="Z105" s="629"/>
      <c r="AA105" s="629"/>
      <c r="AB105" s="630"/>
      <c r="AC105" s="1"/>
    </row>
    <row r="106" spans="1:43" ht="19.95" customHeight="1">
      <c r="A106" s="853"/>
      <c r="B106" s="658"/>
      <c r="C106" s="658"/>
      <c r="D106" s="658"/>
      <c r="E106" s="658"/>
      <c r="F106" s="658"/>
      <c r="G106" s="658"/>
      <c r="H106" s="658"/>
      <c r="I106" s="658"/>
      <c r="J106" s="658"/>
      <c r="K106" s="658"/>
      <c r="L106" s="658"/>
      <c r="M106" s="658"/>
      <c r="N106" s="862"/>
      <c r="O106" s="629"/>
      <c r="P106" s="629"/>
      <c r="Q106" s="629"/>
      <c r="R106" s="629"/>
      <c r="S106" s="629"/>
      <c r="T106" s="629"/>
      <c r="U106" s="629"/>
      <c r="V106" s="629"/>
      <c r="W106" s="629"/>
      <c r="X106" s="629"/>
      <c r="Y106" s="629"/>
      <c r="Z106" s="629"/>
      <c r="AA106" s="629"/>
      <c r="AB106" s="630"/>
      <c r="AC106" s="1"/>
    </row>
    <row r="107" spans="1:43" ht="19.95" customHeight="1">
      <c r="A107" s="853"/>
      <c r="B107" s="658"/>
      <c r="C107" s="658"/>
      <c r="D107" s="658"/>
      <c r="E107" s="658"/>
      <c r="F107" s="658"/>
      <c r="G107" s="658"/>
      <c r="H107" s="658"/>
      <c r="I107" s="658"/>
      <c r="J107" s="658"/>
      <c r="K107" s="658"/>
      <c r="L107" s="658"/>
      <c r="M107" s="658"/>
      <c r="N107" s="862"/>
      <c r="O107" s="629"/>
      <c r="P107" s="629"/>
      <c r="Q107" s="629"/>
      <c r="R107" s="629"/>
      <c r="S107" s="629"/>
      <c r="T107" s="629"/>
      <c r="U107" s="629"/>
      <c r="V107" s="629"/>
      <c r="W107" s="629"/>
      <c r="X107" s="629"/>
      <c r="Y107" s="629"/>
      <c r="Z107" s="629"/>
      <c r="AA107" s="629"/>
      <c r="AB107" s="630"/>
      <c r="AC107" s="1"/>
    </row>
    <row r="108" spans="1:43" ht="19.95" customHeight="1">
      <c r="A108" s="853"/>
      <c r="B108" s="658"/>
      <c r="C108" s="658"/>
      <c r="D108" s="658"/>
      <c r="E108" s="658"/>
      <c r="F108" s="658"/>
      <c r="G108" s="658"/>
      <c r="H108" s="658"/>
      <c r="I108" s="658"/>
      <c r="J108" s="658"/>
      <c r="K108" s="658"/>
      <c r="L108" s="658"/>
      <c r="M108" s="658"/>
      <c r="N108" s="862"/>
      <c r="O108" s="629"/>
      <c r="P108" s="629"/>
      <c r="Q108" s="629"/>
      <c r="R108" s="629"/>
      <c r="S108" s="629"/>
      <c r="T108" s="629"/>
      <c r="U108" s="629"/>
      <c r="V108" s="629"/>
      <c r="W108" s="629"/>
      <c r="X108" s="629"/>
      <c r="Y108" s="629"/>
      <c r="Z108" s="629"/>
      <c r="AA108" s="629"/>
      <c r="AB108" s="630"/>
      <c r="AC108" s="1"/>
    </row>
    <row r="109" spans="1:43" ht="19.95" customHeight="1">
      <c r="A109" s="853"/>
      <c r="B109" s="658"/>
      <c r="C109" s="658"/>
      <c r="D109" s="658"/>
      <c r="E109" s="658"/>
      <c r="F109" s="658"/>
      <c r="G109" s="658"/>
      <c r="H109" s="658"/>
      <c r="I109" s="658"/>
      <c r="J109" s="658"/>
      <c r="K109" s="658"/>
      <c r="L109" s="658"/>
      <c r="M109" s="658"/>
      <c r="N109" s="862"/>
      <c r="O109" s="629"/>
      <c r="P109" s="629"/>
      <c r="Q109" s="629"/>
      <c r="R109" s="629"/>
      <c r="S109" s="629"/>
      <c r="T109" s="629"/>
      <c r="U109" s="629"/>
      <c r="V109" s="629"/>
      <c r="W109" s="629"/>
      <c r="X109" s="629"/>
      <c r="Y109" s="629"/>
      <c r="Z109" s="629"/>
      <c r="AA109" s="629"/>
      <c r="AB109" s="630"/>
      <c r="AC109" s="1"/>
      <c r="AI109" s="139">
        <f>SUM(AI110:AI117)</f>
        <v>0</v>
      </c>
    </row>
    <row r="110" spans="1:43" ht="19.05" customHeight="1">
      <c r="A110" s="853"/>
      <c r="B110" s="658"/>
      <c r="C110" s="643"/>
      <c r="D110" s="643"/>
      <c r="E110" s="643"/>
      <c r="F110" s="643"/>
      <c r="G110" s="643"/>
      <c r="H110" s="646"/>
      <c r="I110" s="643"/>
      <c r="J110" s="643"/>
      <c r="K110" s="643"/>
      <c r="L110" s="643"/>
      <c r="M110" s="643"/>
      <c r="N110" s="862"/>
      <c r="O110" s="629"/>
      <c r="P110" s="629"/>
      <c r="Q110" s="629"/>
      <c r="R110" s="629"/>
      <c r="S110" s="629"/>
      <c r="T110" s="629"/>
      <c r="U110" s="629"/>
      <c r="V110" s="629"/>
      <c r="W110" s="629"/>
      <c r="X110" s="629"/>
      <c r="Y110" s="629"/>
      <c r="Z110" s="629"/>
      <c r="AA110" s="629"/>
      <c r="AB110" s="630"/>
      <c r="AC110" s="1"/>
      <c r="AI110" s="144">
        <f t="shared" ref="AI110:AI117" si="0">IF(C118="",0,1)</f>
        <v>0</v>
      </c>
      <c r="AJ110" s="2">
        <v>1</v>
      </c>
      <c r="AK110" s="472" t="s">
        <v>1745</v>
      </c>
      <c r="AO110" s="417">
        <f>IF($C118=$AK110,-1,IF($C118=$AK111,1,0))</f>
        <v>0</v>
      </c>
      <c r="AQ110" s="417">
        <f>IF($I118=$AK110,-1,IF($I118=$AK111,1,0))</f>
        <v>0</v>
      </c>
    </row>
    <row r="111" spans="1:43" ht="4.95" customHeight="1">
      <c r="A111" s="853"/>
      <c r="B111" s="658"/>
      <c r="C111" s="643"/>
      <c r="D111" s="643"/>
      <c r="E111" s="643"/>
      <c r="F111" s="643"/>
      <c r="G111" s="643"/>
      <c r="H111" s="646"/>
      <c r="I111" s="643"/>
      <c r="J111" s="643"/>
      <c r="K111" s="643"/>
      <c r="L111" s="643"/>
      <c r="M111" s="643"/>
      <c r="N111" s="862"/>
      <c r="O111" s="629"/>
      <c r="P111" s="629"/>
      <c r="Q111" s="629"/>
      <c r="R111" s="629"/>
      <c r="S111" s="629"/>
      <c r="T111" s="629"/>
      <c r="U111" s="629"/>
      <c r="V111" s="629"/>
      <c r="W111" s="629"/>
      <c r="X111" s="629"/>
      <c r="Y111" s="629"/>
      <c r="Z111" s="629"/>
      <c r="AA111" s="629"/>
      <c r="AB111" s="630"/>
      <c r="AC111" s="1"/>
      <c r="AI111" s="144">
        <f t="shared" si="0"/>
        <v>0</v>
      </c>
      <c r="AK111" s="473" t="s">
        <v>1724</v>
      </c>
      <c r="AO111" s="417"/>
    </row>
    <row r="112" spans="1:43" ht="19.05" customHeight="1" thickBot="1">
      <c r="A112" s="853"/>
      <c r="B112" s="658"/>
      <c r="C112" s="643"/>
      <c r="D112" s="643"/>
      <c r="E112" s="643"/>
      <c r="F112" s="643"/>
      <c r="G112" s="643"/>
      <c r="H112" s="646"/>
      <c r="I112" s="643"/>
      <c r="J112" s="643"/>
      <c r="K112" s="643"/>
      <c r="L112" s="643"/>
      <c r="M112" s="643"/>
      <c r="N112" s="862"/>
      <c r="O112" s="629"/>
      <c r="P112" s="629"/>
      <c r="Q112" s="629"/>
      <c r="R112" s="629"/>
      <c r="S112" s="629"/>
      <c r="T112" s="629"/>
      <c r="U112" s="629"/>
      <c r="V112" s="629"/>
      <c r="W112" s="629"/>
      <c r="X112" s="629"/>
      <c r="Y112" s="629"/>
      <c r="Z112" s="629"/>
      <c r="AA112" s="629"/>
      <c r="AB112" s="630"/>
      <c r="AC112" s="1"/>
      <c r="AI112" s="144">
        <f t="shared" si="0"/>
        <v>0</v>
      </c>
      <c r="AJ112" s="2">
        <v>2</v>
      </c>
      <c r="AK112" s="472" t="s">
        <v>1717</v>
      </c>
      <c r="AO112" s="417">
        <f>IF($C119=$AK112,-1,IF($C119=$AK113,1,0))</f>
        <v>0</v>
      </c>
      <c r="AQ112" s="417">
        <f>IF($I119=$AK112,-1,IF($I119=$AK113,1,0))</f>
        <v>0</v>
      </c>
    </row>
    <row r="113" spans="1:43" ht="19.95" customHeight="1" thickBot="1">
      <c r="A113" s="853"/>
      <c r="B113" s="687" t="s">
        <v>2425</v>
      </c>
      <c r="C113" s="644"/>
      <c r="D113" s="644"/>
      <c r="E113" s="644"/>
      <c r="F113" s="644"/>
      <c r="G113" s="644"/>
      <c r="H113" s="1324" t="s">
        <v>1342</v>
      </c>
      <c r="I113" s="1325"/>
      <c r="J113" s="1325"/>
      <c r="K113" s="1325"/>
      <c r="L113" s="1325"/>
      <c r="M113" s="1326"/>
      <c r="N113" s="862"/>
      <c r="O113" s="629"/>
      <c r="P113" s="629"/>
      <c r="Q113" s="629"/>
      <c r="R113" s="629"/>
      <c r="S113" s="629"/>
      <c r="T113" s="629"/>
      <c r="U113" s="629"/>
      <c r="V113" s="629"/>
      <c r="W113" s="629"/>
      <c r="X113" s="629"/>
      <c r="Y113" s="629"/>
      <c r="Z113" s="629"/>
      <c r="AA113" s="629"/>
      <c r="AB113" s="630"/>
      <c r="AC113" s="1"/>
      <c r="AI113" s="144">
        <f t="shared" si="0"/>
        <v>0</v>
      </c>
      <c r="AK113" s="473" t="s">
        <v>1725</v>
      </c>
    </row>
    <row r="114" spans="1:43" ht="3" customHeight="1" thickBot="1">
      <c r="A114" s="853"/>
      <c r="B114" s="688"/>
      <c r="C114" s="644"/>
      <c r="D114" s="644"/>
      <c r="E114" s="644"/>
      <c r="F114" s="644"/>
      <c r="G114" s="644"/>
      <c r="H114" s="629"/>
      <c r="I114" s="629"/>
      <c r="J114" s="629"/>
      <c r="K114" s="629"/>
      <c r="L114" s="629"/>
      <c r="M114" s="629"/>
      <c r="N114" s="862"/>
      <c r="O114" s="629"/>
      <c r="P114" s="629"/>
      <c r="Q114" s="629"/>
      <c r="R114" s="629"/>
      <c r="S114" s="629"/>
      <c r="T114" s="629"/>
      <c r="U114" s="629"/>
      <c r="V114" s="629"/>
      <c r="W114" s="629"/>
      <c r="X114" s="629"/>
      <c r="Y114" s="629"/>
      <c r="Z114" s="629"/>
      <c r="AA114" s="629"/>
      <c r="AB114" s="630"/>
      <c r="AC114" s="1"/>
      <c r="AI114" s="144">
        <f t="shared" si="0"/>
        <v>0</v>
      </c>
      <c r="AJ114" s="2">
        <v>3</v>
      </c>
      <c r="AK114" s="472" t="s">
        <v>1726</v>
      </c>
      <c r="AO114" s="417">
        <f>IF($C120=$AK114,-1,IF($C120=$AK115,1,0))</f>
        <v>0</v>
      </c>
      <c r="AQ114" s="417">
        <f>IF($I120=$AK114,-1,IF($I120=$AK115,1,0))</f>
        <v>0</v>
      </c>
    </row>
    <row r="115" spans="1:43" ht="19.05" customHeight="1" thickBot="1">
      <c r="A115" s="853"/>
      <c r="B115" s="687" t="s">
        <v>2426</v>
      </c>
      <c r="C115" s="644"/>
      <c r="D115" s="644"/>
      <c r="E115" s="644"/>
      <c r="F115" s="644"/>
      <c r="G115" s="644"/>
      <c r="H115" s="1324"/>
      <c r="I115" s="1325"/>
      <c r="J115" s="1325"/>
      <c r="K115" s="1325"/>
      <c r="L115" s="1325"/>
      <c r="M115" s="1326"/>
      <c r="N115" s="862"/>
      <c r="O115" s="629"/>
      <c r="P115" s="629"/>
      <c r="Q115" s="629"/>
      <c r="R115" s="629"/>
      <c r="S115" s="629"/>
      <c r="T115" s="629"/>
      <c r="U115" s="629"/>
      <c r="V115" s="629"/>
      <c r="W115" s="629"/>
      <c r="X115" s="629"/>
      <c r="Y115" s="629"/>
      <c r="Z115" s="629"/>
      <c r="AA115" s="629"/>
      <c r="AB115" s="630"/>
      <c r="AC115" s="1"/>
      <c r="AI115" s="144">
        <f t="shared" si="0"/>
        <v>0</v>
      </c>
      <c r="AK115" s="473" t="s">
        <v>1727</v>
      </c>
    </row>
    <row r="116" spans="1:43" ht="25.05" customHeight="1">
      <c r="A116" s="853"/>
      <c r="B116" s="657" t="s">
        <v>2439</v>
      </c>
      <c r="C116" s="629"/>
      <c r="D116" s="629"/>
      <c r="E116" s="629"/>
      <c r="F116" s="629"/>
      <c r="G116" s="629"/>
      <c r="H116" s="645" t="s">
        <v>2449</v>
      </c>
      <c r="I116" s="629"/>
      <c r="J116" s="629"/>
      <c r="K116" s="629"/>
      <c r="L116" s="629"/>
      <c r="M116" s="629"/>
      <c r="N116" s="862"/>
      <c r="O116" s="629"/>
      <c r="P116" s="629"/>
      <c r="Q116" s="629"/>
      <c r="R116" s="629"/>
      <c r="S116" s="629"/>
      <c r="T116" s="629"/>
      <c r="U116" s="629"/>
      <c r="V116" s="629"/>
      <c r="W116" s="629"/>
      <c r="X116" s="629"/>
      <c r="Y116" s="629"/>
      <c r="Z116" s="629"/>
      <c r="AA116" s="629"/>
      <c r="AB116" s="630"/>
      <c r="AC116" s="1"/>
      <c r="AI116" s="144">
        <f t="shared" si="0"/>
        <v>0</v>
      </c>
      <c r="AJ116" s="2">
        <v>4</v>
      </c>
      <c r="AK116" s="472" t="s">
        <v>1718</v>
      </c>
      <c r="AO116" s="417">
        <f>IF($C121=$AK116,-1,IF($C121=$AK117,1,0))</f>
        <v>0</v>
      </c>
      <c r="AQ116" s="417">
        <f>IF($I121=$AK116,-1,IF($I121=$AK117,1,0))</f>
        <v>0</v>
      </c>
    </row>
    <row r="117" spans="1:43" ht="19.05" customHeight="1" thickBot="1">
      <c r="A117" s="853"/>
      <c r="B117" s="658" t="s">
        <v>2440</v>
      </c>
      <c r="C117" s="643"/>
      <c r="D117" s="643"/>
      <c r="E117" s="643"/>
      <c r="F117" s="643"/>
      <c r="G117" s="643"/>
      <c r="H117" s="646" t="s">
        <v>2450</v>
      </c>
      <c r="I117" s="643"/>
      <c r="J117" s="643"/>
      <c r="K117" s="643"/>
      <c r="L117" s="643"/>
      <c r="M117" s="643"/>
      <c r="N117" s="862"/>
      <c r="O117" s="629"/>
      <c r="P117" s="629"/>
      <c r="Q117" s="629"/>
      <c r="R117" s="629"/>
      <c r="S117" s="629"/>
      <c r="T117" s="629"/>
      <c r="U117" s="629"/>
      <c r="V117" s="629"/>
      <c r="W117" s="629"/>
      <c r="X117" s="629"/>
      <c r="Y117" s="629"/>
      <c r="Z117" s="629"/>
      <c r="AA117" s="629"/>
      <c r="AB117" s="630"/>
      <c r="AC117" s="1"/>
      <c r="AI117" s="144">
        <f t="shared" si="0"/>
        <v>0</v>
      </c>
      <c r="AK117" s="473" t="s">
        <v>1719</v>
      </c>
    </row>
    <row r="118" spans="1:43" ht="19.05" customHeight="1" thickBot="1">
      <c r="A118" s="853"/>
      <c r="B118" s="646" t="s">
        <v>2441</v>
      </c>
      <c r="C118" s="643"/>
      <c r="D118" s="643"/>
      <c r="E118" s="643"/>
      <c r="F118" s="643"/>
      <c r="G118" s="643"/>
      <c r="H118" s="629"/>
      <c r="I118" s="1280"/>
      <c r="J118" s="1281"/>
      <c r="K118" s="1281"/>
      <c r="L118" s="1281"/>
      <c r="M118" s="1282"/>
      <c r="N118" s="862"/>
      <c r="O118" s="629"/>
      <c r="P118" s="629"/>
      <c r="Q118" s="629"/>
      <c r="R118" s="629"/>
      <c r="S118" s="629"/>
      <c r="T118" s="629"/>
      <c r="U118" s="629"/>
      <c r="V118" s="629"/>
      <c r="W118" s="629"/>
      <c r="X118" s="629"/>
      <c r="Y118" s="629"/>
      <c r="Z118" s="629"/>
      <c r="AA118" s="629"/>
      <c r="AB118" s="630"/>
      <c r="AC118" s="1"/>
      <c r="AI118" s="2">
        <f t="shared" ref="AI118:AI125" si="1">IF(I118="",0,1)</f>
        <v>0</v>
      </c>
      <c r="AJ118" s="2">
        <v>5</v>
      </c>
      <c r="AK118" s="472" t="s">
        <v>1720</v>
      </c>
      <c r="AO118" s="417">
        <f>IF($C122=$AK118,-1,IF($C122=$AK119,1,0))</f>
        <v>0</v>
      </c>
      <c r="AQ118" s="417">
        <f>IF($I122=$AK118,-1,IF($I122=$AK119,1,0))</f>
        <v>0</v>
      </c>
    </row>
    <row r="119" spans="1:43" ht="19.05" customHeight="1" thickTop="1" thickBot="1">
      <c r="A119" s="853"/>
      <c r="B119" s="646" t="s">
        <v>2442</v>
      </c>
      <c r="C119" s="643"/>
      <c r="D119" s="643"/>
      <c r="E119" s="643"/>
      <c r="F119" s="643"/>
      <c r="G119" s="643"/>
      <c r="H119" s="629"/>
      <c r="I119" s="1280"/>
      <c r="J119" s="1281"/>
      <c r="K119" s="1281"/>
      <c r="L119" s="1281"/>
      <c r="M119" s="1282"/>
      <c r="N119" s="862"/>
      <c r="O119" s="629"/>
      <c r="P119" s="629"/>
      <c r="Q119" s="629"/>
      <c r="R119" s="629"/>
      <c r="S119" s="629"/>
      <c r="T119" s="629"/>
      <c r="U119" s="629"/>
      <c r="V119" s="629"/>
      <c r="W119" s="629"/>
      <c r="X119" s="629"/>
      <c r="Y119" s="629"/>
      <c r="Z119" s="629"/>
      <c r="AA119" s="629"/>
      <c r="AB119" s="630"/>
      <c r="AC119" s="1"/>
      <c r="AI119" s="2">
        <f t="shared" si="1"/>
        <v>0</v>
      </c>
      <c r="AK119" s="473" t="s">
        <v>1721</v>
      </c>
    </row>
    <row r="120" spans="1:43" ht="19.05" customHeight="1" thickTop="1" thickBot="1">
      <c r="A120" s="853"/>
      <c r="B120" s="646" t="s">
        <v>2443</v>
      </c>
      <c r="C120" s="643"/>
      <c r="D120" s="643"/>
      <c r="E120" s="643"/>
      <c r="F120" s="643"/>
      <c r="G120" s="643"/>
      <c r="H120" s="629"/>
      <c r="I120" s="1280"/>
      <c r="J120" s="1281"/>
      <c r="K120" s="1281"/>
      <c r="L120" s="1281"/>
      <c r="M120" s="1282"/>
      <c r="N120" s="864"/>
      <c r="O120" s="629"/>
      <c r="P120" s="629"/>
      <c r="Q120" s="629"/>
      <c r="R120" s="629"/>
      <c r="S120" s="629"/>
      <c r="T120" s="629"/>
      <c r="U120" s="629"/>
      <c r="V120" s="629"/>
      <c r="W120" s="629"/>
      <c r="X120" s="629"/>
      <c r="Y120" s="629"/>
      <c r="Z120" s="629"/>
      <c r="AA120" s="629"/>
      <c r="AB120" s="630"/>
      <c r="AC120" s="1"/>
      <c r="AI120" s="2">
        <f t="shared" si="1"/>
        <v>0</v>
      </c>
      <c r="AJ120" s="2">
        <v>6</v>
      </c>
      <c r="AK120" s="472" t="s">
        <v>1722</v>
      </c>
      <c r="AO120" s="417">
        <f>IF($C123=$AK120,-1,IF($C123=$AK121,1,0))</f>
        <v>0</v>
      </c>
      <c r="AQ120" s="417">
        <f>IF($I123=$AK120,-1,IF($I123=$AK121,1,0))</f>
        <v>0</v>
      </c>
    </row>
    <row r="121" spans="1:43" ht="19.05" customHeight="1" thickTop="1" thickBot="1">
      <c r="A121" s="853"/>
      <c r="B121" s="646" t="s">
        <v>2444</v>
      </c>
      <c r="C121" s="643"/>
      <c r="D121" s="643"/>
      <c r="E121" s="643"/>
      <c r="F121" s="643"/>
      <c r="G121" s="643"/>
      <c r="H121" s="629"/>
      <c r="I121" s="1280"/>
      <c r="J121" s="1281"/>
      <c r="K121" s="1281"/>
      <c r="L121" s="1281"/>
      <c r="M121" s="1282"/>
      <c r="N121" s="862"/>
      <c r="O121" s="629"/>
      <c r="P121" s="629"/>
      <c r="Q121" s="629"/>
      <c r="R121" s="629"/>
      <c r="S121" s="629"/>
      <c r="T121" s="629"/>
      <c r="U121" s="629"/>
      <c r="V121" s="629"/>
      <c r="W121" s="629"/>
      <c r="X121" s="629"/>
      <c r="Y121" s="629"/>
      <c r="Z121" s="629"/>
      <c r="AA121" s="629"/>
      <c r="AB121" s="630"/>
      <c r="AC121" s="1"/>
      <c r="AI121" s="2">
        <f t="shared" si="1"/>
        <v>0</v>
      </c>
      <c r="AK121" s="473" t="s">
        <v>1723</v>
      </c>
    </row>
    <row r="122" spans="1:43" ht="19.05" customHeight="1" thickTop="1" thickBot="1">
      <c r="A122" s="853"/>
      <c r="B122" s="646" t="s">
        <v>2445</v>
      </c>
      <c r="C122" s="643"/>
      <c r="D122" s="643"/>
      <c r="E122" s="643"/>
      <c r="F122" s="643"/>
      <c r="G122" s="643"/>
      <c r="H122" s="629"/>
      <c r="I122" s="1280"/>
      <c r="J122" s="1281"/>
      <c r="K122" s="1281"/>
      <c r="L122" s="1281"/>
      <c r="M122" s="1282"/>
      <c r="N122" s="862"/>
      <c r="O122" s="629"/>
      <c r="P122" s="629"/>
      <c r="Q122" s="629"/>
      <c r="R122" s="629"/>
      <c r="S122" s="629"/>
      <c r="T122" s="629"/>
      <c r="U122" s="629"/>
      <c r="V122" s="629"/>
      <c r="W122" s="629"/>
      <c r="X122" s="629"/>
      <c r="Y122" s="629"/>
      <c r="Z122" s="629"/>
      <c r="AA122" s="629"/>
      <c r="AB122" s="630"/>
      <c r="AC122" s="1"/>
      <c r="AI122" s="2">
        <f t="shared" si="1"/>
        <v>0</v>
      </c>
      <c r="AJ122" s="2">
        <v>7</v>
      </c>
      <c r="AK122" s="472" t="s">
        <v>1716</v>
      </c>
      <c r="AO122" s="417">
        <f>IF($C124=$AK122,-1,IF($C124=$AK123,1,0))</f>
        <v>0</v>
      </c>
      <c r="AQ122" s="417">
        <f>IF($I124=$AK122,-1,IF($I124=$AK123,1,0))</f>
        <v>0</v>
      </c>
    </row>
    <row r="123" spans="1:43" ht="19.05" customHeight="1" thickTop="1" thickBot="1">
      <c r="A123" s="853"/>
      <c r="B123" s="646" t="s">
        <v>2446</v>
      </c>
      <c r="C123" s="643"/>
      <c r="D123" s="643"/>
      <c r="E123" s="643"/>
      <c r="F123" s="643"/>
      <c r="G123" s="643"/>
      <c r="H123" s="629"/>
      <c r="I123" s="1280"/>
      <c r="J123" s="1281"/>
      <c r="K123" s="1281"/>
      <c r="L123" s="1281"/>
      <c r="M123" s="1282"/>
      <c r="N123" s="862"/>
      <c r="O123" s="629"/>
      <c r="P123" s="629"/>
      <c r="Q123" s="629"/>
      <c r="R123" s="629"/>
      <c r="S123" s="629"/>
      <c r="T123" s="629"/>
      <c r="U123" s="629"/>
      <c r="V123" s="629"/>
      <c r="W123" s="629"/>
      <c r="X123" s="629"/>
      <c r="Y123" s="629"/>
      <c r="Z123" s="629"/>
      <c r="AA123" s="629"/>
      <c r="AB123" s="630"/>
      <c r="AC123" s="1"/>
      <c r="AI123" s="2">
        <f t="shared" si="1"/>
        <v>0</v>
      </c>
      <c r="AK123" s="473" t="s">
        <v>1715</v>
      </c>
    </row>
    <row r="124" spans="1:43" ht="19.05" customHeight="1" thickTop="1" thickBot="1">
      <c r="A124" s="853"/>
      <c r="B124" s="646" t="s">
        <v>2447</v>
      </c>
      <c r="C124" s="643"/>
      <c r="D124" s="643"/>
      <c r="E124" s="643"/>
      <c r="F124" s="643"/>
      <c r="G124" s="643"/>
      <c r="H124" s="629"/>
      <c r="I124" s="1280"/>
      <c r="J124" s="1281"/>
      <c r="K124" s="1281"/>
      <c r="L124" s="1281"/>
      <c r="M124" s="1282"/>
      <c r="N124" s="862"/>
      <c r="O124" s="629"/>
      <c r="P124" s="629"/>
      <c r="Q124" s="629"/>
      <c r="R124" s="629"/>
      <c r="S124" s="629"/>
      <c r="T124" s="629"/>
      <c r="U124" s="629"/>
      <c r="V124" s="629"/>
      <c r="W124" s="629"/>
      <c r="X124" s="629"/>
      <c r="Y124" s="629"/>
      <c r="Z124" s="629"/>
      <c r="AA124" s="629"/>
      <c r="AB124" s="630"/>
      <c r="AC124" s="1"/>
      <c r="AI124" s="2">
        <f t="shared" si="1"/>
        <v>0</v>
      </c>
      <c r="AJ124" s="2">
        <v>8</v>
      </c>
      <c r="AK124" s="472" t="s">
        <v>1728</v>
      </c>
      <c r="AO124" s="417">
        <f>IF($C125=$AK124,-1,IF($C125=$AK125,1,0))</f>
        <v>0</v>
      </c>
      <c r="AQ124" s="417">
        <f>IF($I125=$AK124,-1,IF($I125=$AK125,1,0))</f>
        <v>0</v>
      </c>
    </row>
    <row r="125" spans="1:43" ht="19.05" customHeight="1" thickTop="1" thickBot="1">
      <c r="A125" s="853"/>
      <c r="B125" s="646" t="s">
        <v>2448</v>
      </c>
      <c r="C125" s="643"/>
      <c r="D125" s="643"/>
      <c r="E125" s="643"/>
      <c r="F125" s="643"/>
      <c r="G125" s="643"/>
      <c r="H125" s="629"/>
      <c r="I125" s="1280"/>
      <c r="J125" s="1281"/>
      <c r="K125" s="1281"/>
      <c r="L125" s="1281"/>
      <c r="M125" s="1282"/>
      <c r="N125" s="862"/>
      <c r="O125" s="629"/>
      <c r="P125" s="629"/>
      <c r="Q125" s="629"/>
      <c r="R125" s="629"/>
      <c r="S125" s="629"/>
      <c r="T125" s="629"/>
      <c r="U125" s="629"/>
      <c r="V125" s="629"/>
      <c r="W125" s="629"/>
      <c r="X125" s="629"/>
      <c r="Y125" s="629"/>
      <c r="Z125" s="629"/>
      <c r="AA125" s="629"/>
      <c r="AB125" s="630"/>
      <c r="AC125" s="1"/>
      <c r="AI125" s="2">
        <f t="shared" si="1"/>
        <v>0</v>
      </c>
      <c r="AK125" s="473" t="s">
        <v>1729</v>
      </c>
    </row>
    <row r="126" spans="1:43" ht="4.95" customHeight="1" thickTop="1">
      <c r="A126" s="853"/>
      <c r="B126" s="1405"/>
      <c r="C126" s="1405"/>
      <c r="D126" s="1405"/>
      <c r="E126" s="1405"/>
      <c r="F126" s="1405"/>
      <c r="G126" s="1405"/>
      <c r="H126" s="1405"/>
      <c r="I126" s="1405"/>
      <c r="J126" s="1405"/>
      <c r="K126" s="1405"/>
      <c r="L126" s="1405"/>
      <c r="M126" s="1405"/>
      <c r="N126" s="862"/>
      <c r="O126" s="629"/>
      <c r="P126" s="629"/>
      <c r="Q126" s="629"/>
      <c r="R126" s="629"/>
      <c r="S126" s="629"/>
      <c r="T126" s="629"/>
      <c r="U126" s="629"/>
      <c r="V126" s="629"/>
      <c r="W126" s="629"/>
      <c r="X126" s="629"/>
      <c r="Y126" s="629"/>
      <c r="Z126" s="629"/>
      <c r="AA126" s="629"/>
      <c r="AB126" s="630"/>
      <c r="AC126" s="1"/>
      <c r="AI126" s="139">
        <f>SUM(AI118:AI125)</f>
        <v>0</v>
      </c>
      <c r="AK126" s="474" t="str">
        <f>B1281</f>
        <v>LIBERAL</v>
      </c>
      <c r="AL126" s="474"/>
      <c r="AM126" s="2" t="s">
        <v>49</v>
      </c>
      <c r="AO126" s="37">
        <f>SUM(AO110:AO125)</f>
        <v>0</v>
      </c>
      <c r="AQ126" s="37">
        <f>SUM(AQ110:AQ125)</f>
        <v>0</v>
      </c>
    </row>
    <row r="127" spans="1:43" ht="22.05" customHeight="1">
      <c r="A127" s="853"/>
      <c r="B127" s="1405" t="str">
        <f>IF(H98="",AK95,AK86)</f>
        <v>NOTE: This tool will not work properly until you select a political outlook for your client.</v>
      </c>
      <c r="C127" s="1405"/>
      <c r="D127" s="1405"/>
      <c r="E127" s="1405"/>
      <c r="F127" s="1405"/>
      <c r="G127" s="1405"/>
      <c r="H127" s="1405"/>
      <c r="I127" s="1405"/>
      <c r="J127" s="1405"/>
      <c r="K127" s="1405"/>
      <c r="L127" s="1405"/>
      <c r="M127" s="1405"/>
      <c r="N127" s="862"/>
      <c r="O127" s="629"/>
      <c r="P127" s="629"/>
      <c r="Q127" s="629"/>
      <c r="R127" s="629"/>
      <c r="S127" s="629"/>
      <c r="T127" s="629"/>
      <c r="U127" s="629"/>
      <c r="V127" s="629"/>
      <c r="W127" s="629"/>
      <c r="X127" s="629"/>
      <c r="Y127" s="629"/>
      <c r="Z127" s="629"/>
      <c r="AA127" s="629"/>
      <c r="AB127" s="630"/>
      <c r="AC127" s="1"/>
      <c r="AK127" s="475" t="str">
        <f>B1288</f>
        <v>CONSERVATIVE</v>
      </c>
      <c r="AL127" s="475"/>
      <c r="AM127" s="2" t="s">
        <v>50</v>
      </c>
      <c r="AO127" s="2" t="str">
        <f>IF(AO$126&lt;0,$AM$126,IF(AO$126&gt;0,$AM$127,IF(AO$126=0,$AM$128)))</f>
        <v>independent</v>
      </c>
      <c r="AQ127" s="2" t="str">
        <f>IF(AQ126&lt;0,$AM126,IF(AQ126&gt;0,$AM127,IF(AQ126=0,$AM128)))</f>
        <v>independent</v>
      </c>
    </row>
    <row r="128" spans="1:43" ht="7.05" customHeight="1">
      <c r="A128" s="853"/>
      <c r="B128" s="629"/>
      <c r="C128" s="629"/>
      <c r="D128" s="629"/>
      <c r="E128" s="629"/>
      <c r="F128" s="629"/>
      <c r="G128" s="629"/>
      <c r="H128" s="629"/>
      <c r="I128" s="629"/>
      <c r="J128" s="629"/>
      <c r="K128" s="629"/>
      <c r="L128" s="629"/>
      <c r="M128" s="629"/>
      <c r="N128" s="862"/>
      <c r="O128" s="629"/>
      <c r="P128" s="629"/>
      <c r="Q128" s="629"/>
      <c r="R128" s="629"/>
      <c r="S128" s="629"/>
      <c r="T128" s="629"/>
      <c r="U128" s="629"/>
      <c r="V128" s="629"/>
      <c r="W128" s="629"/>
      <c r="X128" s="629"/>
      <c r="Y128" s="629"/>
      <c r="Z128" s="629"/>
      <c r="AA128" s="629"/>
      <c r="AB128" s="630"/>
      <c r="AC128" s="652"/>
      <c r="AK128" s="477" t="str">
        <f>B1286</f>
        <v>INDEPENDENT</v>
      </c>
      <c r="AL128" s="476"/>
      <c r="AM128" s="2" t="s">
        <v>1735</v>
      </c>
      <c r="AO128" s="2" t="str">
        <f>IF(AO$126&lt;0,$AM$127,IF(AO$126&gt;0,$AM$126,IF(AO$126=0,$AM$128)))</f>
        <v>independent</v>
      </c>
      <c r="AQ128" s="2" t="str">
        <f>IF(AQ$126&lt;0,$AM$127,IF(AQ$126&gt;0,$AM$126,IF(AQ$126=0,$AM$128)))</f>
        <v>independent</v>
      </c>
    </row>
    <row r="129" spans="1:39" ht="30" customHeight="1">
      <c r="A129" s="854" t="s">
        <v>1148</v>
      </c>
      <c r="B129" s="884" t="str">
        <f>AI129</f>
        <v>Our divisive politics</v>
      </c>
      <c r="C129" s="884"/>
      <c r="D129" s="884"/>
      <c r="E129" s="884"/>
      <c r="F129" s="884"/>
      <c r="G129" s="884"/>
      <c r="H129" s="884"/>
      <c r="I129" s="884"/>
      <c r="J129" s="884"/>
      <c r="K129" s="884"/>
      <c r="L129" s="884"/>
      <c r="M129" s="884"/>
      <c r="N129" s="865" t="s">
        <v>1149</v>
      </c>
      <c r="O129" s="860"/>
      <c r="P129" s="647"/>
      <c r="Q129" s="647"/>
      <c r="R129" s="647"/>
      <c r="S129" s="647"/>
      <c r="T129" s="647"/>
      <c r="U129" s="647"/>
      <c r="V129" s="647"/>
      <c r="W129" s="647"/>
      <c r="X129" s="647"/>
      <c r="Y129" s="647"/>
      <c r="Z129" s="647"/>
      <c r="AA129" s="647"/>
      <c r="AB129" s="650" t="s">
        <v>1149</v>
      </c>
      <c r="AI129" s="459" t="str">
        <f>CONCATENATE(AK129,AL129,AM129)</f>
        <v>Our divisive politics</v>
      </c>
      <c r="AK129" s="465" t="s">
        <v>2124</v>
      </c>
      <c r="AL129" s="2" t="str">
        <f>IF(H$115="","",CONCATENATE($D$1300," "))</f>
        <v/>
      </c>
      <c r="AM129" s="465" t="s">
        <v>2076</v>
      </c>
    </row>
    <row r="130" spans="1:39" ht="10.050000000000001" customHeight="1">
      <c r="A130" s="853"/>
      <c r="B130" s="629"/>
      <c r="C130" s="629"/>
      <c r="D130" s="629"/>
      <c r="E130" s="629"/>
      <c r="F130" s="629"/>
      <c r="G130" s="629"/>
      <c r="H130" s="629"/>
      <c r="I130" s="629"/>
      <c r="J130" s="629"/>
      <c r="K130" s="629"/>
      <c r="L130" s="629"/>
      <c r="M130" s="629"/>
      <c r="N130" s="862"/>
      <c r="O130" s="629"/>
      <c r="P130" s="629"/>
      <c r="Q130" s="629"/>
      <c r="R130" s="629"/>
      <c r="S130" s="629"/>
      <c r="T130" s="629"/>
      <c r="U130" s="629"/>
      <c r="V130" s="629"/>
      <c r="W130" s="629"/>
      <c r="X130" s="629"/>
      <c r="Y130" s="629"/>
      <c r="Z130" s="629"/>
      <c r="AA130" s="629"/>
      <c r="AB130" s="630"/>
    </row>
    <row r="131" spans="1:39" ht="19.95" customHeight="1">
      <c r="A131" s="855" t="s">
        <v>2074</v>
      </c>
      <c r="B131" s="632"/>
      <c r="C131" s="631"/>
      <c r="D131" s="631"/>
      <c r="E131" s="631"/>
      <c r="F131" s="631"/>
      <c r="G131" s="631"/>
      <c r="H131" s="631"/>
      <c r="I131" s="631"/>
      <c r="J131" s="631"/>
      <c r="K131" s="631"/>
      <c r="L131" s="631"/>
      <c r="M131" s="631"/>
      <c r="N131" s="862"/>
      <c r="O131" s="629"/>
      <c r="P131" s="629"/>
      <c r="Q131" s="629"/>
      <c r="R131" s="629"/>
      <c r="S131" s="629"/>
      <c r="T131" s="629"/>
      <c r="U131" s="629"/>
      <c r="V131" s="629"/>
      <c r="W131" s="629"/>
      <c r="X131" s="629"/>
      <c r="Y131" s="629"/>
      <c r="Z131" s="629"/>
      <c r="AA131" s="629"/>
      <c r="AB131" s="630"/>
    </row>
    <row r="132" spans="1:39" ht="4.95" customHeight="1">
      <c r="A132" s="853"/>
      <c r="B132" s="632"/>
      <c r="C132" s="631"/>
      <c r="D132" s="631"/>
      <c r="E132" s="631"/>
      <c r="F132" s="631"/>
      <c r="G132" s="631"/>
      <c r="H132" s="631"/>
      <c r="I132" s="631"/>
      <c r="J132" s="631"/>
      <c r="K132" s="631"/>
      <c r="L132" s="631"/>
      <c r="M132" s="631"/>
      <c r="N132" s="862"/>
      <c r="O132" s="629"/>
      <c r="P132" s="629"/>
      <c r="Q132" s="629"/>
      <c r="R132" s="629"/>
      <c r="S132" s="629"/>
      <c r="T132" s="629"/>
      <c r="U132" s="629"/>
      <c r="V132" s="629"/>
      <c r="W132" s="629"/>
      <c r="X132" s="629"/>
      <c r="Y132" s="629"/>
      <c r="Z132" s="629"/>
      <c r="AA132" s="629"/>
      <c r="AB132" s="630"/>
    </row>
    <row r="133" spans="1:39" ht="19.95" customHeight="1">
      <c r="A133" s="855"/>
      <c r="B133" s="1407" t="s">
        <v>2545</v>
      </c>
      <c r="C133" s="1407"/>
      <c r="D133" s="1407"/>
      <c r="E133" s="1407"/>
      <c r="F133" s="1407"/>
      <c r="G133" s="1407"/>
      <c r="H133" s="1407"/>
      <c r="I133" s="1407"/>
      <c r="J133" s="1407"/>
      <c r="K133" s="1407"/>
      <c r="L133" s="1407"/>
      <c r="M133" s="1407"/>
      <c r="N133" s="862"/>
      <c r="O133" s="629"/>
      <c r="P133" s="629"/>
      <c r="Q133" s="629"/>
      <c r="R133" s="629"/>
      <c r="S133" s="629"/>
      <c r="T133" s="629"/>
      <c r="U133" s="629"/>
      <c r="V133" s="629"/>
      <c r="W133" s="629"/>
      <c r="X133" s="629"/>
      <c r="Y133" s="629"/>
      <c r="Z133" s="629"/>
      <c r="AA133" s="629"/>
      <c r="AB133" s="630"/>
    </row>
    <row r="134" spans="1:39" ht="19.95" customHeight="1">
      <c r="A134" s="853"/>
      <c r="B134" s="1407"/>
      <c r="C134" s="1407"/>
      <c r="D134" s="1407"/>
      <c r="E134" s="1407"/>
      <c r="F134" s="1407"/>
      <c r="G134" s="1407"/>
      <c r="H134" s="1407"/>
      <c r="I134" s="1407"/>
      <c r="J134" s="1407"/>
      <c r="K134" s="1407"/>
      <c r="L134" s="1407"/>
      <c r="M134" s="1407"/>
      <c r="N134" s="862"/>
      <c r="O134" s="629"/>
      <c r="P134" s="629"/>
      <c r="Q134" s="629"/>
      <c r="R134" s="629"/>
      <c r="S134" s="629"/>
      <c r="T134" s="629"/>
      <c r="U134" s="629"/>
      <c r="V134" s="629"/>
      <c r="W134" s="629"/>
      <c r="X134" s="629"/>
      <c r="Y134" s="629"/>
      <c r="Z134" s="629"/>
      <c r="AA134" s="629"/>
      <c r="AB134" s="630"/>
    </row>
    <row r="135" spans="1:39" ht="19.95" customHeight="1">
      <c r="A135" s="853"/>
      <c r="B135" s="1407"/>
      <c r="C135" s="1407"/>
      <c r="D135" s="1407"/>
      <c r="E135" s="1407"/>
      <c r="F135" s="1407"/>
      <c r="G135" s="1407"/>
      <c r="H135" s="1407"/>
      <c r="I135" s="1407"/>
      <c r="J135" s="1407"/>
      <c r="K135" s="1407"/>
      <c r="L135" s="1407"/>
      <c r="M135" s="1407"/>
      <c r="N135" s="862"/>
      <c r="O135" s="629"/>
      <c r="P135" s="629"/>
      <c r="Q135" s="629"/>
      <c r="R135" s="629"/>
      <c r="S135" s="629"/>
      <c r="T135" s="629"/>
      <c r="U135" s="629"/>
      <c r="V135" s="629"/>
      <c r="W135" s="629"/>
      <c r="X135" s="629"/>
      <c r="Y135" s="629"/>
      <c r="Z135" s="629"/>
      <c r="AA135" s="629"/>
      <c r="AB135" s="630"/>
    </row>
    <row r="136" spans="1:39" ht="4.95" customHeight="1">
      <c r="A136" s="853"/>
      <c r="B136" s="637"/>
      <c r="C136" s="637"/>
      <c r="D136" s="637"/>
      <c r="E136" s="637"/>
      <c r="F136" s="637"/>
      <c r="G136" s="637"/>
      <c r="H136" s="638"/>
      <c r="I136" s="638"/>
      <c r="J136" s="638"/>
      <c r="K136" s="638"/>
      <c r="L136" s="638"/>
      <c r="M136" s="638"/>
      <c r="N136" s="862"/>
      <c r="O136" s="629"/>
      <c r="P136" s="629"/>
      <c r="Q136" s="629"/>
      <c r="R136" s="629"/>
      <c r="S136" s="629"/>
      <c r="T136" s="629"/>
      <c r="U136" s="629"/>
      <c r="V136" s="629"/>
      <c r="W136" s="629"/>
      <c r="X136" s="629"/>
      <c r="Y136" s="629"/>
      <c r="Z136" s="629"/>
      <c r="AA136" s="629"/>
      <c r="AB136" s="630"/>
    </row>
    <row r="137" spans="1:39" ht="25.05" customHeight="1">
      <c r="A137" s="299"/>
      <c r="B137" s="1377" t="s">
        <v>4</v>
      </c>
      <c r="C137" s="1377"/>
      <c r="D137" s="1377"/>
      <c r="E137" s="1377"/>
      <c r="F137" s="1377"/>
      <c r="G137" s="1377"/>
      <c r="H137" s="1377"/>
      <c r="I137" s="1377"/>
      <c r="J137" s="1377"/>
      <c r="K137" s="1377"/>
      <c r="L137" s="1377"/>
      <c r="M137" s="1377"/>
      <c r="N137" s="489"/>
      <c r="O137" s="629"/>
      <c r="P137" s="629"/>
      <c r="Q137" s="629"/>
      <c r="R137" s="629"/>
      <c r="S137" s="629"/>
      <c r="T137" s="629"/>
      <c r="U137" s="629"/>
      <c r="V137" s="629"/>
      <c r="W137" s="629"/>
      <c r="X137" s="629"/>
      <c r="Y137" s="629"/>
      <c r="Z137" s="629"/>
      <c r="AA137" s="629"/>
      <c r="AB137" s="630"/>
    </row>
    <row r="138" spans="1:39" ht="30" customHeight="1">
      <c r="A138" s="856"/>
      <c r="B138" s="1358" t="str">
        <f>IF($H$115="",$V$1379,$V$1377)</f>
        <v>Argue</v>
      </c>
      <c r="C138" s="1358"/>
      <c r="D138" s="1358"/>
      <c r="E138" s="1358"/>
      <c r="F138" s="1358"/>
      <c r="G138" s="1358"/>
      <c r="H138" s="1359" t="str">
        <f>IF($H$115="",$Y$1379,$Y$1377)</f>
        <v>Argue</v>
      </c>
      <c r="I138" s="1359"/>
      <c r="J138" s="1359"/>
      <c r="K138" s="1359"/>
      <c r="L138" s="1359"/>
      <c r="M138" s="1359"/>
      <c r="N138" s="866"/>
      <c r="O138" s="629"/>
      <c r="P138" s="629"/>
      <c r="Q138" s="629"/>
      <c r="R138" s="629"/>
      <c r="S138" s="629"/>
      <c r="T138" s="629"/>
      <c r="U138" s="629"/>
      <c r="V138" s="629"/>
      <c r="W138" s="629"/>
      <c r="X138" s="629"/>
      <c r="Y138" s="629"/>
      <c r="Z138" s="629"/>
      <c r="AA138" s="629"/>
      <c r="AB138" s="630"/>
    </row>
    <row r="139" spans="1:39" ht="19.95" customHeight="1">
      <c r="A139" s="856"/>
      <c r="B139" s="1360" t="str">
        <f>AI140</f>
        <v>We must ensure everyone's needs are equally met through government oversight.</v>
      </c>
      <c r="C139" s="1360"/>
      <c r="D139" s="1360"/>
      <c r="E139" s="1360"/>
      <c r="F139" s="1360"/>
      <c r="G139" s="1360"/>
      <c r="H139" s="1333" t="str">
        <f>AI142</f>
        <v>We must ensure everyone can freely live up to their full creative potential.</v>
      </c>
      <c r="I139" s="1333"/>
      <c r="J139" s="1333"/>
      <c r="K139" s="1333"/>
      <c r="L139" s="1333"/>
      <c r="M139" s="1333"/>
      <c r="N139" s="866"/>
      <c r="O139" s="629"/>
      <c r="P139" s="629"/>
      <c r="Q139" s="629"/>
      <c r="R139" s="629"/>
      <c r="S139" s="629"/>
      <c r="T139" s="629"/>
      <c r="U139" s="629"/>
      <c r="V139" s="629"/>
      <c r="W139" s="629"/>
      <c r="X139" s="629"/>
      <c r="Y139" s="629"/>
      <c r="Z139" s="629"/>
      <c r="AA139" s="629"/>
      <c r="AB139" s="630"/>
    </row>
    <row r="140" spans="1:39" ht="19.95" customHeight="1">
      <c r="A140" s="856"/>
      <c r="B140" s="1360"/>
      <c r="C140" s="1360"/>
      <c r="D140" s="1360"/>
      <c r="E140" s="1360"/>
      <c r="F140" s="1360"/>
      <c r="G140" s="1360"/>
      <c r="H140" s="1333"/>
      <c r="I140" s="1333"/>
      <c r="J140" s="1333"/>
      <c r="K140" s="1333"/>
      <c r="L140" s="1333"/>
      <c r="M140" s="1333"/>
      <c r="N140" s="866"/>
      <c r="O140" s="629"/>
      <c r="P140" s="629"/>
      <c r="Q140" s="629"/>
      <c r="R140" s="629"/>
      <c r="S140" s="629"/>
      <c r="T140" s="629"/>
      <c r="U140" s="629"/>
      <c r="V140" s="629"/>
      <c r="W140" s="629"/>
      <c r="X140" s="629"/>
      <c r="Y140" s="629"/>
      <c r="Z140" s="629"/>
      <c r="AA140" s="629"/>
      <c r="AB140" s="630"/>
      <c r="AI140" s="896" t="str">
        <f>IF($H$115="",AM140,AK140)</f>
        <v>We must ensure everyone's needs are equally met through government oversight.</v>
      </c>
      <c r="AK140" s="465" t="str">
        <f>$H$1377</f>
        <v/>
      </c>
      <c r="AM140" s="734" t="str">
        <f>AQ212</f>
        <v>We must ensure everyone's needs are equally met through government oversight.</v>
      </c>
    </row>
    <row r="141" spans="1:39" ht="19.95" customHeight="1">
      <c r="A141" s="856"/>
      <c r="B141" s="1360"/>
      <c r="C141" s="1360"/>
      <c r="D141" s="1360"/>
      <c r="E141" s="1360"/>
      <c r="F141" s="1360"/>
      <c r="G141" s="1360"/>
      <c r="H141" s="1333"/>
      <c r="I141" s="1333"/>
      <c r="J141" s="1333"/>
      <c r="K141" s="1333"/>
      <c r="L141" s="1333"/>
      <c r="M141" s="1333"/>
      <c r="N141" s="866"/>
      <c r="O141" s="629"/>
      <c r="P141" s="629"/>
      <c r="Q141" s="629"/>
      <c r="R141" s="629"/>
      <c r="S141" s="629"/>
      <c r="T141" s="629"/>
      <c r="U141" s="629"/>
      <c r="V141" s="629"/>
      <c r="W141" s="629"/>
      <c r="X141" s="629"/>
      <c r="Y141" s="629"/>
      <c r="Z141" s="629"/>
      <c r="AA141" s="629"/>
      <c r="AB141" s="630"/>
    </row>
    <row r="142" spans="1:39" ht="19.95" customHeight="1">
      <c r="A142" s="856"/>
      <c r="B142" s="1360"/>
      <c r="C142" s="1360"/>
      <c r="D142" s="1360"/>
      <c r="E142" s="1360"/>
      <c r="F142" s="1360"/>
      <c r="G142" s="1360"/>
      <c r="H142" s="1333"/>
      <c r="I142" s="1333"/>
      <c r="J142" s="1333"/>
      <c r="K142" s="1333"/>
      <c r="L142" s="1333"/>
      <c r="M142" s="1333"/>
      <c r="N142" s="866"/>
      <c r="O142" s="629"/>
      <c r="P142" s="629"/>
      <c r="Q142" s="629"/>
      <c r="R142" s="629"/>
      <c r="S142" s="629"/>
      <c r="T142" s="629"/>
      <c r="U142" s="629"/>
      <c r="V142" s="629"/>
      <c r="W142" s="629"/>
      <c r="X142" s="629"/>
      <c r="Y142" s="629"/>
      <c r="Z142" s="629"/>
      <c r="AA142" s="629"/>
      <c r="AB142" s="630"/>
      <c r="AI142" s="898" t="str">
        <f>IF($H$115="",AM142,AK142)</f>
        <v>We must ensure everyone can freely live up to their full creative potential.</v>
      </c>
      <c r="AK142" s="465" t="str">
        <f>$K$1377</f>
        <v/>
      </c>
      <c r="AM142" s="734" t="str">
        <f>AQ215</f>
        <v>We must ensure everyone can freely live up to their full creative potential.</v>
      </c>
    </row>
    <row r="143" spans="1:39" ht="4.95" customHeight="1">
      <c r="A143" s="856"/>
      <c r="B143" s="614"/>
      <c r="C143" s="614"/>
      <c r="D143" s="614"/>
      <c r="E143" s="614"/>
      <c r="F143" s="614"/>
      <c r="G143" s="614"/>
      <c r="H143" s="613"/>
      <c r="I143" s="613"/>
      <c r="J143" s="613"/>
      <c r="K143" s="613"/>
      <c r="L143" s="613"/>
      <c r="M143" s="613"/>
      <c r="N143" s="866"/>
      <c r="O143" s="629"/>
      <c r="P143" s="629"/>
      <c r="Q143" s="629"/>
      <c r="R143" s="629"/>
      <c r="S143" s="629"/>
      <c r="T143" s="629"/>
      <c r="U143" s="629"/>
      <c r="V143" s="629"/>
      <c r="W143" s="629"/>
      <c r="X143" s="629"/>
      <c r="Y143" s="629"/>
      <c r="Z143" s="629"/>
      <c r="AA143" s="629"/>
      <c r="AB143" s="630"/>
    </row>
    <row r="144" spans="1:39" ht="25.05" customHeight="1">
      <c r="A144" s="299"/>
      <c r="B144" s="1377" t="s">
        <v>7</v>
      </c>
      <c r="C144" s="1377"/>
      <c r="D144" s="1377"/>
      <c r="E144" s="1377"/>
      <c r="F144" s="1377"/>
      <c r="G144" s="1377"/>
      <c r="H144" s="1377"/>
      <c r="I144" s="1377"/>
      <c r="J144" s="1377"/>
      <c r="K144" s="1377"/>
      <c r="L144" s="1377"/>
      <c r="M144" s="1377"/>
      <c r="N144" s="489"/>
      <c r="O144" s="629"/>
      <c r="P144" s="629"/>
      <c r="Q144" s="629"/>
      <c r="R144" s="629"/>
      <c r="S144" s="629"/>
      <c r="T144" s="629"/>
      <c r="U144" s="629"/>
      <c r="V144" s="629"/>
      <c r="W144" s="629"/>
      <c r="X144" s="629"/>
      <c r="Y144" s="629"/>
      <c r="Z144" s="629"/>
      <c r="AA144" s="629"/>
      <c r="AB144" s="630"/>
    </row>
    <row r="145" spans="1:43" ht="30" customHeight="1">
      <c r="A145" s="856"/>
      <c r="B145" s="1358" t="str">
        <f>IF($H$115="",$W$1379,$W$1377)</f>
        <v>Reject</v>
      </c>
      <c r="C145" s="1358"/>
      <c r="D145" s="1358"/>
      <c r="E145" s="1358"/>
      <c r="F145" s="1358"/>
      <c r="G145" s="1358"/>
      <c r="H145" s="1359" t="str">
        <f>IF($H$115="",$Z$1379,$Z$1377)</f>
        <v>Reject</v>
      </c>
      <c r="I145" s="1359"/>
      <c r="J145" s="1359"/>
      <c r="K145" s="1359"/>
      <c r="L145" s="1359"/>
      <c r="M145" s="1359"/>
      <c r="N145" s="866"/>
      <c r="O145" s="629"/>
      <c r="P145" s="629"/>
      <c r="Q145" s="629"/>
      <c r="R145" s="629"/>
      <c r="S145" s="629"/>
      <c r="T145" s="629"/>
      <c r="U145" s="629"/>
      <c r="V145" s="629"/>
      <c r="W145" s="629"/>
      <c r="X145" s="629"/>
      <c r="Y145" s="629"/>
      <c r="Z145" s="629"/>
      <c r="AA145" s="629"/>
      <c r="AB145" s="630"/>
    </row>
    <row r="146" spans="1:43" ht="19.95" customHeight="1">
      <c r="A146" s="856"/>
      <c r="B146" s="1360" t="str">
        <f>AI147</f>
        <v>No one is free until we all can be equally free.</v>
      </c>
      <c r="C146" s="1360"/>
      <c r="D146" s="1360"/>
      <c r="E146" s="1360"/>
      <c r="F146" s="1360"/>
      <c r="G146" s="1360"/>
      <c r="H146" s="1333" t="str">
        <f>AI149</f>
        <v>Too much government ensures we will all stay equally poor.</v>
      </c>
      <c r="I146" s="1333"/>
      <c r="J146" s="1333"/>
      <c r="K146" s="1333"/>
      <c r="L146" s="1333"/>
      <c r="M146" s="1333"/>
      <c r="N146" s="866"/>
      <c r="O146" s="629"/>
      <c r="P146" s="629"/>
      <c r="Q146" s="629"/>
      <c r="R146" s="629"/>
      <c r="S146" s="629"/>
      <c r="T146" s="629"/>
      <c r="U146" s="629"/>
      <c r="V146" s="629"/>
      <c r="W146" s="629"/>
      <c r="X146" s="629"/>
      <c r="Y146" s="629"/>
      <c r="Z146" s="629"/>
      <c r="AA146" s="629"/>
      <c r="AB146" s="630"/>
    </row>
    <row r="147" spans="1:43" ht="19.95" customHeight="1">
      <c r="A147" s="856"/>
      <c r="B147" s="1360"/>
      <c r="C147" s="1360"/>
      <c r="D147" s="1360"/>
      <c r="E147" s="1360"/>
      <c r="F147" s="1360"/>
      <c r="G147" s="1360"/>
      <c r="H147" s="1333"/>
      <c r="I147" s="1333"/>
      <c r="J147" s="1333"/>
      <c r="K147" s="1333"/>
      <c r="L147" s="1333"/>
      <c r="M147" s="1333"/>
      <c r="N147" s="866"/>
      <c r="O147" s="629"/>
      <c r="P147" s="629"/>
      <c r="Q147" s="629"/>
      <c r="R147" s="629"/>
      <c r="S147" s="629"/>
      <c r="T147" s="629"/>
      <c r="U147" s="629"/>
      <c r="V147" s="629"/>
      <c r="W147" s="629"/>
      <c r="X147" s="629"/>
      <c r="Y147" s="629"/>
      <c r="Z147" s="629"/>
      <c r="AA147" s="629"/>
      <c r="AB147" s="630"/>
      <c r="AI147" s="896" t="str">
        <f>IF($H$115="",AM147,AK147)</f>
        <v>No one is free until we all can be equally free.</v>
      </c>
      <c r="AK147" s="465" t="str">
        <f>$I$1377</f>
        <v/>
      </c>
      <c r="AM147" s="734" t="s">
        <v>3193</v>
      </c>
    </row>
    <row r="148" spans="1:43" ht="19.95" customHeight="1">
      <c r="A148" s="856"/>
      <c r="B148" s="1360"/>
      <c r="C148" s="1360"/>
      <c r="D148" s="1360"/>
      <c r="E148" s="1360"/>
      <c r="F148" s="1360"/>
      <c r="G148" s="1360"/>
      <c r="H148" s="1333"/>
      <c r="I148" s="1333"/>
      <c r="J148" s="1333"/>
      <c r="K148" s="1333"/>
      <c r="L148" s="1333"/>
      <c r="M148" s="1333"/>
      <c r="N148" s="866"/>
      <c r="O148" s="629"/>
      <c r="P148" s="629"/>
      <c r="Q148" s="629"/>
      <c r="R148" s="629"/>
      <c r="S148" s="629"/>
      <c r="T148" s="629"/>
      <c r="U148" s="629"/>
      <c r="V148" s="629"/>
      <c r="W148" s="629"/>
      <c r="X148" s="629"/>
      <c r="Y148" s="629"/>
      <c r="Z148" s="629"/>
      <c r="AA148" s="629"/>
      <c r="AB148" s="630"/>
    </row>
    <row r="149" spans="1:43" ht="19.95" customHeight="1">
      <c r="A149" s="856"/>
      <c r="B149" s="1360"/>
      <c r="C149" s="1360"/>
      <c r="D149" s="1360"/>
      <c r="E149" s="1360"/>
      <c r="F149" s="1360"/>
      <c r="G149" s="1360"/>
      <c r="H149" s="1333"/>
      <c r="I149" s="1333"/>
      <c r="J149" s="1333"/>
      <c r="K149" s="1333"/>
      <c r="L149" s="1333"/>
      <c r="M149" s="1333"/>
      <c r="N149" s="866"/>
      <c r="O149" s="629"/>
      <c r="P149" s="629"/>
      <c r="Q149" s="629"/>
      <c r="R149" s="629"/>
      <c r="S149" s="629"/>
      <c r="T149" s="629"/>
      <c r="U149" s="629"/>
      <c r="V149" s="629"/>
      <c r="W149" s="629"/>
      <c r="X149" s="629"/>
      <c r="Y149" s="629"/>
      <c r="Z149" s="629"/>
      <c r="AA149" s="629"/>
      <c r="AB149" s="630"/>
      <c r="AI149" s="898" t="str">
        <f>IF($H$115="",AM149,AK149)</f>
        <v>Too much government ensures we will all stay equally poor.</v>
      </c>
      <c r="AK149" s="465" t="str">
        <f>$L$1377</f>
        <v/>
      </c>
      <c r="AM149" s="734" t="s">
        <v>3194</v>
      </c>
    </row>
    <row r="150" spans="1:43" ht="4.95" customHeight="1">
      <c r="A150" s="856"/>
      <c r="B150" s="614"/>
      <c r="C150" s="614"/>
      <c r="D150" s="614"/>
      <c r="E150" s="614"/>
      <c r="F150" s="614"/>
      <c r="G150" s="614"/>
      <c r="H150" s="613"/>
      <c r="I150" s="613"/>
      <c r="J150" s="613"/>
      <c r="K150" s="613"/>
      <c r="L150" s="613"/>
      <c r="M150" s="613"/>
      <c r="N150" s="866"/>
      <c r="O150" s="629"/>
      <c r="P150" s="629"/>
      <c r="Q150" s="629"/>
      <c r="R150" s="629"/>
      <c r="S150" s="629"/>
      <c r="T150" s="629"/>
      <c r="U150" s="629"/>
      <c r="V150" s="629"/>
      <c r="W150" s="629"/>
      <c r="X150" s="629"/>
      <c r="Y150" s="629"/>
      <c r="Z150" s="629"/>
      <c r="AA150" s="629"/>
      <c r="AB150" s="630"/>
    </row>
    <row r="151" spans="1:43" ht="25.05" customHeight="1">
      <c r="A151" s="299"/>
      <c r="B151" s="1377" t="s">
        <v>9</v>
      </c>
      <c r="C151" s="1377"/>
      <c r="D151" s="1377"/>
      <c r="E151" s="1377"/>
      <c r="F151" s="1377"/>
      <c r="G151" s="1377"/>
      <c r="H151" s="1377"/>
      <c r="I151" s="1377"/>
      <c r="J151" s="1377"/>
      <c r="K151" s="1377"/>
      <c r="L151" s="1377"/>
      <c r="M151" s="1377"/>
      <c r="N151" s="489"/>
      <c r="O151" s="629"/>
      <c r="P151" s="629"/>
      <c r="Q151" s="629"/>
      <c r="R151" s="629"/>
      <c r="S151" s="629"/>
      <c r="T151" s="629"/>
      <c r="U151" s="629"/>
      <c r="V151" s="629"/>
      <c r="W151" s="629"/>
      <c r="X151" s="629"/>
      <c r="Y151" s="629"/>
      <c r="Z151" s="629"/>
      <c r="AA151" s="629"/>
      <c r="AB151" s="630"/>
    </row>
    <row r="152" spans="1:43" ht="30" customHeight="1">
      <c r="A152" s="856"/>
      <c r="B152" s="1358" t="str">
        <f>IF($H$115="",$X$1379,$X$1377)</f>
        <v>Demand</v>
      </c>
      <c r="C152" s="1358"/>
      <c r="D152" s="1358"/>
      <c r="E152" s="1358"/>
      <c r="F152" s="1358"/>
      <c r="G152" s="1358"/>
      <c r="H152" s="1359" t="str">
        <f>IF($H$115="",$AA$1379,$AA$1377)</f>
        <v>Demand</v>
      </c>
      <c r="I152" s="1359"/>
      <c r="J152" s="1359"/>
      <c r="K152" s="1359"/>
      <c r="L152" s="1359"/>
      <c r="M152" s="1359"/>
      <c r="N152" s="866"/>
      <c r="O152" s="629"/>
      <c r="P152" s="629"/>
      <c r="Q152" s="629"/>
      <c r="R152" s="629"/>
      <c r="S152" s="629"/>
      <c r="T152" s="629"/>
      <c r="U152" s="629"/>
      <c r="V152" s="629"/>
      <c r="W152" s="629"/>
      <c r="X152" s="629"/>
      <c r="Y152" s="629"/>
      <c r="Z152" s="629"/>
      <c r="AA152" s="629"/>
      <c r="AB152" s="630"/>
    </row>
    <row r="153" spans="1:43" ht="19.95" customHeight="1">
      <c r="A153" s="856"/>
      <c r="B153" s="1360" t="str">
        <f>AI154</f>
        <v>Provide more breaks for the historically oppressed, with government oversight.</v>
      </c>
      <c r="C153" s="1360"/>
      <c r="D153" s="1360"/>
      <c r="E153" s="1360"/>
      <c r="F153" s="1360"/>
      <c r="G153" s="1360"/>
      <c r="H153" s="1333" t="str">
        <f>AI156</f>
        <v>Guarantee more individual liberties, to remove the growing threat of government tyranny.</v>
      </c>
      <c r="I153" s="1333"/>
      <c r="J153" s="1333"/>
      <c r="K153" s="1333"/>
      <c r="L153" s="1333"/>
      <c r="M153" s="1333"/>
      <c r="N153" s="866"/>
      <c r="O153" s="629"/>
      <c r="P153" s="629"/>
      <c r="Q153" s="629"/>
      <c r="R153" s="629"/>
      <c r="S153" s="629"/>
      <c r="T153" s="629"/>
      <c r="U153" s="629"/>
      <c r="V153" s="629"/>
      <c r="W153" s="629"/>
      <c r="X153" s="629"/>
      <c r="Y153" s="629"/>
      <c r="Z153" s="629"/>
      <c r="AA153" s="629"/>
      <c r="AB153" s="630"/>
      <c r="AI153" s="37" t="str">
        <f>CONCATENATE(AK153,AL153,AM153,AN153)</f>
        <v/>
      </c>
    </row>
    <row r="154" spans="1:43" ht="19.95" customHeight="1">
      <c r="A154" s="856"/>
      <c r="B154" s="1360"/>
      <c r="C154" s="1360"/>
      <c r="D154" s="1360"/>
      <c r="E154" s="1360"/>
      <c r="F154" s="1360"/>
      <c r="G154" s="1360"/>
      <c r="H154" s="1333"/>
      <c r="I154" s="1333"/>
      <c r="J154" s="1333"/>
      <c r="K154" s="1333"/>
      <c r="L154" s="1333"/>
      <c r="M154" s="1333"/>
      <c r="N154" s="866"/>
      <c r="O154" s="629"/>
      <c r="P154" s="629"/>
      <c r="Q154" s="629"/>
      <c r="R154" s="629"/>
      <c r="S154" s="629"/>
      <c r="T154" s="629"/>
      <c r="U154" s="629"/>
      <c r="V154" s="629"/>
      <c r="W154" s="629"/>
      <c r="X154" s="629"/>
      <c r="Y154" s="629"/>
      <c r="Z154" s="629"/>
      <c r="AA154" s="629"/>
      <c r="AB154" s="630"/>
      <c r="AI154" s="896" t="str">
        <f>IF($H$115="",AM154,AK154)</f>
        <v>Provide more breaks for the historically oppressed, with government oversight.</v>
      </c>
      <c r="AK154" s="465" t="str">
        <f>$J$1377</f>
        <v/>
      </c>
      <c r="AM154" s="734" t="s">
        <v>3195</v>
      </c>
    </row>
    <row r="155" spans="1:43" ht="19.95" customHeight="1">
      <c r="A155" s="856"/>
      <c r="B155" s="1360"/>
      <c r="C155" s="1360"/>
      <c r="D155" s="1360"/>
      <c r="E155" s="1360"/>
      <c r="F155" s="1360"/>
      <c r="G155" s="1360"/>
      <c r="H155" s="1333"/>
      <c r="I155" s="1333"/>
      <c r="J155" s="1333"/>
      <c r="K155" s="1333"/>
      <c r="L155" s="1333"/>
      <c r="M155" s="1333"/>
      <c r="N155" s="866"/>
      <c r="O155" s="629"/>
      <c r="P155" s="629"/>
      <c r="Q155" s="629"/>
      <c r="R155" s="629"/>
      <c r="S155" s="629"/>
      <c r="T155" s="629"/>
      <c r="U155" s="629"/>
      <c r="V155" s="629"/>
      <c r="W155" s="629"/>
      <c r="X155" s="629"/>
      <c r="Y155" s="629"/>
      <c r="Z155" s="629"/>
      <c r="AA155" s="629"/>
      <c r="AB155" s="630"/>
    </row>
    <row r="156" spans="1:43" ht="19.95" customHeight="1">
      <c r="A156" s="856"/>
      <c r="B156" s="1360"/>
      <c r="C156" s="1360"/>
      <c r="D156" s="1360"/>
      <c r="E156" s="1360"/>
      <c r="F156" s="1360"/>
      <c r="G156" s="1360"/>
      <c r="H156" s="1333"/>
      <c r="I156" s="1333"/>
      <c r="J156" s="1333"/>
      <c r="K156" s="1333"/>
      <c r="L156" s="1333"/>
      <c r="M156" s="1333"/>
      <c r="N156" s="866"/>
      <c r="O156" s="629"/>
      <c r="P156" s="629"/>
      <c r="Q156" s="629"/>
      <c r="R156" s="629"/>
      <c r="S156" s="629"/>
      <c r="T156" s="629"/>
      <c r="U156" s="629"/>
      <c r="V156" s="629"/>
      <c r="W156" s="629"/>
      <c r="X156" s="629"/>
      <c r="Y156" s="629"/>
      <c r="Z156" s="629"/>
      <c r="AA156" s="629"/>
      <c r="AB156" s="630"/>
      <c r="AI156" s="898" t="str">
        <f>IF($H$115="",AM156,AK156)</f>
        <v>Guarantee more individual liberties, to remove the growing threat of government tyranny.</v>
      </c>
      <c r="AK156" s="465" t="str">
        <f>$M$1377</f>
        <v/>
      </c>
      <c r="AM156" s="734" t="s">
        <v>3196</v>
      </c>
    </row>
    <row r="157" spans="1:43" ht="19.95" customHeight="1">
      <c r="A157" s="856"/>
      <c r="B157" s="1360"/>
      <c r="C157" s="1360"/>
      <c r="D157" s="1360"/>
      <c r="E157" s="1360"/>
      <c r="F157" s="1360"/>
      <c r="G157" s="1360"/>
      <c r="H157" s="1333"/>
      <c r="I157" s="1333"/>
      <c r="J157" s="1333"/>
      <c r="K157" s="1333"/>
      <c r="L157" s="1333"/>
      <c r="M157" s="1333"/>
      <c r="N157" s="866"/>
      <c r="O157" s="629"/>
      <c r="P157" s="629"/>
      <c r="Q157" s="629"/>
      <c r="R157" s="629"/>
      <c r="S157" s="629"/>
      <c r="T157" s="629"/>
      <c r="U157" s="629"/>
      <c r="V157" s="629"/>
      <c r="W157" s="629"/>
      <c r="X157" s="629"/>
      <c r="Y157" s="629"/>
      <c r="Z157" s="629"/>
      <c r="AA157" s="629"/>
      <c r="AB157" s="630"/>
    </row>
    <row r="158" spans="1:43" ht="4.95" customHeight="1">
      <c r="A158" s="856"/>
      <c r="B158" s="614"/>
      <c r="C158" s="614"/>
      <c r="D158" s="614"/>
      <c r="E158" s="614"/>
      <c r="F158" s="614"/>
      <c r="G158" s="614"/>
      <c r="H158" s="613"/>
      <c r="I158" s="613"/>
      <c r="J158" s="613"/>
      <c r="K158" s="613"/>
      <c r="L158" s="613"/>
      <c r="M158" s="613"/>
      <c r="N158" s="866"/>
      <c r="O158" s="629"/>
      <c r="P158" s="629"/>
      <c r="Q158" s="629"/>
      <c r="R158" s="629"/>
      <c r="S158" s="629"/>
      <c r="T158" s="629"/>
      <c r="U158" s="629"/>
      <c r="V158" s="629"/>
      <c r="W158" s="629"/>
      <c r="X158" s="629"/>
      <c r="Y158" s="629"/>
      <c r="Z158" s="629"/>
      <c r="AA158" s="629"/>
      <c r="AB158" s="630"/>
    </row>
    <row r="159" spans="1:43" ht="10.050000000000001" customHeight="1">
      <c r="A159" s="853"/>
      <c r="B159" s="633"/>
      <c r="C159" s="633"/>
      <c r="D159" s="633"/>
      <c r="E159" s="633"/>
      <c r="F159" s="633"/>
      <c r="G159" s="633"/>
      <c r="H159" s="633"/>
      <c r="I159" s="633"/>
      <c r="J159" s="633"/>
      <c r="K159" s="633"/>
      <c r="L159" s="633"/>
      <c r="M159" s="633"/>
      <c r="N159" s="862"/>
      <c r="O159" s="629"/>
      <c r="P159" s="629"/>
      <c r="Q159" s="629"/>
      <c r="R159" s="629"/>
      <c r="S159" s="629"/>
      <c r="T159" s="629"/>
      <c r="U159" s="629"/>
      <c r="V159" s="629"/>
      <c r="W159" s="629"/>
      <c r="X159" s="629"/>
      <c r="Y159" s="629"/>
      <c r="Z159" s="629"/>
      <c r="AA159" s="629"/>
      <c r="AB159" s="630"/>
    </row>
    <row r="160" spans="1:43" ht="19.95" customHeight="1">
      <c r="A160" s="853"/>
      <c r="B160" s="1375" t="str">
        <f>AI160</f>
        <v>Your politically affected needs will unlikely resolve if you only argue, reject, and demand. politically politics exists to sort out our priority of needs, not to drive a deeper wedge between us. Let's close this gap with some empathy and love. Let's find a more need-responsive love-encouraging politics.</v>
      </c>
      <c r="C160" s="1375"/>
      <c r="D160" s="1375"/>
      <c r="E160" s="1375"/>
      <c r="F160" s="1375"/>
      <c r="G160" s="1375"/>
      <c r="H160" s="1375"/>
      <c r="I160" s="1375"/>
      <c r="J160" s="1375"/>
      <c r="K160" s="1375"/>
      <c r="L160" s="1375"/>
      <c r="M160" s="1375"/>
      <c r="N160" s="862"/>
      <c r="O160" s="629"/>
      <c r="P160" s="629"/>
      <c r="Q160" s="629"/>
      <c r="R160" s="629"/>
      <c r="S160" s="629"/>
      <c r="T160" s="629"/>
      <c r="U160" s="629"/>
      <c r="V160" s="629"/>
      <c r="W160" s="629"/>
      <c r="X160" s="629"/>
      <c r="Y160" s="629"/>
      <c r="Z160" s="629"/>
      <c r="AA160" s="629"/>
      <c r="AB160" s="630"/>
      <c r="AI160" s="459" t="str">
        <f>CONCATENATE(AK160,AL160,AM160,AN160,AO160,AP160,AQ160)</f>
        <v>Your politically affected needs will unlikely resolve if you only argue, reject, and demand. politically politics exists to sort out our priority of needs, not to drive a deeper wedge between us. Let's close this gap with some empathy and love. Let's find a more need-responsive love-encouraging politics.</v>
      </c>
      <c r="AK160" s="465" t="s">
        <v>2456</v>
      </c>
      <c r="AL160" s="2" t="str">
        <f>IF(H115="","politically",D1300)</f>
        <v>politically</v>
      </c>
      <c r="AM160" s="465" t="s">
        <v>2457</v>
      </c>
      <c r="AN160" s="2" t="str">
        <f>IF(H115="","politically",C1300)</f>
        <v>politically</v>
      </c>
      <c r="AO160" s="465" t="s">
        <v>2458</v>
      </c>
      <c r="AP160" s="2" t="str">
        <f>IF(H115="","love-encouraging",D1300)</f>
        <v>love-encouraging</v>
      </c>
      <c r="AQ160" s="465" t="s">
        <v>979</v>
      </c>
    </row>
    <row r="161" spans="1:52" ht="19.95" customHeight="1">
      <c r="A161" s="853"/>
      <c r="B161" s="1375"/>
      <c r="C161" s="1375"/>
      <c r="D161" s="1375"/>
      <c r="E161" s="1375"/>
      <c r="F161" s="1375"/>
      <c r="G161" s="1375"/>
      <c r="H161" s="1375"/>
      <c r="I161" s="1375"/>
      <c r="J161" s="1375"/>
      <c r="K161" s="1375"/>
      <c r="L161" s="1375"/>
      <c r="M161" s="1375"/>
      <c r="N161" s="862"/>
      <c r="O161" s="629"/>
      <c r="P161" s="629"/>
      <c r="Q161" s="629"/>
      <c r="R161" s="629"/>
      <c r="S161" s="629"/>
      <c r="T161" s="629"/>
      <c r="U161" s="629"/>
      <c r="V161" s="629"/>
      <c r="W161" s="629"/>
      <c r="X161" s="629"/>
      <c r="Y161" s="629"/>
      <c r="Z161" s="629"/>
      <c r="AA161" s="629"/>
      <c r="AB161" s="630"/>
      <c r="AI161" s="37"/>
    </row>
    <row r="162" spans="1:52" ht="19.95" customHeight="1">
      <c r="A162" s="853"/>
      <c r="B162" s="1375"/>
      <c r="C162" s="1375"/>
      <c r="D162" s="1375"/>
      <c r="E162" s="1375"/>
      <c r="F162" s="1375"/>
      <c r="G162" s="1375"/>
      <c r="H162" s="1375"/>
      <c r="I162" s="1375"/>
      <c r="J162" s="1375"/>
      <c r="K162" s="1375"/>
      <c r="L162" s="1375"/>
      <c r="M162" s="1375"/>
      <c r="N162" s="862"/>
      <c r="O162" s="629"/>
      <c r="P162" s="629"/>
      <c r="Q162" s="629"/>
      <c r="R162" s="629"/>
      <c r="S162" s="629"/>
      <c r="T162" s="629"/>
      <c r="U162" s="629"/>
      <c r="V162" s="629"/>
      <c r="W162" s="629"/>
      <c r="X162" s="629"/>
      <c r="Y162" s="629"/>
      <c r="Z162" s="629"/>
      <c r="AA162" s="629"/>
      <c r="AB162" s="630"/>
    </row>
    <row r="163" spans="1:52" ht="19.95" customHeight="1">
      <c r="A163" s="853"/>
      <c r="B163" s="1375"/>
      <c r="C163" s="1375"/>
      <c r="D163" s="1375"/>
      <c r="E163" s="1375"/>
      <c r="F163" s="1375"/>
      <c r="G163" s="1375"/>
      <c r="H163" s="1375"/>
      <c r="I163" s="1375"/>
      <c r="J163" s="1375"/>
      <c r="K163" s="1375"/>
      <c r="L163" s="1375"/>
      <c r="M163" s="1375"/>
      <c r="N163" s="862"/>
      <c r="O163" s="629"/>
      <c r="P163" s="629"/>
      <c r="Q163" s="629"/>
      <c r="R163" s="629"/>
      <c r="S163" s="629"/>
      <c r="T163" s="629"/>
      <c r="U163" s="629"/>
      <c r="V163" s="629"/>
      <c r="W163" s="629"/>
      <c r="X163" s="629"/>
      <c r="Y163" s="629"/>
      <c r="Z163" s="629"/>
      <c r="AA163" s="629"/>
      <c r="AB163" s="630"/>
    </row>
    <row r="164" spans="1:52" ht="10.050000000000001" customHeight="1">
      <c r="A164" s="857"/>
      <c r="B164" s="635"/>
      <c r="C164" s="635"/>
      <c r="D164" s="635"/>
      <c r="E164" s="635"/>
      <c r="F164" s="635"/>
      <c r="G164" s="635"/>
      <c r="H164" s="635"/>
      <c r="I164" s="635"/>
      <c r="J164" s="635"/>
      <c r="K164" s="635"/>
      <c r="L164" s="635"/>
      <c r="M164" s="635"/>
      <c r="N164" s="867"/>
      <c r="O164" s="635"/>
      <c r="P164" s="635"/>
      <c r="Q164" s="635"/>
      <c r="R164" s="635"/>
      <c r="S164" s="635"/>
      <c r="T164" s="635"/>
      <c r="U164" s="635"/>
      <c r="V164" s="635"/>
      <c r="W164" s="635"/>
      <c r="X164" s="635"/>
      <c r="Y164" s="635"/>
      <c r="Z164" s="635"/>
      <c r="AA164" s="635"/>
      <c r="AB164" s="636"/>
      <c r="AC164" s="651"/>
    </row>
    <row r="165" spans="1:52" ht="30" customHeight="1">
      <c r="A165" s="854" t="s">
        <v>1148</v>
      </c>
      <c r="B165" s="884" t="str">
        <f>AI165</f>
        <v>A need-responsive politics</v>
      </c>
      <c r="C165" s="884"/>
      <c r="D165" s="884"/>
      <c r="E165" s="884"/>
      <c r="F165" s="884"/>
      <c r="G165" s="884"/>
      <c r="H165" s="884"/>
      <c r="I165" s="884"/>
      <c r="J165" s="884"/>
      <c r="K165" s="884"/>
      <c r="L165" s="884"/>
      <c r="M165" s="884"/>
      <c r="N165" s="865" t="s">
        <v>1149</v>
      </c>
      <c r="O165" s="860"/>
      <c r="P165" s="647"/>
      <c r="Q165" s="647"/>
      <c r="R165" s="647"/>
      <c r="S165" s="647"/>
      <c r="T165" s="647"/>
      <c r="U165" s="647"/>
      <c r="V165" s="647"/>
      <c r="W165" s="647"/>
      <c r="X165" s="647"/>
      <c r="Y165" s="647"/>
      <c r="Z165" s="647"/>
      <c r="AA165" s="647"/>
      <c r="AB165" s="650" t="s">
        <v>1149</v>
      </c>
      <c r="AC165" s="652"/>
      <c r="AI165" s="459" t="str">
        <f>CONCATENATE(AK165,AL165,AM165)</f>
        <v>A need-responsive politics</v>
      </c>
      <c r="AK165" s="2" t="s">
        <v>2075</v>
      </c>
      <c r="AL165" s="2" t="str">
        <f>IF(H115="","",CONCATENATE(D1300," "))</f>
        <v/>
      </c>
      <c r="AM165" s="2" t="s">
        <v>2076</v>
      </c>
    </row>
    <row r="166" spans="1:52" ht="10.050000000000001" customHeight="1">
      <c r="A166" s="853"/>
      <c r="B166" s="629"/>
      <c r="C166" s="629"/>
      <c r="D166" s="629"/>
      <c r="E166" s="629"/>
      <c r="F166" s="629"/>
      <c r="G166" s="629"/>
      <c r="H166" s="629"/>
      <c r="I166" s="629"/>
      <c r="J166" s="629"/>
      <c r="K166" s="629"/>
      <c r="L166" s="629"/>
      <c r="M166" s="629"/>
      <c r="N166" s="862"/>
      <c r="O166" s="629"/>
      <c r="P166" s="629"/>
      <c r="Q166" s="629"/>
      <c r="R166" s="629"/>
      <c r="S166" s="629"/>
      <c r="T166" s="629"/>
      <c r="U166" s="629"/>
      <c r="V166" s="629"/>
      <c r="W166" s="629"/>
      <c r="X166" s="629"/>
      <c r="Y166" s="629"/>
      <c r="Z166" s="629"/>
      <c r="AA166" s="629"/>
      <c r="AB166" s="630"/>
      <c r="AC166" s="652"/>
    </row>
    <row r="167" spans="1:52" ht="19.95" customHeight="1">
      <c r="A167" s="853"/>
      <c r="B167" s="706" t="str">
        <f>AI167</f>
        <v>Start with love by addressing each other's politics affected needs.</v>
      </c>
      <c r="C167" s="631"/>
      <c r="D167" s="631"/>
      <c r="E167" s="631"/>
      <c r="F167" s="631"/>
      <c r="G167" s="631"/>
      <c r="H167" s="631"/>
      <c r="I167" s="631"/>
      <c r="J167" s="631"/>
      <c r="K167" s="631"/>
      <c r="L167" s="631"/>
      <c r="M167" s="631"/>
      <c r="N167" s="862"/>
      <c r="O167" s="629"/>
      <c r="P167" s="629"/>
      <c r="Q167" s="629"/>
      <c r="R167" s="629"/>
      <c r="S167" s="629"/>
      <c r="T167" s="629"/>
      <c r="U167" s="629"/>
      <c r="V167" s="629"/>
      <c r="W167" s="629"/>
      <c r="X167" s="629"/>
      <c r="Y167" s="629"/>
      <c r="Z167" s="629"/>
      <c r="AA167" s="629"/>
      <c r="AB167" s="630"/>
      <c r="AC167" s="652"/>
      <c r="AI167" s="459" t="str">
        <f>CONCATENATE(AK167,AL167,AM167)</f>
        <v>Start with love by addressing each other's politics affected needs.</v>
      </c>
      <c r="AK167" s="465" t="s">
        <v>2615</v>
      </c>
      <c r="AL167" s="2" t="str">
        <f>IF(D1300="","politics",D1300)</f>
        <v>politics</v>
      </c>
      <c r="AM167" s="465" t="s">
        <v>2614</v>
      </c>
      <c r="AP167" s="465" t="s">
        <v>2598</v>
      </c>
      <c r="AQ167" s="2" t="str">
        <f>IF(I1300="","politics",I1300)</f>
        <v>politics</v>
      </c>
      <c r="AR167" s="465" t="s">
        <v>2599</v>
      </c>
    </row>
    <row r="168" spans="1:52" ht="4.95" customHeight="1">
      <c r="A168" s="853"/>
      <c r="B168" s="633"/>
      <c r="C168" s="633"/>
      <c r="D168" s="633"/>
      <c r="E168" s="633"/>
      <c r="F168" s="633"/>
      <c r="G168" s="633"/>
      <c r="H168" s="633"/>
      <c r="I168" s="633"/>
      <c r="J168" s="633"/>
      <c r="K168" s="633"/>
      <c r="L168" s="633"/>
      <c r="M168" s="633"/>
      <c r="N168" s="862"/>
      <c r="O168" s="629"/>
      <c r="P168" s="629"/>
      <c r="Q168" s="629"/>
      <c r="R168" s="629"/>
      <c r="S168" s="629"/>
      <c r="T168" s="629"/>
      <c r="U168" s="629"/>
      <c r="V168" s="629"/>
      <c r="W168" s="629"/>
      <c r="X168" s="629"/>
      <c r="Y168" s="629"/>
      <c r="Z168" s="629"/>
      <c r="AA168" s="629"/>
      <c r="AB168" s="630"/>
      <c r="AK168" s="607"/>
      <c r="AL168" s="607"/>
      <c r="AM168" s="607"/>
      <c r="AN168" s="607"/>
      <c r="AO168" s="607"/>
      <c r="AP168" s="607"/>
      <c r="AQ168" s="607"/>
      <c r="AR168" s="607"/>
      <c r="AS168" s="607"/>
      <c r="AT168" s="607"/>
      <c r="AU168" s="607"/>
      <c r="AV168" s="607"/>
      <c r="AW168" s="607"/>
      <c r="AX168" s="607"/>
      <c r="AY168" s="607"/>
    </row>
    <row r="169" spans="1:52" ht="19.95" customHeight="1">
      <c r="A169" s="855" t="s">
        <v>2077</v>
      </c>
      <c r="B169" s="632"/>
      <c r="C169" s="631"/>
      <c r="D169" s="631"/>
      <c r="E169" s="631"/>
      <c r="F169" s="631"/>
      <c r="G169" s="631"/>
      <c r="H169" s="631"/>
      <c r="I169" s="631"/>
      <c r="J169" s="631"/>
      <c r="K169" s="631"/>
      <c r="L169" s="631"/>
      <c r="M169" s="631"/>
      <c r="N169" s="862"/>
      <c r="O169" s="629"/>
      <c r="P169" s="629"/>
      <c r="Q169" s="629"/>
      <c r="R169" s="629"/>
      <c r="S169" s="629"/>
      <c r="T169" s="629"/>
      <c r="U169" s="629"/>
      <c r="V169" s="629"/>
      <c r="W169" s="629"/>
      <c r="X169" s="629"/>
      <c r="Y169" s="629"/>
      <c r="Z169" s="629"/>
      <c r="AA169" s="629"/>
      <c r="AB169" s="630"/>
      <c r="AK169" s="607">
        <v>1</v>
      </c>
      <c r="AL169" s="607">
        <v>2</v>
      </c>
      <c r="AM169" s="607">
        <v>3</v>
      </c>
      <c r="AN169" s="607">
        <v>4</v>
      </c>
      <c r="AO169" s="607">
        <v>5</v>
      </c>
      <c r="AP169" s="607">
        <v>6</v>
      </c>
      <c r="AQ169" s="607">
        <v>7</v>
      </c>
      <c r="AR169" s="607">
        <v>8</v>
      </c>
      <c r="AS169" s="607">
        <v>9</v>
      </c>
      <c r="AT169" s="607">
        <v>10</v>
      </c>
      <c r="AU169" s="607">
        <v>11</v>
      </c>
      <c r="AV169" s="607">
        <v>12</v>
      </c>
      <c r="AW169" s="607">
        <v>13</v>
      </c>
      <c r="AX169" s="607">
        <v>14</v>
      </c>
      <c r="AY169" s="607">
        <v>15</v>
      </c>
    </row>
    <row r="170" spans="1:52" ht="19.95" customHeight="1">
      <c r="A170" s="853"/>
      <c r="B170" s="1375" t="str">
        <f>AI170</f>
        <v>When it comes to politics, you need to focus more on what impacts your needs. Your situation in life creates a clashing priority of needs than experienced by those of the other political side. Your needs come first. They prioritize your political reasoning, for their relief.</v>
      </c>
      <c r="C170" s="1375"/>
      <c r="D170" s="1375"/>
      <c r="E170" s="1375"/>
      <c r="F170" s="1375"/>
      <c r="G170" s="1375"/>
      <c r="H170" s="1375"/>
      <c r="I170" s="1375"/>
      <c r="J170" s="1375"/>
      <c r="K170" s="1375"/>
      <c r="L170" s="1375"/>
      <c r="M170" s="1375"/>
      <c r="N170" s="862"/>
      <c r="O170" s="629"/>
      <c r="P170" s="629"/>
      <c r="Q170" s="629"/>
      <c r="R170" s="629"/>
      <c r="S170" s="629"/>
      <c r="T170" s="629"/>
      <c r="U170" s="629"/>
      <c r="V170" s="629"/>
      <c r="W170" s="629"/>
      <c r="X170" s="629"/>
      <c r="Y170" s="629"/>
      <c r="Z170" s="629"/>
      <c r="AA170" s="629"/>
      <c r="AB170" s="630"/>
      <c r="AI170" s="459" t="str">
        <f>IF(OR(H$115="",H$113=""),AK171,CONCATENATE(AK170,AL170,AM170,AN170,AO170,AP170,AQ170,AR170,AS170,AT170,AU170,AV170,AW170,AX170))</f>
        <v>When it comes to politics, you need to focus more on what impacts your needs. Your situation in life creates a clashing priority of needs than experienced by those of the other political side. Your needs come first. They prioritize your political reasoning, for their relief.</v>
      </c>
      <c r="AK170" s="465" t="s">
        <v>2082</v>
      </c>
      <c r="AL170" s="2" t="str">
        <f>IF(D1300="","politics",D1300)</f>
        <v>politics</v>
      </c>
      <c r="AM170" s="465" t="s">
        <v>2083</v>
      </c>
      <c r="AN170" s="703" t="str">
        <f>L1299</f>
        <v/>
      </c>
      <c r="AO170" s="465" t="s">
        <v>2084</v>
      </c>
      <c r="AP170" s="2" t="str">
        <f>P1299</f>
        <v/>
      </c>
      <c r="AQ170" s="465" t="s">
        <v>2085</v>
      </c>
      <c r="AR170" s="2" t="str">
        <f>AN170</f>
        <v/>
      </c>
      <c r="AS170" s="465" t="s">
        <v>2089</v>
      </c>
      <c r="AT170" s="465" t="str">
        <f>IF(AU170=I1308,"an ","a ")</f>
        <v xml:space="preserve">a </v>
      </c>
      <c r="AU170" s="2" t="str">
        <f>H1299</f>
        <v/>
      </c>
      <c r="AV170" s="465" t="s">
        <v>2486</v>
      </c>
      <c r="AX170" s="465"/>
      <c r="AZ170" s="465"/>
    </row>
    <row r="171" spans="1:52" ht="19.95" customHeight="1">
      <c r="A171" s="853"/>
      <c r="B171" s="1375"/>
      <c r="C171" s="1375"/>
      <c r="D171" s="1375"/>
      <c r="E171" s="1375"/>
      <c r="F171" s="1375"/>
      <c r="G171" s="1375"/>
      <c r="H171" s="1375"/>
      <c r="I171" s="1375"/>
      <c r="J171" s="1375"/>
      <c r="K171" s="1375"/>
      <c r="L171" s="1375"/>
      <c r="M171" s="1375"/>
      <c r="N171" s="862"/>
      <c r="O171" s="629"/>
      <c r="P171" s="629"/>
      <c r="Q171" s="629"/>
      <c r="R171" s="629"/>
      <c r="S171" s="629"/>
      <c r="T171" s="629"/>
      <c r="U171" s="629"/>
      <c r="V171" s="629"/>
      <c r="W171" s="629"/>
      <c r="X171" s="629"/>
      <c r="Y171" s="629"/>
      <c r="Z171" s="629"/>
      <c r="AA171" s="629"/>
      <c r="AB171" s="630"/>
      <c r="AK171" s="734" t="s">
        <v>3172</v>
      </c>
    </row>
    <row r="172" spans="1:52" ht="19.95" customHeight="1">
      <c r="A172" s="853"/>
      <c r="B172" s="1375"/>
      <c r="C172" s="1375"/>
      <c r="D172" s="1375"/>
      <c r="E172" s="1375"/>
      <c r="F172" s="1375"/>
      <c r="G172" s="1375"/>
      <c r="H172" s="1375"/>
      <c r="I172" s="1375"/>
      <c r="J172" s="1375"/>
      <c r="K172" s="1375"/>
      <c r="L172" s="1375"/>
      <c r="M172" s="1375"/>
      <c r="N172" s="862"/>
      <c r="O172" s="629"/>
      <c r="P172" s="629"/>
      <c r="Q172" s="629"/>
      <c r="R172" s="629"/>
      <c r="S172" s="629"/>
      <c r="T172" s="629"/>
      <c r="U172" s="629"/>
      <c r="V172" s="629"/>
      <c r="W172" s="629"/>
      <c r="X172" s="629"/>
      <c r="Y172" s="629"/>
      <c r="Z172" s="629"/>
      <c r="AA172" s="629"/>
      <c r="AB172" s="630"/>
    </row>
    <row r="173" spans="1:52" ht="34.950000000000003" customHeight="1">
      <c r="A173" s="853"/>
      <c r="B173" s="1375"/>
      <c r="C173" s="1375"/>
      <c r="D173" s="1375"/>
      <c r="E173" s="1375"/>
      <c r="F173" s="1375"/>
      <c r="G173" s="1375"/>
      <c r="H173" s="1375"/>
      <c r="I173" s="1375"/>
      <c r="J173" s="1375"/>
      <c r="K173" s="1375"/>
      <c r="L173" s="1375"/>
      <c r="M173" s="1375"/>
      <c r="N173" s="862"/>
      <c r="O173" s="629"/>
      <c r="P173" s="629"/>
      <c r="Q173" s="629"/>
      <c r="R173" s="629"/>
      <c r="S173" s="629"/>
      <c r="T173" s="629"/>
      <c r="U173" s="629"/>
      <c r="V173" s="629"/>
      <c r="W173" s="629"/>
      <c r="X173" s="629"/>
      <c r="Y173" s="629"/>
      <c r="Z173" s="629"/>
      <c r="AA173" s="629"/>
      <c r="AB173" s="630"/>
    </row>
    <row r="174" spans="1:52" ht="19.95" customHeight="1">
      <c r="A174" s="853"/>
      <c r="B174" s="667"/>
      <c r="C174" s="667"/>
      <c r="D174" s="667"/>
      <c r="E174" s="667"/>
      <c r="F174" s="667"/>
      <c r="G174" s="667"/>
      <c r="H174" s="667"/>
      <c r="I174" s="667"/>
      <c r="J174" s="667"/>
      <c r="K174" s="667"/>
      <c r="L174" s="667"/>
      <c r="M174" s="667"/>
      <c r="N174" s="862"/>
      <c r="O174" s="629"/>
      <c r="P174" s="629"/>
      <c r="Q174" s="629"/>
      <c r="R174" s="629"/>
      <c r="S174" s="629"/>
      <c r="T174" s="629"/>
      <c r="U174" s="629"/>
      <c r="V174" s="629"/>
      <c r="W174" s="629"/>
      <c r="X174" s="629"/>
      <c r="Y174" s="629"/>
      <c r="Z174" s="629"/>
      <c r="AA174" s="629"/>
      <c r="AB174" s="630"/>
    </row>
    <row r="175" spans="1:52" ht="18" customHeight="1">
      <c r="A175" s="853"/>
      <c r="B175" s="1391" t="str">
        <f>AI175</f>
        <v>First, you need something they may eventually need.</v>
      </c>
      <c r="C175" s="1391"/>
      <c r="D175" s="1391"/>
      <c r="E175" s="1391"/>
      <c r="F175" s="667"/>
      <c r="G175" s="667"/>
      <c r="H175" s="667"/>
      <c r="I175" s="667"/>
      <c r="J175" s="1391" t="str">
        <f>AI178</f>
        <v>First, they need something you may eventually need.</v>
      </c>
      <c r="K175" s="1391"/>
      <c r="L175" s="1391"/>
      <c r="M175" s="1391"/>
      <c r="N175" s="862"/>
      <c r="O175" s="629"/>
      <c r="P175" s="629"/>
      <c r="Q175" s="629"/>
      <c r="R175" s="629"/>
      <c r="S175" s="629"/>
      <c r="T175" s="629"/>
      <c r="U175" s="629"/>
      <c r="V175" s="629"/>
      <c r="W175" s="629"/>
      <c r="X175" s="629"/>
      <c r="Y175" s="629"/>
      <c r="Z175" s="629"/>
      <c r="AA175" s="629"/>
      <c r="AB175" s="630"/>
      <c r="AI175" s="459" t="str">
        <f>IF(OR(H$113="",H$115=""),AQ175,CONCATENATE(AK175,AL175,AM175,AN175,AO175))</f>
        <v>First, you need something they may eventually need.</v>
      </c>
      <c r="AK175" s="465" t="s">
        <v>3162</v>
      </c>
      <c r="AL175" s="2" t="str">
        <f>L$1299</f>
        <v/>
      </c>
      <c r="AM175" s="466" t="s">
        <v>3163</v>
      </c>
      <c r="AN175" s="2" t="str">
        <f>P$1299</f>
        <v/>
      </c>
      <c r="AO175" s="465" t="s">
        <v>706</v>
      </c>
      <c r="AQ175" s="465" t="s">
        <v>3168</v>
      </c>
    </row>
    <row r="176" spans="1:52" ht="18" customHeight="1">
      <c r="A176" s="853"/>
      <c r="B176" s="1391"/>
      <c r="C176" s="1391"/>
      <c r="D176" s="1391"/>
      <c r="E176" s="1391"/>
      <c r="F176" s="667"/>
      <c r="G176" s="667"/>
      <c r="H176" s="667"/>
      <c r="I176" s="667"/>
      <c r="J176" s="1391"/>
      <c r="K176" s="1391"/>
      <c r="L176" s="1391"/>
      <c r="M176" s="1391"/>
      <c r="N176" s="862"/>
      <c r="O176" s="629"/>
      <c r="P176" s="629"/>
      <c r="Q176" s="629"/>
      <c r="R176" s="629"/>
      <c r="S176" s="629"/>
      <c r="T176" s="629"/>
      <c r="U176" s="629"/>
      <c r="V176" s="629"/>
      <c r="W176" s="629"/>
      <c r="X176" s="629"/>
      <c r="Y176" s="629"/>
      <c r="Z176" s="629"/>
      <c r="AA176" s="629"/>
      <c r="AB176" s="630"/>
      <c r="AI176" s="459" t="str">
        <f>IF(OR(H$113="",H$115=""),AQ176,CONCATENATE(AK176,AL176,AM176,AN176,AO176))</f>
        <v>You're too busy easing your pain to see their affected needs.</v>
      </c>
      <c r="AK176" s="465" t="s">
        <v>3165</v>
      </c>
      <c r="AL176" s="2" t="str">
        <f>H$1299</f>
        <v/>
      </c>
      <c r="AM176" s="465" t="s">
        <v>3160</v>
      </c>
      <c r="AO176" s="465"/>
      <c r="AQ176" s="465" t="s">
        <v>3169</v>
      </c>
    </row>
    <row r="177" spans="1:52" ht="18" customHeight="1" thickBot="1">
      <c r="A177" s="853"/>
      <c r="B177" s="1392"/>
      <c r="C177" s="1392"/>
      <c r="D177" s="1392"/>
      <c r="E177" s="1392"/>
      <c r="F177" s="668"/>
      <c r="G177" s="668"/>
      <c r="H177" s="668"/>
      <c r="I177" s="668"/>
      <c r="J177" s="1392"/>
      <c r="K177" s="1392"/>
      <c r="L177" s="1392"/>
      <c r="M177" s="1392"/>
      <c r="N177" s="862"/>
      <c r="O177" s="629"/>
      <c r="P177" s="629"/>
      <c r="Q177" s="629"/>
      <c r="R177" s="629"/>
      <c r="S177" s="629"/>
      <c r="T177" s="629"/>
      <c r="U177" s="629"/>
      <c r="V177" s="629"/>
      <c r="W177" s="629"/>
      <c r="X177" s="629"/>
      <c r="Y177" s="629"/>
      <c r="Z177" s="629"/>
      <c r="AA177" s="629"/>
      <c r="AB177" s="630"/>
    </row>
    <row r="178" spans="1:52" ht="18" customHeight="1" thickTop="1">
      <c r="A178" s="853"/>
      <c r="B178" s="1393" t="str">
        <f>AI176</f>
        <v>You're too busy easing your pain to see their affected needs.</v>
      </c>
      <c r="C178" s="1393"/>
      <c r="D178" s="1393"/>
      <c r="E178" s="1393"/>
      <c r="F178" s="655"/>
      <c r="G178" s="655"/>
      <c r="H178" s="655"/>
      <c r="I178" s="655"/>
      <c r="J178" s="1393" t="str">
        <f>AI179</f>
        <v>They're too busy easing their pain to see your affected needs.</v>
      </c>
      <c r="K178" s="1393"/>
      <c r="L178" s="1393"/>
      <c r="M178" s="1393"/>
      <c r="N178" s="862"/>
      <c r="O178" s="629"/>
      <c r="P178" s="629"/>
      <c r="Q178" s="629"/>
      <c r="R178" s="629"/>
      <c r="S178" s="629"/>
      <c r="T178" s="629"/>
      <c r="U178" s="629"/>
      <c r="V178" s="629"/>
      <c r="W178" s="629"/>
      <c r="X178" s="629"/>
      <c r="Y178" s="629"/>
      <c r="Z178" s="629"/>
      <c r="AA178" s="629"/>
      <c r="AB178" s="630"/>
      <c r="AI178" s="459" t="str">
        <f>IF(OR(H$113="",H$115=""),AQ178,CONCATENATE(AK178,AL178,AM178,AN178,AO178))</f>
        <v>First, they need something you may eventually need.</v>
      </c>
      <c r="AK178" s="465" t="s">
        <v>3164</v>
      </c>
      <c r="AL178" s="2" t="str">
        <f>M$1299</f>
        <v/>
      </c>
      <c r="AM178" s="466" t="s">
        <v>3163</v>
      </c>
      <c r="AN178" s="2" t="str">
        <f>Q$1299</f>
        <v/>
      </c>
      <c r="AO178" s="465" t="s">
        <v>706</v>
      </c>
      <c r="AQ178" s="465" t="s">
        <v>3167</v>
      </c>
    </row>
    <row r="179" spans="1:52" ht="18" customHeight="1">
      <c r="A179" s="853"/>
      <c r="B179" s="1393"/>
      <c r="C179" s="1393"/>
      <c r="D179" s="1393"/>
      <c r="E179" s="1393"/>
      <c r="F179" s="655"/>
      <c r="G179" s="655"/>
      <c r="H179" s="655"/>
      <c r="I179" s="655"/>
      <c r="J179" s="1393"/>
      <c r="K179" s="1393"/>
      <c r="L179" s="1393"/>
      <c r="M179" s="1393"/>
      <c r="N179" s="862"/>
      <c r="O179" s="629"/>
      <c r="P179" s="629"/>
      <c r="Q179" s="629"/>
      <c r="R179" s="629"/>
      <c r="S179" s="629"/>
      <c r="T179" s="629"/>
      <c r="U179" s="629"/>
      <c r="V179" s="629"/>
      <c r="W179" s="629"/>
      <c r="X179" s="629"/>
      <c r="Y179" s="629"/>
      <c r="Z179" s="629"/>
      <c r="AA179" s="629"/>
      <c r="AB179" s="630"/>
      <c r="AI179" s="459" t="str">
        <f>IF(OR(H$113="",H$115=""),AQ179,CONCATENATE(AK179,AL179,AM179,AN179,AO179))</f>
        <v>They're too busy easing their pain to see your affected needs.</v>
      </c>
      <c r="AK179" s="465" t="s">
        <v>3165</v>
      </c>
      <c r="AL179" s="2" t="str">
        <f>I$1299</f>
        <v/>
      </c>
      <c r="AM179" s="465" t="s">
        <v>3161</v>
      </c>
      <c r="AO179" s="465"/>
      <c r="AQ179" s="465" t="s">
        <v>3170</v>
      </c>
    </row>
    <row r="180" spans="1:52" ht="18" customHeight="1">
      <c r="A180" s="853"/>
      <c r="B180" s="1393"/>
      <c r="C180" s="1393"/>
      <c r="D180" s="1393"/>
      <c r="E180" s="1393"/>
      <c r="F180" s="655"/>
      <c r="G180" s="655"/>
      <c r="H180" s="655"/>
      <c r="I180" s="655"/>
      <c r="J180" s="1393"/>
      <c r="K180" s="1393"/>
      <c r="L180" s="1393"/>
      <c r="M180" s="1393"/>
      <c r="N180" s="862"/>
      <c r="O180" s="629"/>
      <c r="P180" s="629"/>
      <c r="Q180" s="629"/>
      <c r="R180" s="629"/>
      <c r="S180" s="629"/>
      <c r="T180" s="629"/>
      <c r="U180" s="629"/>
      <c r="V180" s="629"/>
      <c r="W180" s="629"/>
      <c r="X180" s="629"/>
      <c r="Y180" s="629"/>
      <c r="Z180" s="629"/>
      <c r="AA180" s="629"/>
      <c r="AB180" s="630"/>
    </row>
    <row r="181" spans="1:52" ht="19.95" customHeight="1">
      <c r="A181" s="853"/>
      <c r="B181" s="655"/>
      <c r="C181" s="655"/>
      <c r="D181" s="655"/>
      <c r="E181" s="655"/>
      <c r="F181" s="655"/>
      <c r="G181" s="655"/>
      <c r="H181" s="655"/>
      <c r="I181" s="655"/>
      <c r="J181" s="655"/>
      <c r="K181" s="655"/>
      <c r="L181" s="655"/>
      <c r="M181" s="655"/>
      <c r="N181" s="862"/>
      <c r="O181" s="629"/>
      <c r="P181" s="629"/>
      <c r="Q181" s="629"/>
      <c r="R181" s="629"/>
      <c r="S181" s="629"/>
      <c r="T181" s="629"/>
      <c r="U181" s="629"/>
      <c r="V181" s="629"/>
      <c r="W181" s="629"/>
      <c r="X181" s="629"/>
      <c r="Y181" s="629"/>
      <c r="Z181" s="629"/>
      <c r="AA181" s="629"/>
      <c r="AB181" s="630"/>
    </row>
    <row r="182" spans="1:52" ht="4.95" customHeight="1">
      <c r="A182" s="853"/>
      <c r="B182" s="631"/>
      <c r="C182" s="631"/>
      <c r="D182" s="631"/>
      <c r="E182" s="631"/>
      <c r="F182" s="631"/>
      <c r="G182" s="631"/>
      <c r="H182" s="631"/>
      <c r="I182" s="631"/>
      <c r="J182" s="631"/>
      <c r="K182" s="631"/>
      <c r="L182" s="631"/>
      <c r="M182" s="631"/>
      <c r="N182" s="862"/>
      <c r="O182" s="629"/>
      <c r="P182" s="629"/>
      <c r="Q182" s="629"/>
      <c r="R182" s="629"/>
      <c r="S182" s="629"/>
      <c r="T182" s="629"/>
      <c r="U182" s="629"/>
      <c r="V182" s="629"/>
      <c r="W182" s="629"/>
      <c r="X182" s="629"/>
      <c r="Y182" s="629"/>
      <c r="Z182" s="629"/>
      <c r="AA182" s="629"/>
      <c r="AB182" s="630"/>
      <c r="AI182" s="37" t="str">
        <f>CONCATENATE(AK182,AL182,AM182,AN182)</f>
        <v/>
      </c>
    </row>
    <row r="183" spans="1:52" ht="19.95" customHeight="1">
      <c r="A183" s="855" t="s">
        <v>2078</v>
      </c>
      <c r="B183" s="632"/>
      <c r="C183" s="631"/>
      <c r="D183" s="631"/>
      <c r="E183" s="631"/>
      <c r="F183" s="631"/>
      <c r="G183" s="631"/>
      <c r="H183" s="631"/>
      <c r="I183" s="631"/>
      <c r="J183" s="631"/>
      <c r="K183" s="631"/>
      <c r="L183" s="631"/>
      <c r="M183" s="631"/>
      <c r="N183" s="862"/>
      <c r="O183" s="629"/>
      <c r="P183" s="629"/>
      <c r="Q183" s="629"/>
      <c r="R183" s="629"/>
      <c r="S183" s="629"/>
      <c r="T183" s="629"/>
      <c r="U183" s="629"/>
      <c r="V183" s="629"/>
      <c r="W183" s="629"/>
      <c r="X183" s="629"/>
      <c r="Y183" s="629"/>
      <c r="Z183" s="629"/>
      <c r="AA183" s="629"/>
      <c r="AB183" s="630"/>
    </row>
    <row r="184" spans="1:52" ht="19.95" customHeight="1">
      <c r="A184" s="853"/>
      <c r="B184" s="1375" t="str">
        <f>AI184</f>
        <v>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v>
      </c>
      <c r="C184" s="1375"/>
      <c r="D184" s="1375"/>
      <c r="E184" s="1375"/>
      <c r="F184" s="1375"/>
      <c r="G184" s="1375"/>
      <c r="H184" s="1375"/>
      <c r="I184" s="1375"/>
      <c r="J184" s="1375"/>
      <c r="K184" s="1375"/>
      <c r="L184" s="1375"/>
      <c r="M184" s="1375"/>
      <c r="N184" s="862"/>
      <c r="O184" s="629"/>
      <c r="P184" s="629"/>
      <c r="Q184" s="629"/>
      <c r="R184" s="629"/>
      <c r="S184" s="629"/>
      <c r="T184" s="629"/>
      <c r="U184" s="629"/>
      <c r="V184" s="629"/>
      <c r="W184" s="629"/>
      <c r="X184" s="629"/>
      <c r="Y184" s="629"/>
      <c r="Z184" s="629"/>
      <c r="AA184" s="629"/>
      <c r="AB184" s="630"/>
      <c r="AI184" s="459" t="str">
        <f>IF(OR(H$113="",H$115=""),AK185,CONCATENATE(AK184,AL184,AM184,AN184,AO184,AP184,AQ184,AR184,AS184,AT184,AU184,AV184,AW184,AX184))</f>
        <v>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v>
      </c>
      <c r="AK184" s="465" t="s">
        <v>2087</v>
      </c>
      <c r="AL184" s="2" t="str">
        <f>M1299</f>
        <v/>
      </c>
      <c r="AM184" s="465" t="s">
        <v>2084</v>
      </c>
      <c r="AN184" s="2" t="str">
        <f>Q1299</f>
        <v/>
      </c>
      <c r="AO184" s="465" t="s">
        <v>2088</v>
      </c>
      <c r="AP184" s="465" t="str">
        <f>IF(AQ184=I1308," an "," a ")</f>
        <v xml:space="preserve"> a </v>
      </c>
      <c r="AQ184" s="2" t="str">
        <f>I1299</f>
        <v/>
      </c>
      <c r="AR184" s="465" t="s">
        <v>1667</v>
      </c>
      <c r="AS184" s="2" t="str">
        <f>D1300</f>
        <v/>
      </c>
      <c r="AT184" s="465" t="s">
        <v>2086</v>
      </c>
      <c r="AV184" s="465"/>
      <c r="AX184" s="465"/>
      <c r="AZ184" s="465"/>
    </row>
    <row r="185" spans="1:52" ht="19.95" customHeight="1">
      <c r="A185" s="853"/>
      <c r="B185" s="1375"/>
      <c r="C185" s="1375"/>
      <c r="D185" s="1375"/>
      <c r="E185" s="1375"/>
      <c r="F185" s="1375"/>
      <c r="G185" s="1375"/>
      <c r="H185" s="1375"/>
      <c r="I185" s="1375"/>
      <c r="J185" s="1375"/>
      <c r="K185" s="1375"/>
      <c r="L185" s="1375"/>
      <c r="M185" s="1375"/>
      <c r="N185" s="862"/>
      <c r="O185" s="629"/>
      <c r="P185" s="629"/>
      <c r="Q185" s="629"/>
      <c r="R185" s="629"/>
      <c r="S185" s="629"/>
      <c r="T185" s="629"/>
      <c r="U185" s="629"/>
      <c r="V185" s="629"/>
      <c r="W185" s="629"/>
      <c r="X185" s="629"/>
      <c r="Y185" s="629"/>
      <c r="Z185" s="629"/>
      <c r="AA185" s="629"/>
      <c r="AB185" s="630"/>
      <c r="AK185" s="734" t="s">
        <v>3171</v>
      </c>
    </row>
    <row r="186" spans="1:52" ht="19.95" customHeight="1">
      <c r="A186" s="853"/>
      <c r="B186" s="1375"/>
      <c r="C186" s="1375"/>
      <c r="D186" s="1375"/>
      <c r="E186" s="1375"/>
      <c r="F186" s="1375"/>
      <c r="G186" s="1375"/>
      <c r="H186" s="1375"/>
      <c r="I186" s="1375"/>
      <c r="J186" s="1375"/>
      <c r="K186" s="1375"/>
      <c r="L186" s="1375"/>
      <c r="M186" s="1375"/>
      <c r="N186" s="862"/>
      <c r="O186" s="629"/>
      <c r="P186" s="629"/>
      <c r="Q186" s="629"/>
      <c r="R186" s="629"/>
      <c r="S186" s="629"/>
      <c r="T186" s="629"/>
      <c r="U186" s="629"/>
      <c r="V186" s="629"/>
      <c r="W186" s="629"/>
      <c r="X186" s="629"/>
      <c r="Y186" s="629"/>
      <c r="Z186" s="629"/>
      <c r="AA186" s="629"/>
      <c r="AB186" s="630"/>
    </row>
    <row r="187" spans="1:52" ht="19.95" customHeight="1">
      <c r="A187" s="853"/>
      <c r="B187" s="1375"/>
      <c r="C187" s="1375"/>
      <c r="D187" s="1375"/>
      <c r="E187" s="1375"/>
      <c r="F187" s="1375"/>
      <c r="G187" s="1375"/>
      <c r="H187" s="1375"/>
      <c r="I187" s="1375"/>
      <c r="J187" s="1375"/>
      <c r="K187" s="1375"/>
      <c r="L187" s="1375"/>
      <c r="M187" s="1375"/>
      <c r="N187" s="862"/>
      <c r="O187" s="629"/>
      <c r="P187" s="629"/>
      <c r="Q187" s="629"/>
      <c r="R187" s="629"/>
      <c r="S187" s="629"/>
      <c r="T187" s="629"/>
      <c r="U187" s="629"/>
      <c r="V187" s="629"/>
      <c r="W187" s="629"/>
      <c r="X187" s="629"/>
      <c r="Y187" s="629"/>
      <c r="Z187" s="629"/>
      <c r="AA187" s="629"/>
      <c r="AB187" s="630"/>
    </row>
    <row r="188" spans="1:52" ht="4.95" customHeight="1">
      <c r="A188" s="853"/>
      <c r="B188" s="655"/>
      <c r="C188" s="655"/>
      <c r="D188" s="655"/>
      <c r="E188" s="655"/>
      <c r="F188" s="655"/>
      <c r="G188" s="655"/>
      <c r="H188" s="655"/>
      <c r="I188" s="655"/>
      <c r="J188" s="655"/>
      <c r="K188" s="655"/>
      <c r="L188" s="655"/>
      <c r="M188" s="655"/>
      <c r="N188" s="862"/>
      <c r="O188" s="629"/>
      <c r="P188" s="629"/>
      <c r="Q188" s="629"/>
      <c r="R188" s="629"/>
      <c r="S188" s="629"/>
      <c r="T188" s="629"/>
      <c r="U188" s="629"/>
      <c r="V188" s="629"/>
      <c r="W188" s="629"/>
      <c r="X188" s="629"/>
      <c r="Y188" s="629"/>
      <c r="Z188" s="629"/>
      <c r="AA188" s="629"/>
      <c r="AB188" s="630"/>
    </row>
    <row r="189" spans="1:52" ht="18" customHeight="1">
      <c r="A189" s="853"/>
      <c r="B189" s="1394" t="str">
        <f>AI190</f>
        <v>Your publicly impacted inflexible needs</v>
      </c>
      <c r="C189" s="1394"/>
      <c r="D189" s="1394"/>
      <c r="E189" s="670"/>
      <c r="F189" s="670"/>
      <c r="G189" s="670"/>
      <c r="H189" s="670"/>
      <c r="I189" s="670"/>
      <c r="J189" s="670"/>
      <c r="K189" s="1394" t="str">
        <f>AI191</f>
        <v>Their publicly impacted inflexible needs</v>
      </c>
      <c r="L189" s="1394"/>
      <c r="M189" s="1394"/>
      <c r="N189" s="862"/>
      <c r="O189" s="629"/>
      <c r="P189" s="629"/>
      <c r="Q189" s="629"/>
      <c r="R189" s="629"/>
      <c r="S189" s="629"/>
      <c r="T189" s="629"/>
      <c r="U189" s="629"/>
      <c r="V189" s="629"/>
      <c r="W189" s="629"/>
      <c r="X189" s="629"/>
      <c r="Y189" s="629"/>
      <c r="Z189" s="629"/>
      <c r="AA189" s="629"/>
      <c r="AB189" s="630"/>
    </row>
    <row r="190" spans="1:52" ht="18" customHeight="1">
      <c r="A190" s="853"/>
      <c r="B190" s="1394"/>
      <c r="C190" s="1394"/>
      <c r="D190" s="1394"/>
      <c r="E190" s="670"/>
      <c r="F190" s="670"/>
      <c r="G190" s="670"/>
      <c r="H190" s="670"/>
      <c r="I190" s="670"/>
      <c r="J190" s="670"/>
      <c r="K190" s="1394"/>
      <c r="L190" s="1394"/>
      <c r="M190" s="1394"/>
      <c r="N190" s="862"/>
      <c r="O190" s="629"/>
      <c r="P190" s="629"/>
      <c r="Q190" s="629"/>
      <c r="R190" s="629"/>
      <c r="S190" s="629"/>
      <c r="T190" s="629"/>
      <c r="U190" s="629"/>
      <c r="V190" s="629"/>
      <c r="W190" s="629"/>
      <c r="X190" s="629"/>
      <c r="Y190" s="629"/>
      <c r="Z190" s="629"/>
      <c r="AA190" s="629"/>
      <c r="AB190" s="630"/>
      <c r="AI190" s="459" t="str">
        <f>CONCATENATE(AK190,AL190,AM190,AN190,AO190)</f>
        <v>Your publicly impacted inflexible needs</v>
      </c>
      <c r="AK190" s="465" t="s">
        <v>2464</v>
      </c>
      <c r="AL190" s="2" t="str">
        <f>IF($H$115="","inflexible",$D$1300)</f>
        <v>inflexible</v>
      </c>
      <c r="AM190" s="465" t="s">
        <v>2466</v>
      </c>
      <c r="AO190" s="465"/>
    </row>
    <row r="191" spans="1:52" ht="18" customHeight="1" thickBot="1">
      <c r="A191" s="853"/>
      <c r="B191" s="1395"/>
      <c r="C191" s="1395"/>
      <c r="D191" s="1395"/>
      <c r="E191" s="670"/>
      <c r="F191" s="670"/>
      <c r="G191" s="670"/>
      <c r="H191" s="670"/>
      <c r="I191" s="670"/>
      <c r="J191" s="670"/>
      <c r="K191" s="1395"/>
      <c r="L191" s="1395"/>
      <c r="M191" s="1395"/>
      <c r="N191" s="862"/>
      <c r="O191" s="629"/>
      <c r="P191" s="629"/>
      <c r="Q191" s="629"/>
      <c r="R191" s="629"/>
      <c r="S191" s="629"/>
      <c r="T191" s="629"/>
      <c r="U191" s="629"/>
      <c r="V191" s="629"/>
      <c r="W191" s="629"/>
      <c r="X191" s="629"/>
      <c r="Y191" s="629"/>
      <c r="Z191" s="629"/>
      <c r="AA191" s="629"/>
      <c r="AB191" s="630"/>
      <c r="AI191" s="459" t="str">
        <f>CONCATENATE(AK191,AL191,AM191,AN191,AO191)</f>
        <v>Their publicly impacted inflexible needs</v>
      </c>
      <c r="AK191" s="465" t="s">
        <v>2465</v>
      </c>
      <c r="AL191" s="2" t="str">
        <f>IF($H$115="","inflexible",$D$1300)</f>
        <v>inflexible</v>
      </c>
      <c r="AM191" s="465" t="s">
        <v>2466</v>
      </c>
      <c r="AO191" s="465"/>
    </row>
    <row r="192" spans="1:52" ht="18" customHeight="1" thickTop="1">
      <c r="A192" s="853"/>
      <c r="B192" s="1378" t="s">
        <v>2462</v>
      </c>
      <c r="C192" s="1378"/>
      <c r="D192" s="1378"/>
      <c r="E192" s="670"/>
      <c r="F192" s="670"/>
      <c r="G192" s="670"/>
      <c r="H192" s="670"/>
      <c r="I192" s="670"/>
      <c r="J192" s="670"/>
      <c r="K192" s="1378" t="s">
        <v>2463</v>
      </c>
      <c r="L192" s="1378"/>
      <c r="M192" s="1378"/>
      <c r="N192" s="862"/>
      <c r="O192" s="629"/>
      <c r="P192" s="629"/>
      <c r="Q192" s="629"/>
      <c r="R192" s="629"/>
      <c r="S192" s="629"/>
      <c r="T192" s="629"/>
      <c r="U192" s="629"/>
      <c r="V192" s="629"/>
      <c r="W192" s="629"/>
      <c r="X192" s="629"/>
      <c r="Y192" s="629"/>
      <c r="Z192" s="629"/>
      <c r="AA192" s="629"/>
      <c r="AB192" s="630"/>
    </row>
    <row r="193" spans="1:51" ht="18" customHeight="1">
      <c r="A193" s="853"/>
      <c r="B193" s="1379"/>
      <c r="C193" s="1379"/>
      <c r="D193" s="1379"/>
      <c r="E193" s="670"/>
      <c r="F193" s="670"/>
      <c r="G193" s="670"/>
      <c r="H193" s="670"/>
      <c r="I193" s="670"/>
      <c r="J193" s="670"/>
      <c r="K193" s="1379"/>
      <c r="L193" s="1379"/>
      <c r="M193" s="1379"/>
      <c r="N193" s="862"/>
      <c r="O193" s="629"/>
      <c r="P193" s="629"/>
      <c r="Q193" s="629"/>
      <c r="R193" s="629"/>
      <c r="S193" s="629"/>
      <c r="T193" s="629"/>
      <c r="U193" s="629"/>
      <c r="V193" s="629"/>
      <c r="W193" s="629"/>
      <c r="X193" s="629"/>
      <c r="Y193" s="629"/>
      <c r="Z193" s="629"/>
      <c r="AA193" s="629"/>
      <c r="AB193" s="630"/>
    </row>
    <row r="194" spans="1:51" ht="18" customHeight="1">
      <c r="A194" s="853"/>
      <c r="B194" s="1379"/>
      <c r="C194" s="1379"/>
      <c r="D194" s="1379"/>
      <c r="E194" s="670"/>
      <c r="F194" s="670"/>
      <c r="G194" s="670"/>
      <c r="H194" s="670"/>
      <c r="I194" s="670"/>
      <c r="J194" s="670"/>
      <c r="K194" s="1379"/>
      <c r="L194" s="1379"/>
      <c r="M194" s="1379"/>
      <c r="N194" s="862"/>
      <c r="O194" s="629"/>
      <c r="P194" s="629"/>
      <c r="Q194" s="629"/>
      <c r="R194" s="629"/>
      <c r="S194" s="629"/>
      <c r="T194" s="629"/>
      <c r="U194" s="629"/>
      <c r="V194" s="629"/>
      <c r="W194" s="629"/>
      <c r="X194" s="629"/>
      <c r="Y194" s="629"/>
      <c r="Z194" s="629"/>
      <c r="AA194" s="629"/>
      <c r="AB194" s="630"/>
    </row>
    <row r="195" spans="1:51" ht="4.95" customHeight="1">
      <c r="A195" s="853"/>
      <c r="B195" s="669"/>
      <c r="C195" s="669"/>
      <c r="D195" s="669"/>
      <c r="E195" s="669"/>
      <c r="F195" s="655"/>
      <c r="G195" s="655"/>
      <c r="H195" s="655"/>
      <c r="I195" s="655"/>
      <c r="J195" s="669"/>
      <c r="K195" s="669"/>
      <c r="L195" s="669"/>
      <c r="M195" s="669"/>
      <c r="N195" s="862"/>
      <c r="O195" s="629"/>
      <c r="P195" s="629"/>
      <c r="Q195" s="629"/>
      <c r="R195" s="629"/>
      <c r="S195" s="629"/>
      <c r="T195" s="629"/>
      <c r="U195" s="629"/>
      <c r="V195" s="629"/>
      <c r="W195" s="629"/>
      <c r="X195" s="629"/>
      <c r="Y195" s="629"/>
      <c r="Z195" s="629"/>
      <c r="AA195" s="629"/>
      <c r="AB195" s="630"/>
    </row>
    <row r="196" spans="1:51" ht="19.95" customHeight="1">
      <c r="A196" s="855" t="s">
        <v>2079</v>
      </c>
      <c r="B196" s="632"/>
      <c r="C196" s="631"/>
      <c r="D196" s="631"/>
      <c r="E196" s="631"/>
      <c r="F196" s="631"/>
      <c r="G196" s="631"/>
      <c r="H196" s="631"/>
      <c r="I196" s="631"/>
      <c r="J196" s="631"/>
      <c r="K196" s="631"/>
      <c r="L196" s="631"/>
      <c r="M196" s="631"/>
      <c r="N196" s="862"/>
      <c r="O196" s="629"/>
      <c r="P196" s="629"/>
      <c r="Q196" s="629"/>
      <c r="R196" s="629"/>
      <c r="S196" s="629"/>
      <c r="T196" s="629"/>
      <c r="U196" s="629"/>
      <c r="V196" s="629"/>
      <c r="W196" s="629"/>
      <c r="X196" s="629"/>
      <c r="Y196" s="629"/>
      <c r="Z196" s="629"/>
      <c r="AA196" s="629"/>
      <c r="AB196" s="630"/>
    </row>
    <row r="197" spans="1:51" ht="19.95" customHeight="1">
      <c r="A197" s="853"/>
      <c r="B197" s="1375" t="str">
        <f>AI197</f>
        <v>There is no good nor bad except for need. What appears bad for them seems bad to you. What seems good for them feels bad for you. The generalizing of divisive  politics easily abandons you in this painful zone of hostile differences. We cannot solve our specific problems from the level of generalizing that created them.</v>
      </c>
      <c r="C197" s="1375"/>
      <c r="D197" s="1375"/>
      <c r="E197" s="1375"/>
      <c r="F197" s="1375"/>
      <c r="G197" s="1375"/>
      <c r="H197" s="1375"/>
      <c r="I197" s="1375"/>
      <c r="J197" s="1375"/>
      <c r="K197" s="1375"/>
      <c r="L197" s="1375"/>
      <c r="M197" s="1375"/>
      <c r="N197" s="862"/>
      <c r="O197" s="629"/>
      <c r="P197" s="629"/>
      <c r="Q197" s="629"/>
      <c r="R197" s="629"/>
      <c r="S197" s="629"/>
      <c r="T197" s="629"/>
      <c r="U197" s="629"/>
      <c r="V197" s="629"/>
      <c r="W197" s="629"/>
      <c r="X197" s="629"/>
      <c r="Y197" s="629"/>
      <c r="Z197" s="629"/>
      <c r="AA197" s="629"/>
      <c r="AB197" s="630"/>
      <c r="AI197" s="459" t="str">
        <f>CONCATENATE(AK197,AL197,AM197,AN197,AO197)</f>
        <v>There is no good nor bad except for need. What appears bad for them seems bad to you. What seems good for them feels bad for you. The generalizing of divisive  politics easily abandons you in this painful zone of hostile differences. We cannot solve our specific problems from the level of generalizing that created them.</v>
      </c>
      <c r="AK197" s="465" t="s">
        <v>2090</v>
      </c>
      <c r="AL197" s="2" t="str">
        <f>D1300</f>
        <v/>
      </c>
      <c r="AM197" s="465" t="s">
        <v>2459</v>
      </c>
      <c r="AO197" s="465"/>
      <c r="AQ197" s="465"/>
      <c r="AS197" s="465"/>
      <c r="AU197" s="465"/>
      <c r="AW197" s="465"/>
      <c r="AY197" s="465"/>
    </row>
    <row r="198" spans="1:51" ht="19.95" customHeight="1">
      <c r="A198" s="853"/>
      <c r="B198" s="1375"/>
      <c r="C198" s="1375"/>
      <c r="D198" s="1375"/>
      <c r="E198" s="1375"/>
      <c r="F198" s="1375"/>
      <c r="G198" s="1375"/>
      <c r="H198" s="1375"/>
      <c r="I198" s="1375"/>
      <c r="J198" s="1375"/>
      <c r="K198" s="1375"/>
      <c r="L198" s="1375"/>
      <c r="M198" s="1375"/>
      <c r="N198" s="862"/>
      <c r="O198" s="629"/>
      <c r="P198" s="629"/>
      <c r="Q198" s="629"/>
      <c r="R198" s="629"/>
      <c r="S198" s="629"/>
      <c r="T198" s="629"/>
      <c r="U198" s="629"/>
      <c r="V198" s="629"/>
      <c r="W198" s="629"/>
      <c r="X198" s="629"/>
      <c r="Y198" s="629"/>
      <c r="Z198" s="629"/>
      <c r="AA198" s="629"/>
      <c r="AB198" s="630"/>
    </row>
    <row r="199" spans="1:51" ht="19.95" customHeight="1">
      <c r="A199" s="853"/>
      <c r="B199" s="1375"/>
      <c r="C199" s="1375"/>
      <c r="D199" s="1375"/>
      <c r="E199" s="1375"/>
      <c r="F199" s="1375"/>
      <c r="G199" s="1375"/>
      <c r="H199" s="1375"/>
      <c r="I199" s="1375"/>
      <c r="J199" s="1375"/>
      <c r="K199" s="1375"/>
      <c r="L199" s="1375"/>
      <c r="M199" s="1375"/>
      <c r="N199" s="862"/>
      <c r="O199" s="629"/>
      <c r="P199" s="629"/>
      <c r="Q199" s="629"/>
      <c r="R199" s="629"/>
      <c r="S199" s="629"/>
      <c r="T199" s="629"/>
      <c r="U199" s="629"/>
      <c r="V199" s="629"/>
      <c r="W199" s="629"/>
      <c r="X199" s="629"/>
      <c r="Y199" s="629"/>
      <c r="Z199" s="629"/>
      <c r="AA199" s="629"/>
      <c r="AB199" s="630"/>
    </row>
    <row r="200" spans="1:51" ht="30" customHeight="1">
      <c r="A200" s="853"/>
      <c r="B200" s="1375"/>
      <c r="C200" s="1375"/>
      <c r="D200" s="1375"/>
      <c r="E200" s="1375"/>
      <c r="F200" s="1375"/>
      <c r="G200" s="1375"/>
      <c r="H200" s="1375"/>
      <c r="I200" s="1375"/>
      <c r="J200" s="1375"/>
      <c r="K200" s="1375"/>
      <c r="L200" s="1375"/>
      <c r="M200" s="1375"/>
      <c r="N200" s="862"/>
      <c r="O200" s="629"/>
      <c r="P200" s="629"/>
      <c r="Q200" s="629"/>
      <c r="R200" s="629"/>
      <c r="S200" s="629"/>
      <c r="T200" s="629"/>
      <c r="U200" s="629"/>
      <c r="V200" s="629"/>
      <c r="W200" s="629"/>
      <c r="X200" s="629"/>
      <c r="Y200" s="629"/>
      <c r="Z200" s="629"/>
      <c r="AA200" s="629"/>
      <c r="AB200" s="630"/>
    </row>
    <row r="201" spans="1:51" ht="10.050000000000001" customHeight="1">
      <c r="A201" s="857"/>
      <c r="B201" s="635"/>
      <c r="C201" s="635"/>
      <c r="D201" s="635"/>
      <c r="E201" s="635"/>
      <c r="F201" s="635"/>
      <c r="G201" s="635"/>
      <c r="H201" s="635"/>
      <c r="I201" s="635"/>
      <c r="J201" s="635"/>
      <c r="K201" s="635"/>
      <c r="L201" s="635"/>
      <c r="M201" s="635"/>
      <c r="N201" s="867"/>
      <c r="O201" s="635"/>
      <c r="P201" s="635"/>
      <c r="Q201" s="635"/>
      <c r="R201" s="635"/>
      <c r="S201" s="635"/>
      <c r="T201" s="635"/>
      <c r="U201" s="635"/>
      <c r="V201" s="635"/>
      <c r="W201" s="635"/>
      <c r="X201" s="635"/>
      <c r="Y201" s="635"/>
      <c r="Z201" s="635"/>
      <c r="AA201" s="635"/>
      <c r="AB201" s="636"/>
    </row>
    <row r="202" spans="1:51" ht="30" customHeight="1">
      <c r="A202" s="854" t="s">
        <v>1148</v>
      </c>
      <c r="B202" s="884" t="s">
        <v>2080</v>
      </c>
      <c r="C202" s="884"/>
      <c r="D202" s="884"/>
      <c r="E202" s="884"/>
      <c r="F202" s="884"/>
      <c r="G202" s="884"/>
      <c r="H202" s="884"/>
      <c r="I202" s="884"/>
      <c r="J202" s="884"/>
      <c r="K202" s="884"/>
      <c r="L202" s="884"/>
      <c r="M202" s="884"/>
      <c r="N202" s="865" t="s">
        <v>1149</v>
      </c>
      <c r="O202" s="860"/>
      <c r="P202" s="647"/>
      <c r="Q202" s="647"/>
      <c r="R202" s="647"/>
      <c r="S202" s="647"/>
      <c r="T202" s="647"/>
      <c r="U202" s="647"/>
      <c r="V202" s="647"/>
      <c r="W202" s="647"/>
      <c r="X202" s="647"/>
      <c r="Y202" s="647"/>
      <c r="Z202" s="647"/>
      <c r="AA202" s="647"/>
      <c r="AB202" s="650" t="s">
        <v>1149</v>
      </c>
    </row>
    <row r="203" spans="1:51" ht="10.050000000000001" customHeight="1">
      <c r="A203" s="853"/>
      <c r="B203" s="629"/>
      <c r="C203" s="629"/>
      <c r="D203" s="629"/>
      <c r="E203" s="629"/>
      <c r="F203" s="629"/>
      <c r="G203" s="629"/>
      <c r="H203" s="629"/>
      <c r="I203" s="629"/>
      <c r="J203" s="629"/>
      <c r="K203" s="629"/>
      <c r="L203" s="629"/>
      <c r="M203" s="629"/>
      <c r="N203" s="862"/>
      <c r="O203" s="629"/>
      <c r="P203" s="629"/>
      <c r="Q203" s="629"/>
      <c r="R203" s="629"/>
      <c r="S203" s="629"/>
      <c r="T203" s="629"/>
      <c r="U203" s="629"/>
      <c r="V203" s="629"/>
      <c r="W203" s="629"/>
      <c r="X203" s="629"/>
      <c r="Y203" s="629"/>
      <c r="Z203" s="629"/>
      <c r="AA203" s="629"/>
      <c r="AB203" s="630"/>
    </row>
    <row r="204" spans="1:51" ht="19.95" customHeight="1">
      <c r="A204" s="853"/>
      <c r="B204" s="706" t="s">
        <v>2611</v>
      </c>
      <c r="C204" s="631"/>
      <c r="D204" s="631"/>
      <c r="E204" s="631"/>
      <c r="F204" s="631"/>
      <c r="G204" s="631"/>
      <c r="H204" s="631"/>
      <c r="I204" s="631"/>
      <c r="J204" s="631"/>
      <c r="K204" s="631"/>
      <c r="L204" s="631"/>
      <c r="M204" s="631"/>
      <c r="N204" s="862"/>
      <c r="O204" s="629"/>
      <c r="P204" s="629"/>
      <c r="Q204" s="629"/>
      <c r="R204" s="629"/>
      <c r="S204" s="629"/>
      <c r="T204" s="629"/>
      <c r="U204" s="629"/>
      <c r="V204" s="629"/>
      <c r="W204" s="629"/>
      <c r="X204" s="629"/>
      <c r="Y204" s="629"/>
      <c r="Z204" s="629"/>
      <c r="AA204" s="629"/>
      <c r="AB204" s="630"/>
      <c r="AK204" s="607">
        <v>1</v>
      </c>
      <c r="AL204" s="607">
        <v>2</v>
      </c>
      <c r="AM204" s="607">
        <v>3</v>
      </c>
      <c r="AN204" s="607">
        <v>4</v>
      </c>
      <c r="AO204" s="607">
        <v>5</v>
      </c>
      <c r="AP204" s="607">
        <v>6</v>
      </c>
      <c r="AQ204" s="607">
        <v>7</v>
      </c>
      <c r="AR204" s="607">
        <v>8</v>
      </c>
      <c r="AS204" s="607">
        <v>9</v>
      </c>
      <c r="AT204" s="607">
        <v>10</v>
      </c>
      <c r="AU204" s="607">
        <v>11</v>
      </c>
    </row>
    <row r="205" spans="1:51" ht="4.95" customHeight="1">
      <c r="A205" s="853"/>
      <c r="B205" s="631"/>
      <c r="C205" s="631"/>
      <c r="D205" s="631"/>
      <c r="E205" s="631"/>
      <c r="F205" s="631"/>
      <c r="G205" s="631"/>
      <c r="H205" s="631"/>
      <c r="I205" s="631"/>
      <c r="J205" s="631"/>
      <c r="K205" s="631"/>
      <c r="L205" s="631"/>
      <c r="M205" s="631"/>
      <c r="N205" s="862"/>
      <c r="O205" s="629"/>
      <c r="P205" s="629"/>
      <c r="Q205" s="629"/>
      <c r="R205" s="629"/>
      <c r="S205" s="629"/>
      <c r="T205" s="629"/>
      <c r="U205" s="629"/>
      <c r="V205" s="629"/>
      <c r="W205" s="629"/>
      <c r="X205" s="629"/>
      <c r="Y205" s="629"/>
      <c r="Z205" s="629"/>
      <c r="AA205" s="629"/>
      <c r="AB205" s="630"/>
    </row>
    <row r="206" spans="1:51" ht="19.95" customHeight="1">
      <c r="A206" s="858" t="s">
        <v>2091</v>
      </c>
      <c r="B206" s="632"/>
      <c r="C206" s="631"/>
      <c r="D206" s="631"/>
      <c r="E206" s="631"/>
      <c r="F206" s="631"/>
      <c r="G206" s="631"/>
      <c r="H206" s="631"/>
      <c r="I206" s="631"/>
      <c r="J206" s="631"/>
      <c r="K206" s="631"/>
      <c r="L206" s="631"/>
      <c r="M206" s="631"/>
      <c r="N206" s="862"/>
      <c r="O206" s="629"/>
      <c r="P206" s="629"/>
      <c r="Q206" s="629"/>
      <c r="R206" s="629"/>
      <c r="S206" s="629"/>
      <c r="T206" s="629"/>
      <c r="U206" s="629"/>
      <c r="V206" s="629"/>
      <c r="W206" s="629"/>
      <c r="X206" s="629"/>
      <c r="Y206" s="629"/>
      <c r="Z206" s="629"/>
      <c r="AA206" s="629"/>
      <c r="AB206" s="630"/>
    </row>
    <row r="207" spans="1:51" ht="19.95" customHeight="1">
      <c r="A207" s="853"/>
      <c r="B207" s="1375" t="str">
        <f>AI207</f>
        <v>Conventionally, the other side seems like a threat to your prioritized needs. The more you try to ease your needs one way, the more they try to ease theirs in the opposite direction. You both must serve a clashing priority of publicly affected needs. Political generalizing arrives after the fact. If it wasn't for your diverging priority of politicized needs, you likely wouldn't care about politics.</v>
      </c>
      <c r="C207" s="1375"/>
      <c r="D207" s="1375"/>
      <c r="E207" s="1375"/>
      <c r="F207" s="1375"/>
      <c r="G207" s="1375"/>
      <c r="H207" s="1375"/>
      <c r="I207" s="1375"/>
      <c r="J207" s="1375"/>
      <c r="K207" s="1375"/>
      <c r="L207" s="1375"/>
      <c r="M207" s="1375"/>
      <c r="N207" s="862"/>
      <c r="O207" s="629"/>
      <c r="P207" s="629"/>
      <c r="Q207" s="629"/>
      <c r="R207" s="629"/>
      <c r="S207" s="629"/>
      <c r="T207" s="629"/>
      <c r="U207" s="629"/>
      <c r="V207" s="629"/>
      <c r="W207" s="629"/>
      <c r="X207" s="629"/>
      <c r="Y207" s="629"/>
      <c r="Z207" s="629"/>
      <c r="AA207" s="629"/>
      <c r="AB207" s="630"/>
      <c r="AI207" s="459" t="str">
        <f>IF(OR(H$113="",H$115=""),AK208,CONCATENATE(AK207,AL207,AM207,AN207,AO207,AP207,AQ207,AR207,AS207,AT207,AU207,AV207,AW207,AX207))</f>
        <v>Conventionally, the other side seems like a threat to your prioritized needs. The more you try to ease your needs one way, the more they try to ease theirs in the opposite direction. You both must serve a clashing priority of publicly affected needs. Political generalizing arrives after the fact. If it wasn't for your diverging priority of politicized needs, you likely wouldn't care about politics.</v>
      </c>
      <c r="AK207" s="465" t="s">
        <v>2095</v>
      </c>
      <c r="AL207" s="2" t="str">
        <f>R1299</f>
        <v/>
      </c>
      <c r="AM207" s="465" t="s">
        <v>2096</v>
      </c>
      <c r="AN207" s="2" t="str">
        <f>S1299</f>
        <v/>
      </c>
      <c r="AO207" s="465" t="s">
        <v>2097</v>
      </c>
      <c r="AP207" s="2" t="str">
        <f>D1300</f>
        <v/>
      </c>
      <c r="AQ207" s="465" t="s">
        <v>2098</v>
      </c>
      <c r="AR207" s="2" t="str">
        <f>D1300</f>
        <v/>
      </c>
      <c r="AS207" s="465" t="s">
        <v>2099</v>
      </c>
      <c r="AT207" s="2" t="str">
        <f>D1300</f>
        <v/>
      </c>
      <c r="AU207" s="465" t="s">
        <v>979</v>
      </c>
    </row>
    <row r="208" spans="1:51" ht="19.95" customHeight="1">
      <c r="A208" s="853"/>
      <c r="B208" s="1375"/>
      <c r="C208" s="1375"/>
      <c r="D208" s="1375"/>
      <c r="E208" s="1375"/>
      <c r="F208" s="1375"/>
      <c r="G208" s="1375"/>
      <c r="H208" s="1375"/>
      <c r="I208" s="1375"/>
      <c r="J208" s="1375"/>
      <c r="K208" s="1375"/>
      <c r="L208" s="1375"/>
      <c r="M208" s="1375"/>
      <c r="N208" s="862"/>
      <c r="O208" s="629"/>
      <c r="P208" s="629"/>
      <c r="Q208" s="629"/>
      <c r="R208" s="629"/>
      <c r="S208" s="629"/>
      <c r="T208" s="629"/>
      <c r="U208" s="629"/>
      <c r="V208" s="629"/>
      <c r="W208" s="629"/>
      <c r="X208" s="629"/>
      <c r="Y208" s="629"/>
      <c r="Z208" s="629"/>
      <c r="AA208" s="629"/>
      <c r="AB208" s="630"/>
      <c r="AD208" s="651"/>
      <c r="AK208" s="734" t="s">
        <v>3174</v>
      </c>
    </row>
    <row r="209" spans="1:45" ht="19.95" customHeight="1">
      <c r="A209" s="853"/>
      <c r="B209" s="1375"/>
      <c r="C209" s="1375"/>
      <c r="D209" s="1375"/>
      <c r="E209" s="1375"/>
      <c r="F209" s="1375"/>
      <c r="G209" s="1375"/>
      <c r="H209" s="1375"/>
      <c r="I209" s="1375"/>
      <c r="J209" s="1375"/>
      <c r="K209" s="1375"/>
      <c r="L209" s="1375"/>
      <c r="M209" s="1375"/>
      <c r="N209" s="862"/>
      <c r="O209" s="629"/>
      <c r="P209" s="629"/>
      <c r="Q209" s="629"/>
      <c r="R209" s="629"/>
      <c r="S209" s="629"/>
      <c r="T209" s="629"/>
      <c r="U209" s="629"/>
      <c r="V209" s="629"/>
      <c r="W209" s="629"/>
      <c r="X209" s="629"/>
      <c r="Y209" s="629"/>
      <c r="Z209" s="629"/>
      <c r="AA209" s="629"/>
      <c r="AB209" s="630"/>
    </row>
    <row r="210" spans="1:45" ht="19.95" customHeight="1">
      <c r="A210" s="853"/>
      <c r="B210" s="1375"/>
      <c r="C210" s="1375"/>
      <c r="D210" s="1375"/>
      <c r="E210" s="1375"/>
      <c r="F210" s="1375"/>
      <c r="G210" s="1375"/>
      <c r="H210" s="1375"/>
      <c r="I210" s="1375"/>
      <c r="J210" s="1375"/>
      <c r="K210" s="1375"/>
      <c r="L210" s="1375"/>
      <c r="M210" s="1375"/>
      <c r="N210" s="862"/>
      <c r="O210" s="629"/>
      <c r="P210" s="629"/>
      <c r="Q210" s="629"/>
      <c r="R210" s="629"/>
      <c r="S210" s="629"/>
      <c r="T210" s="629"/>
      <c r="U210" s="629"/>
      <c r="V210" s="629"/>
      <c r="W210" s="629"/>
      <c r="X210" s="629"/>
      <c r="Y210" s="629"/>
      <c r="Z210" s="629"/>
      <c r="AA210" s="629"/>
      <c r="AB210" s="630"/>
    </row>
    <row r="211" spans="1:45" ht="19.95" customHeight="1">
      <c r="A211" s="853"/>
      <c r="B211" s="1375"/>
      <c r="C211" s="1375"/>
      <c r="D211" s="1375"/>
      <c r="E211" s="1375"/>
      <c r="F211" s="1375"/>
      <c r="G211" s="1375"/>
      <c r="H211" s="1375"/>
      <c r="I211" s="1375"/>
      <c r="J211" s="1375"/>
      <c r="K211" s="1375"/>
      <c r="L211" s="1375"/>
      <c r="M211" s="1375"/>
      <c r="N211" s="862"/>
      <c r="O211" s="629"/>
      <c r="P211" s="629"/>
      <c r="Q211" s="629"/>
      <c r="R211" s="629"/>
      <c r="S211" s="629"/>
      <c r="T211" s="629"/>
      <c r="U211" s="629"/>
      <c r="V211" s="629"/>
      <c r="W211" s="629"/>
      <c r="X211" s="629"/>
      <c r="Y211" s="629"/>
      <c r="Z211" s="629"/>
      <c r="AA211" s="629"/>
      <c r="AB211" s="630"/>
      <c r="AI211" s="673" t="s">
        <v>2487</v>
      </c>
    </row>
    <row r="212" spans="1:45" ht="19.95" customHeight="1">
      <c r="A212" s="853"/>
      <c r="B212" s="1375"/>
      <c r="C212" s="1375"/>
      <c r="D212" s="1375"/>
      <c r="E212" s="1375"/>
      <c r="F212" s="1375"/>
      <c r="G212" s="1375"/>
      <c r="H212" s="1375"/>
      <c r="I212" s="1375"/>
      <c r="J212" s="1375"/>
      <c r="K212" s="1375"/>
      <c r="L212" s="1375"/>
      <c r="M212" s="1375"/>
      <c r="N212" s="862"/>
      <c r="O212" s="629"/>
      <c r="P212" s="629"/>
      <c r="Q212" s="629"/>
      <c r="R212" s="629"/>
      <c r="S212" s="629"/>
      <c r="T212" s="629"/>
      <c r="U212" s="629"/>
      <c r="V212" s="629"/>
      <c r="W212" s="629"/>
      <c r="X212" s="629"/>
      <c r="Y212" s="629"/>
      <c r="Z212" s="629"/>
      <c r="AA212" s="629"/>
      <c r="AB212" s="630"/>
      <c r="AI212" s="459" t="str">
        <f>IF(OR(H$113="",H$115=""),AQ212,CONCATENATE(AK212,AL212,AM212,AN212,AO212))</f>
        <v>We must ensure everyone's needs are equally met through government oversight.</v>
      </c>
      <c r="AK212" s="465" t="s">
        <v>2489</v>
      </c>
      <c r="AL212" s="2" t="str">
        <f>$R$1300</f>
        <v/>
      </c>
      <c r="AM212" s="465" t="s">
        <v>1378</v>
      </c>
      <c r="AN212" s="2" t="str">
        <f>$AN$1300</f>
        <v/>
      </c>
      <c r="AO212" s="465" t="s">
        <v>706</v>
      </c>
      <c r="AQ212" s="734" t="s">
        <v>3176</v>
      </c>
    </row>
    <row r="213" spans="1:45" ht="19.95" customHeight="1">
      <c r="A213" s="853"/>
      <c r="B213" s="675"/>
      <c r="C213" s="675"/>
      <c r="D213" s="675"/>
      <c r="E213" s="675"/>
      <c r="F213" s="675"/>
      <c r="G213" s="675"/>
      <c r="H213" s="676"/>
      <c r="I213" s="676"/>
      <c r="J213" s="676"/>
      <c r="K213" s="676"/>
      <c r="L213" s="676"/>
      <c r="M213" s="676"/>
      <c r="N213" s="862"/>
      <c r="O213" s="629"/>
      <c r="P213" s="629"/>
      <c r="Q213" s="629"/>
      <c r="R213" s="629"/>
      <c r="S213" s="629"/>
      <c r="T213" s="629"/>
      <c r="U213" s="629"/>
      <c r="V213" s="629"/>
      <c r="W213" s="629"/>
      <c r="X213" s="629"/>
      <c r="Y213" s="629"/>
      <c r="Z213" s="629"/>
      <c r="AA213" s="629"/>
      <c r="AB213" s="630"/>
    </row>
    <row r="214" spans="1:45" ht="19.95" customHeight="1">
      <c r="A214" s="853"/>
      <c r="B214" s="675"/>
      <c r="C214" s="1376" t="str">
        <f>AI212</f>
        <v>We must ensure everyone's needs are equally met through government oversight.</v>
      </c>
      <c r="D214" s="1376"/>
      <c r="E214" s="1376"/>
      <c r="F214" s="1376"/>
      <c r="G214" s="675"/>
      <c r="H214" s="676"/>
      <c r="I214" s="1335" t="str">
        <f>AI215</f>
        <v>We must ensure everyone can freely live up to their full creative potential.</v>
      </c>
      <c r="J214" s="1335"/>
      <c r="K214" s="1335"/>
      <c r="L214" s="1335"/>
      <c r="M214" s="676"/>
      <c r="N214" s="862"/>
      <c r="O214" s="629"/>
      <c r="P214" s="629"/>
      <c r="Q214" s="629"/>
      <c r="R214" s="629"/>
      <c r="S214" s="629"/>
      <c r="T214" s="629"/>
      <c r="U214" s="629"/>
      <c r="V214" s="629"/>
      <c r="W214" s="629"/>
      <c r="X214" s="629"/>
      <c r="Y214" s="629"/>
      <c r="Z214" s="629"/>
      <c r="AA214" s="629"/>
      <c r="AB214" s="630"/>
      <c r="AI214" s="674" t="s">
        <v>2488</v>
      </c>
    </row>
    <row r="215" spans="1:45" ht="19.95" customHeight="1">
      <c r="A215" s="853"/>
      <c r="B215" s="675"/>
      <c r="C215" s="1376"/>
      <c r="D215" s="1376"/>
      <c r="E215" s="1376"/>
      <c r="F215" s="1376"/>
      <c r="G215" s="675"/>
      <c r="H215" s="676"/>
      <c r="I215" s="1335"/>
      <c r="J215" s="1335"/>
      <c r="K215" s="1335"/>
      <c r="L215" s="1335"/>
      <c r="M215" s="676"/>
      <c r="N215" s="862"/>
      <c r="O215" s="629"/>
      <c r="P215" s="629"/>
      <c r="Q215" s="629"/>
      <c r="R215" s="629"/>
      <c r="S215" s="629"/>
      <c r="T215" s="629"/>
      <c r="U215" s="629"/>
      <c r="V215" s="629"/>
      <c r="W215" s="629"/>
      <c r="X215" s="629"/>
      <c r="Y215" s="629"/>
      <c r="Z215" s="629"/>
      <c r="AA215" s="629"/>
      <c r="AB215" s="630"/>
      <c r="AI215" s="459" t="str">
        <f>IF(OR(H$113="",H$115=""),AQ215,CONCATENATE(AK215,AL215,AM215,AN215,AO215))</f>
        <v>We must ensure everyone can freely live up to their full creative potential.</v>
      </c>
      <c r="AK215" s="465" t="s">
        <v>2489</v>
      </c>
      <c r="AL215" s="2" t="str">
        <f>$S$1300</f>
        <v/>
      </c>
      <c r="AM215" s="465" t="s">
        <v>1378</v>
      </c>
      <c r="AN215" s="2" t="str">
        <f>$AO$1300</f>
        <v/>
      </c>
      <c r="AO215" s="465" t="s">
        <v>706</v>
      </c>
      <c r="AQ215" s="734" t="s">
        <v>3175</v>
      </c>
    </row>
    <row r="216" spans="1:45" ht="19.95" customHeight="1">
      <c r="A216" s="853"/>
      <c r="B216" s="675"/>
      <c r="C216" s="1376"/>
      <c r="D216" s="1376"/>
      <c r="E216" s="1376"/>
      <c r="F216" s="1376"/>
      <c r="G216" s="675"/>
      <c r="H216" s="676"/>
      <c r="I216" s="1335"/>
      <c r="J216" s="1335"/>
      <c r="K216" s="1335"/>
      <c r="L216" s="1335"/>
      <c r="M216" s="676"/>
      <c r="N216" s="862"/>
      <c r="O216" s="629"/>
      <c r="P216" s="629"/>
      <c r="Q216" s="629"/>
      <c r="R216" s="629"/>
      <c r="S216" s="629"/>
      <c r="T216" s="629"/>
      <c r="U216" s="629"/>
      <c r="V216" s="629"/>
      <c r="W216" s="629"/>
      <c r="X216" s="629"/>
      <c r="Y216" s="629"/>
      <c r="Z216" s="629"/>
      <c r="AA216" s="629"/>
      <c r="AB216" s="630"/>
    </row>
    <row r="217" spans="1:45" ht="19.95" customHeight="1">
      <c r="A217" s="853"/>
      <c r="B217" s="675"/>
      <c r="C217" s="1376"/>
      <c r="D217" s="1376"/>
      <c r="E217" s="1376"/>
      <c r="F217" s="1376"/>
      <c r="G217" s="675"/>
      <c r="H217" s="676"/>
      <c r="I217" s="1335"/>
      <c r="J217" s="1335"/>
      <c r="K217" s="1335"/>
      <c r="L217" s="1335"/>
      <c r="M217" s="676"/>
      <c r="N217" s="862"/>
      <c r="O217" s="629"/>
      <c r="P217" s="629"/>
      <c r="Q217" s="629"/>
      <c r="R217" s="629"/>
      <c r="S217" s="629"/>
      <c r="T217" s="629"/>
      <c r="U217" s="629"/>
      <c r="V217" s="629"/>
      <c r="W217" s="629"/>
      <c r="X217" s="629"/>
      <c r="Y217" s="629"/>
      <c r="Z217" s="629"/>
      <c r="AA217" s="629"/>
      <c r="AB217" s="630"/>
    </row>
    <row r="218" spans="1:45" ht="19.95" customHeight="1">
      <c r="A218" s="853"/>
      <c r="B218" s="675"/>
      <c r="C218" s="1376"/>
      <c r="D218" s="1376"/>
      <c r="E218" s="1376"/>
      <c r="F218" s="1376"/>
      <c r="G218" s="675"/>
      <c r="H218" s="676"/>
      <c r="I218" s="1335"/>
      <c r="J218" s="1335"/>
      <c r="K218" s="1335"/>
      <c r="L218" s="1335"/>
      <c r="M218" s="676"/>
      <c r="N218" s="862"/>
      <c r="O218" s="629"/>
      <c r="P218" s="629"/>
      <c r="Q218" s="629"/>
      <c r="R218" s="629"/>
      <c r="S218" s="629"/>
      <c r="T218" s="629"/>
      <c r="U218" s="629"/>
      <c r="V218" s="629"/>
      <c r="W218" s="629"/>
      <c r="X218" s="629"/>
      <c r="Y218" s="629"/>
      <c r="Z218" s="629"/>
      <c r="AA218" s="629"/>
      <c r="AB218" s="630"/>
    </row>
    <row r="219" spans="1:45" ht="19.95" customHeight="1">
      <c r="A219" s="853"/>
      <c r="B219" s="675"/>
      <c r="C219" s="1376"/>
      <c r="D219" s="1376"/>
      <c r="E219" s="1376"/>
      <c r="F219" s="1376"/>
      <c r="G219" s="675"/>
      <c r="H219" s="676"/>
      <c r="I219" s="1335"/>
      <c r="J219" s="1335"/>
      <c r="K219" s="1335"/>
      <c r="L219" s="1335"/>
      <c r="M219" s="676"/>
      <c r="N219" s="862"/>
      <c r="O219" s="629"/>
      <c r="P219" s="629"/>
      <c r="Q219" s="629"/>
      <c r="R219" s="629"/>
      <c r="S219" s="629"/>
      <c r="T219" s="629"/>
      <c r="U219" s="629"/>
      <c r="V219" s="629"/>
      <c r="W219" s="629"/>
      <c r="X219" s="629"/>
      <c r="Y219" s="629"/>
      <c r="Z219" s="629"/>
      <c r="AA219" s="629"/>
      <c r="AB219" s="630"/>
    </row>
    <row r="220" spans="1:45" ht="19.95" customHeight="1">
      <c r="A220" s="853"/>
      <c r="B220" s="675"/>
      <c r="C220" s="675"/>
      <c r="D220" s="675"/>
      <c r="E220" s="675"/>
      <c r="F220" s="675"/>
      <c r="G220" s="675"/>
      <c r="H220" s="676"/>
      <c r="I220" s="676"/>
      <c r="J220" s="676"/>
      <c r="K220" s="676"/>
      <c r="L220" s="676"/>
      <c r="M220" s="676"/>
      <c r="N220" s="862"/>
      <c r="O220" s="629"/>
      <c r="P220" s="629"/>
      <c r="Q220" s="629"/>
      <c r="R220" s="629"/>
      <c r="S220" s="629"/>
      <c r="T220" s="629"/>
      <c r="U220" s="629"/>
      <c r="V220" s="629"/>
      <c r="W220" s="629"/>
      <c r="X220" s="629"/>
      <c r="Y220" s="629"/>
      <c r="Z220" s="629"/>
      <c r="AA220" s="629"/>
      <c r="AB220" s="630"/>
    </row>
    <row r="221" spans="1:45" ht="4.95" customHeight="1">
      <c r="A221" s="853"/>
      <c r="B221" s="629"/>
      <c r="C221" s="629"/>
      <c r="D221" s="629"/>
      <c r="E221" s="629"/>
      <c r="F221" s="629"/>
      <c r="G221" s="629"/>
      <c r="H221" s="629"/>
      <c r="I221" s="629"/>
      <c r="J221" s="629"/>
      <c r="K221" s="629"/>
      <c r="L221" s="629"/>
      <c r="M221" s="629"/>
      <c r="N221" s="862"/>
      <c r="O221" s="629"/>
      <c r="P221" s="629"/>
      <c r="Q221" s="629"/>
      <c r="R221" s="629"/>
      <c r="S221" s="629"/>
      <c r="T221" s="629"/>
      <c r="U221" s="629"/>
      <c r="V221" s="629"/>
      <c r="W221" s="629"/>
      <c r="X221" s="629"/>
      <c r="Y221" s="629"/>
      <c r="Z221" s="629"/>
      <c r="AA221" s="629"/>
      <c r="AB221" s="630"/>
    </row>
    <row r="222" spans="1:45" ht="19.95" customHeight="1">
      <c r="A222" s="858" t="s">
        <v>2092</v>
      </c>
      <c r="B222" s="632"/>
      <c r="C222" s="629"/>
      <c r="D222" s="629"/>
      <c r="E222" s="629"/>
      <c r="F222" s="629"/>
      <c r="G222" s="629"/>
      <c r="H222" s="629"/>
      <c r="I222" s="629"/>
      <c r="J222" s="629"/>
      <c r="K222" s="629"/>
      <c r="L222" s="629"/>
      <c r="M222" s="629"/>
      <c r="N222" s="862"/>
      <c r="O222" s="629"/>
      <c r="P222" s="629"/>
      <c r="Q222" s="629"/>
      <c r="R222" s="629"/>
      <c r="S222" s="629"/>
      <c r="T222" s="629"/>
      <c r="U222" s="629"/>
      <c r="V222" s="629"/>
      <c r="W222" s="629"/>
      <c r="X222" s="629"/>
      <c r="Y222" s="629"/>
      <c r="Z222" s="629"/>
      <c r="AA222" s="629"/>
      <c r="AB222" s="630"/>
    </row>
    <row r="223" spans="1:45" ht="19.95" customHeight="1">
      <c r="A223" s="853"/>
      <c r="B223" s="1375" t="str">
        <f>AI223</f>
        <v>In the absence of a bridge for mutual respect, each side entertains extreme positions. You or someone on your side likely insists we go to one extreme. That easily provokes extreme elements on the other side. They insist we go in the opposite extreme, to serve their prioritized needs.</v>
      </c>
      <c r="C223" s="1375"/>
      <c r="D223" s="1375"/>
      <c r="E223" s="1375"/>
      <c r="F223" s="1375"/>
      <c r="G223" s="1375"/>
      <c r="H223" s="1375"/>
      <c r="I223" s="1375"/>
      <c r="J223" s="1375"/>
      <c r="K223" s="1375"/>
      <c r="L223" s="1375"/>
      <c r="M223" s="1375"/>
      <c r="N223" s="862"/>
      <c r="O223" s="629"/>
      <c r="P223" s="629"/>
      <c r="Q223" s="629"/>
      <c r="R223" s="629"/>
      <c r="S223" s="629"/>
      <c r="T223" s="629"/>
      <c r="U223" s="629"/>
      <c r="V223" s="629"/>
      <c r="W223" s="629"/>
      <c r="X223" s="629"/>
      <c r="Y223" s="629"/>
      <c r="Z223" s="629"/>
      <c r="AA223" s="629"/>
      <c r="AB223" s="630"/>
      <c r="AI223" s="459" t="str">
        <f>IF(OR(H$113="",H$115=""),AK224,CONCATENATE(AK223,AL223,AM223,AN223,AO223,AP223,AQ223,AR223,AS223,AT223,AU223,AV223,AW223,AX223))</f>
        <v>In the absence of a bridge for mutual respect, each side entertains extreme positions. You or someone on your side likely insists we go to one extreme. That easily provokes extreme elements on the other side. They insist we go in the opposite extreme, to serve their prioritized needs.</v>
      </c>
      <c r="AK223" s="465" t="s">
        <v>2100</v>
      </c>
      <c r="AL223" s="2" t="str">
        <f>D1300</f>
        <v/>
      </c>
      <c r="AM223" s="465" t="s">
        <v>2607</v>
      </c>
      <c r="AN223" s="2" t="str">
        <f>AN1299</f>
        <v/>
      </c>
      <c r="AO223" s="465" t="s">
        <v>2101</v>
      </c>
      <c r="AP223" s="2" t="str">
        <f>AO1299</f>
        <v/>
      </c>
      <c r="AQ223" s="465" t="s">
        <v>2102</v>
      </c>
      <c r="AR223" s="2" t="str">
        <f>D1300</f>
        <v/>
      </c>
      <c r="AS223" s="465" t="s">
        <v>1031</v>
      </c>
    </row>
    <row r="224" spans="1:45" ht="19.95" customHeight="1">
      <c r="A224" s="853"/>
      <c r="B224" s="1375"/>
      <c r="C224" s="1375"/>
      <c r="D224" s="1375"/>
      <c r="E224" s="1375"/>
      <c r="F224" s="1375"/>
      <c r="G224" s="1375"/>
      <c r="H224" s="1375"/>
      <c r="I224" s="1375"/>
      <c r="J224" s="1375"/>
      <c r="K224" s="1375"/>
      <c r="L224" s="1375"/>
      <c r="M224" s="1375"/>
      <c r="N224" s="862"/>
      <c r="O224" s="629"/>
      <c r="P224" s="629"/>
      <c r="Q224" s="629"/>
      <c r="R224" s="629"/>
      <c r="S224" s="629"/>
      <c r="T224" s="629"/>
      <c r="U224" s="629"/>
      <c r="V224" s="629"/>
      <c r="W224" s="629"/>
      <c r="X224" s="629"/>
      <c r="Y224" s="629"/>
      <c r="Z224" s="629"/>
      <c r="AA224" s="629"/>
      <c r="AB224" s="630"/>
      <c r="AK224" s="734" t="s">
        <v>3177</v>
      </c>
    </row>
    <row r="225" spans="1:45" ht="19.95" customHeight="1">
      <c r="A225" s="853"/>
      <c r="B225" s="1375"/>
      <c r="C225" s="1375"/>
      <c r="D225" s="1375"/>
      <c r="E225" s="1375"/>
      <c r="F225" s="1375"/>
      <c r="G225" s="1375"/>
      <c r="H225" s="1375"/>
      <c r="I225" s="1375"/>
      <c r="J225" s="1375"/>
      <c r="K225" s="1375"/>
      <c r="L225" s="1375"/>
      <c r="M225" s="1375"/>
      <c r="N225" s="862"/>
      <c r="O225" s="629"/>
      <c r="P225" s="629"/>
      <c r="Q225" s="629"/>
      <c r="R225" s="629"/>
      <c r="S225" s="629"/>
      <c r="T225" s="629"/>
      <c r="U225" s="629"/>
      <c r="V225" s="629"/>
      <c r="W225" s="629"/>
      <c r="X225" s="629"/>
      <c r="Y225" s="629"/>
      <c r="Z225" s="629"/>
      <c r="AA225" s="629"/>
      <c r="AB225" s="630"/>
    </row>
    <row r="226" spans="1:45" ht="19.95" customHeight="1">
      <c r="A226" s="853"/>
      <c r="B226" s="1375"/>
      <c r="C226" s="1375"/>
      <c r="D226" s="1375"/>
      <c r="E226" s="1375"/>
      <c r="F226" s="1375"/>
      <c r="G226" s="1375"/>
      <c r="H226" s="1375"/>
      <c r="I226" s="1375"/>
      <c r="J226" s="1375"/>
      <c r="K226" s="1375"/>
      <c r="L226" s="1375"/>
      <c r="M226" s="1375"/>
      <c r="N226" s="862"/>
      <c r="O226" s="629"/>
      <c r="P226" s="629"/>
      <c r="Q226" s="629"/>
      <c r="R226" s="629"/>
      <c r="S226" s="629"/>
      <c r="T226" s="629"/>
      <c r="U226" s="629"/>
      <c r="V226" s="629"/>
      <c r="W226" s="629"/>
      <c r="X226" s="629"/>
      <c r="Y226" s="629"/>
      <c r="Z226" s="629"/>
      <c r="AA226" s="629"/>
      <c r="AB226" s="630"/>
      <c r="AI226" s="37" t="str">
        <f>CONCATENATE(AK226,AL226,AM226,AN226)</f>
        <v/>
      </c>
    </row>
    <row r="227" spans="1:45" ht="19.95" customHeight="1">
      <c r="A227" s="853"/>
      <c r="B227" s="1375"/>
      <c r="C227" s="1375"/>
      <c r="D227" s="1375"/>
      <c r="E227" s="1375"/>
      <c r="F227" s="1375"/>
      <c r="G227" s="1375"/>
      <c r="H227" s="1375"/>
      <c r="I227" s="1375"/>
      <c r="J227" s="1375"/>
      <c r="K227" s="1375"/>
      <c r="L227" s="1375"/>
      <c r="M227" s="1375"/>
      <c r="N227" s="862"/>
      <c r="O227" s="629"/>
      <c r="P227" s="629"/>
      <c r="Q227" s="629"/>
      <c r="R227" s="629"/>
      <c r="S227" s="629"/>
      <c r="T227" s="629"/>
      <c r="U227" s="629"/>
      <c r="V227" s="629"/>
      <c r="W227" s="629"/>
      <c r="X227" s="629"/>
      <c r="Y227" s="629"/>
      <c r="Z227" s="629"/>
      <c r="AA227" s="629"/>
      <c r="AB227" s="630"/>
    </row>
    <row r="228" spans="1:45" ht="4.95" customHeight="1">
      <c r="A228" s="853"/>
      <c r="B228" s="629"/>
      <c r="C228" s="629"/>
      <c r="D228" s="629"/>
      <c r="E228" s="629"/>
      <c r="F228" s="629"/>
      <c r="G228" s="629"/>
      <c r="H228" s="629"/>
      <c r="I228" s="629"/>
      <c r="J228" s="629"/>
      <c r="K228" s="629"/>
      <c r="L228" s="629"/>
      <c r="M228" s="629"/>
      <c r="N228" s="862"/>
      <c r="O228" s="629"/>
      <c r="P228" s="629"/>
      <c r="Q228" s="629"/>
      <c r="R228" s="629"/>
      <c r="S228" s="629"/>
      <c r="T228" s="629"/>
      <c r="U228" s="629"/>
      <c r="V228" s="629"/>
      <c r="W228" s="629"/>
      <c r="X228" s="629"/>
      <c r="Y228" s="629"/>
      <c r="Z228" s="629"/>
      <c r="AA228" s="629"/>
      <c r="AB228" s="630"/>
    </row>
    <row r="229" spans="1:45" ht="19.95" customHeight="1">
      <c r="A229" s="858" t="s">
        <v>2093</v>
      </c>
      <c r="B229" s="632"/>
      <c r="C229" s="629"/>
      <c r="D229" s="629"/>
      <c r="E229" s="629"/>
      <c r="F229" s="629"/>
      <c r="G229" s="629"/>
      <c r="H229" s="629"/>
      <c r="I229" s="629"/>
      <c r="J229" s="629"/>
      <c r="K229" s="629"/>
      <c r="L229" s="629"/>
      <c r="M229" s="629"/>
      <c r="N229" s="862"/>
      <c r="O229" s="629"/>
      <c r="P229" s="629"/>
      <c r="Q229" s="629"/>
      <c r="R229" s="629"/>
      <c r="S229" s="629"/>
      <c r="T229" s="629"/>
      <c r="U229" s="629"/>
      <c r="V229" s="629"/>
      <c r="W229" s="629"/>
      <c r="X229" s="629"/>
      <c r="Y229" s="629"/>
      <c r="Z229" s="629"/>
      <c r="AA229" s="629"/>
      <c r="AB229" s="630"/>
    </row>
    <row r="230" spans="1:45" ht="19.95" customHeight="1">
      <c r="A230" s="853"/>
      <c r="B230" s="1410" t="str">
        <f>AJ232</f>
        <v>'right-winger bigot'</v>
      </c>
      <c r="C230" s="656"/>
      <c r="D230" s="1375" t="str">
        <f>AI230</f>
        <v>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v>
      </c>
      <c r="E230" s="1375"/>
      <c r="F230" s="1375"/>
      <c r="G230" s="1375"/>
      <c r="H230" s="1375"/>
      <c r="I230" s="1375"/>
      <c r="J230" s="1375"/>
      <c r="K230" s="1375"/>
      <c r="L230" s="656"/>
      <c r="M230" s="1411" t="str">
        <f>AJ234</f>
        <v>'left-winger libtard'</v>
      </c>
      <c r="N230" s="862"/>
      <c r="O230" s="629"/>
      <c r="P230" s="629"/>
      <c r="Q230" s="629"/>
      <c r="R230" s="629"/>
      <c r="S230" s="629"/>
      <c r="T230" s="629"/>
      <c r="U230" s="629"/>
      <c r="V230" s="629"/>
      <c r="W230" s="629"/>
      <c r="X230" s="629"/>
      <c r="Y230" s="629"/>
      <c r="Z230" s="629"/>
      <c r="AA230" s="629"/>
      <c r="AB230" s="630"/>
      <c r="AI230" s="459" t="str">
        <f>IF(OR(H$113="",H$115=""),AK231,CONCATENATE(AK230,AL230,AM230,AN230,AO230,AP230,AQ230,AR230,AS230,AT230,AU230,AV230,AW230,AX230))</f>
        <v>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v>
      </c>
      <c r="AK230" s="465" t="s">
        <v>2108</v>
      </c>
      <c r="AL230" s="2" t="str">
        <f>$AF$1299</f>
        <v/>
      </c>
      <c r="AM230" s="465" t="s">
        <v>2103</v>
      </c>
      <c r="AN230" s="2" t="str">
        <f>$AG$1299</f>
        <v/>
      </c>
      <c r="AO230" s="465" t="s">
        <v>2596</v>
      </c>
      <c r="AP230" s="2" t="str">
        <f>$D$1300</f>
        <v/>
      </c>
      <c r="AQ230" s="465" t="s">
        <v>2597</v>
      </c>
      <c r="AS230" s="465"/>
    </row>
    <row r="231" spans="1:45" ht="19.95" customHeight="1">
      <c r="A231" s="853"/>
      <c r="B231" s="1410"/>
      <c r="C231" s="656"/>
      <c r="D231" s="1375"/>
      <c r="E231" s="1375"/>
      <c r="F231" s="1375"/>
      <c r="G231" s="1375"/>
      <c r="H231" s="1375"/>
      <c r="I231" s="1375"/>
      <c r="J231" s="1375"/>
      <c r="K231" s="1375"/>
      <c r="L231" s="656"/>
      <c r="M231" s="1411"/>
      <c r="N231" s="862"/>
      <c r="O231" s="629"/>
      <c r="P231" s="629"/>
      <c r="Q231" s="629"/>
      <c r="R231" s="629"/>
      <c r="S231" s="629"/>
      <c r="T231" s="629"/>
      <c r="U231" s="629"/>
      <c r="V231" s="629"/>
      <c r="W231" s="629"/>
      <c r="X231" s="629"/>
      <c r="Y231" s="629"/>
      <c r="Z231" s="629"/>
      <c r="AA231" s="629"/>
      <c r="AB231" s="630"/>
      <c r="AK231" s="734" t="s">
        <v>3178</v>
      </c>
      <c r="AQ231" s="465" t="s">
        <v>2104</v>
      </c>
      <c r="AS231" s="465" t="s">
        <v>2595</v>
      </c>
    </row>
    <row r="232" spans="1:45" ht="19.95" customHeight="1">
      <c r="A232" s="853"/>
      <c r="B232" s="1410"/>
      <c r="C232" s="656"/>
      <c r="D232" s="1375"/>
      <c r="E232" s="1375"/>
      <c r="F232" s="1375"/>
      <c r="G232" s="1375"/>
      <c r="H232" s="1375"/>
      <c r="I232" s="1375"/>
      <c r="J232" s="1375"/>
      <c r="K232" s="1375"/>
      <c r="L232" s="656"/>
      <c r="M232" s="1411"/>
      <c r="N232" s="862"/>
      <c r="O232" s="629"/>
      <c r="P232" s="629"/>
      <c r="Q232" s="629"/>
      <c r="R232" s="629"/>
      <c r="S232" s="629"/>
      <c r="T232" s="629"/>
      <c r="U232" s="629"/>
      <c r="V232" s="629"/>
      <c r="W232" s="629"/>
      <c r="X232" s="629"/>
      <c r="Y232" s="629"/>
      <c r="Z232" s="629"/>
      <c r="AA232" s="629"/>
      <c r="AB232" s="630"/>
      <c r="AI232" s="673" t="s">
        <v>2487</v>
      </c>
      <c r="AJ232" s="2" t="str">
        <f>IF(AI233="","'right-winger bigot'",AI233)</f>
        <v>'right-winger bigot'</v>
      </c>
    </row>
    <row r="233" spans="1:45" ht="19.95" customHeight="1">
      <c r="A233" s="853"/>
      <c r="B233" s="1410"/>
      <c r="C233" s="656"/>
      <c r="D233" s="1375"/>
      <c r="E233" s="1375"/>
      <c r="F233" s="1375"/>
      <c r="G233" s="1375"/>
      <c r="H233" s="1375"/>
      <c r="I233" s="1375"/>
      <c r="J233" s="1375"/>
      <c r="K233" s="1375"/>
      <c r="L233" s="656"/>
      <c r="M233" s="1411"/>
      <c r="N233" s="862"/>
      <c r="O233" s="629"/>
      <c r="P233" s="629"/>
      <c r="Q233" s="629"/>
      <c r="R233" s="629"/>
      <c r="S233" s="629"/>
      <c r="T233" s="629"/>
      <c r="U233" s="629"/>
      <c r="V233" s="629"/>
      <c r="W233" s="629"/>
      <c r="X233" s="629"/>
      <c r="Y233" s="629"/>
      <c r="Z233" s="629"/>
      <c r="AA233" s="629"/>
      <c r="AB233" s="630"/>
      <c r="AI233" s="37" t="str">
        <f>AF1300</f>
        <v/>
      </c>
      <c r="AK233" s="465" t="s">
        <v>2489</v>
      </c>
      <c r="AL233" s="2">
        <f>$A$1300</f>
        <v>0</v>
      </c>
      <c r="AM233" s="465" t="s">
        <v>1378</v>
      </c>
      <c r="AN233" s="2">
        <f>$A$1300</f>
        <v>0</v>
      </c>
      <c r="AO233" s="465" t="s">
        <v>706</v>
      </c>
    </row>
    <row r="234" spans="1:45" ht="19.95" customHeight="1">
      <c r="A234" s="853"/>
      <c r="B234" s="1410"/>
      <c r="C234" s="656"/>
      <c r="D234" s="1375"/>
      <c r="E234" s="1375"/>
      <c r="F234" s="1375"/>
      <c r="G234" s="1375"/>
      <c r="H234" s="1375"/>
      <c r="I234" s="1375"/>
      <c r="J234" s="1375"/>
      <c r="K234" s="1375"/>
      <c r="L234" s="656"/>
      <c r="M234" s="1411"/>
      <c r="N234" s="862"/>
      <c r="O234" s="629"/>
      <c r="P234" s="629"/>
      <c r="Q234" s="629"/>
      <c r="R234" s="629"/>
      <c r="S234" s="629"/>
      <c r="T234" s="629"/>
      <c r="U234" s="629"/>
      <c r="V234" s="629"/>
      <c r="W234" s="629"/>
      <c r="X234" s="629"/>
      <c r="Y234" s="629"/>
      <c r="Z234" s="629"/>
      <c r="AA234" s="629"/>
      <c r="AB234" s="630"/>
      <c r="AI234" s="674" t="s">
        <v>2488</v>
      </c>
      <c r="AJ234" s="2" t="str">
        <f>IF(AI235="","'left-winger libtard'",AI235)</f>
        <v>'left-winger libtard'</v>
      </c>
    </row>
    <row r="235" spans="1:45" ht="19.95" customHeight="1">
      <c r="A235" s="853"/>
      <c r="B235" s="1410"/>
      <c r="C235" s="656"/>
      <c r="D235" s="1375"/>
      <c r="E235" s="1375"/>
      <c r="F235" s="1375"/>
      <c r="G235" s="1375"/>
      <c r="H235" s="1375"/>
      <c r="I235" s="1375"/>
      <c r="J235" s="1375"/>
      <c r="K235" s="1375"/>
      <c r="L235" s="656"/>
      <c r="M235" s="1411"/>
      <c r="N235" s="862"/>
      <c r="O235" s="629"/>
      <c r="P235" s="629"/>
      <c r="Q235" s="629"/>
      <c r="R235" s="629"/>
      <c r="S235" s="629"/>
      <c r="T235" s="629"/>
      <c r="U235" s="629"/>
      <c r="V235" s="629"/>
      <c r="W235" s="629"/>
      <c r="X235" s="629"/>
      <c r="Y235" s="629"/>
      <c r="Z235" s="629"/>
      <c r="AA235" s="629"/>
      <c r="AB235" s="630"/>
      <c r="AI235" s="37" t="str">
        <f>AG1300</f>
        <v/>
      </c>
      <c r="AK235" s="465" t="s">
        <v>2489</v>
      </c>
      <c r="AL235" s="2">
        <f>$A$1300</f>
        <v>0</v>
      </c>
      <c r="AM235" s="465" t="s">
        <v>1378</v>
      </c>
      <c r="AN235" s="2">
        <f>$A$1300</f>
        <v>0</v>
      </c>
      <c r="AO235" s="465" t="s">
        <v>706</v>
      </c>
    </row>
    <row r="236" spans="1:45" ht="19.95" customHeight="1">
      <c r="A236" s="853"/>
      <c r="B236" s="656"/>
      <c r="C236" s="656"/>
      <c r="D236" s="1375"/>
      <c r="E236" s="1375"/>
      <c r="F236" s="1375"/>
      <c r="G236" s="1375"/>
      <c r="H236" s="1375"/>
      <c r="I236" s="1375"/>
      <c r="J236" s="1375"/>
      <c r="K236" s="1375"/>
      <c r="L236" s="656"/>
      <c r="M236" s="656"/>
      <c r="N236" s="862"/>
      <c r="O236" s="629"/>
      <c r="P236" s="629"/>
      <c r="Q236" s="629"/>
      <c r="R236" s="629"/>
      <c r="S236" s="629"/>
      <c r="T236" s="629"/>
      <c r="U236" s="629"/>
      <c r="V236" s="629"/>
      <c r="W236" s="629"/>
      <c r="X236" s="629"/>
      <c r="Y236" s="629"/>
      <c r="Z236" s="629"/>
      <c r="AA236" s="629"/>
      <c r="AB236" s="630"/>
    </row>
    <row r="237" spans="1:45" ht="4.95" customHeight="1">
      <c r="A237" s="853"/>
      <c r="B237" s="632"/>
      <c r="C237" s="656"/>
      <c r="D237" s="656"/>
      <c r="E237" s="656"/>
      <c r="F237" s="656"/>
      <c r="G237" s="656"/>
      <c r="H237" s="656"/>
      <c r="I237" s="656"/>
      <c r="J237" s="656"/>
      <c r="K237" s="656"/>
      <c r="L237" s="656"/>
      <c r="M237" s="633"/>
      <c r="N237" s="862"/>
      <c r="O237" s="629"/>
      <c r="P237" s="629"/>
      <c r="Q237" s="629"/>
      <c r="R237" s="629"/>
      <c r="S237" s="629"/>
      <c r="T237" s="629"/>
      <c r="U237" s="629"/>
      <c r="V237" s="629"/>
      <c r="W237" s="629"/>
      <c r="X237" s="629"/>
      <c r="Y237" s="629"/>
      <c r="Z237" s="629"/>
      <c r="AA237" s="629"/>
      <c r="AB237" s="630"/>
    </row>
    <row r="238" spans="1:45" ht="10.050000000000001" customHeight="1">
      <c r="A238" s="857"/>
      <c r="B238" s="635"/>
      <c r="C238" s="635"/>
      <c r="D238" s="635"/>
      <c r="E238" s="635"/>
      <c r="F238" s="635"/>
      <c r="G238" s="635"/>
      <c r="H238" s="635"/>
      <c r="I238" s="635"/>
      <c r="J238" s="635"/>
      <c r="K238" s="635"/>
      <c r="L238" s="635"/>
      <c r="M238" s="635"/>
      <c r="N238" s="867"/>
      <c r="O238" s="635"/>
      <c r="P238" s="635"/>
      <c r="Q238" s="635"/>
      <c r="R238" s="635"/>
      <c r="S238" s="635"/>
      <c r="T238" s="635"/>
      <c r="U238" s="635"/>
      <c r="V238" s="635"/>
      <c r="W238" s="635"/>
      <c r="X238" s="635"/>
      <c r="Y238" s="635"/>
      <c r="Z238" s="635"/>
      <c r="AA238" s="635"/>
      <c r="AB238" s="636"/>
    </row>
    <row r="239" spans="1:45" ht="30" customHeight="1">
      <c r="A239" s="854" t="s">
        <v>1148</v>
      </c>
      <c r="B239" s="884" t="s">
        <v>3154</v>
      </c>
      <c r="C239" s="884"/>
      <c r="D239" s="884"/>
      <c r="E239" s="884"/>
      <c r="F239" s="884"/>
      <c r="G239" s="884"/>
      <c r="H239" s="884"/>
      <c r="I239" s="884"/>
      <c r="J239" s="884"/>
      <c r="K239" s="884"/>
      <c r="L239" s="884"/>
      <c r="M239" s="884"/>
      <c r="N239" s="865" t="s">
        <v>1149</v>
      </c>
      <c r="O239" s="860"/>
      <c r="P239" s="647"/>
      <c r="Q239" s="647"/>
      <c r="R239" s="647"/>
      <c r="S239" s="647"/>
      <c r="T239" s="647"/>
      <c r="U239" s="647"/>
      <c r="V239" s="647"/>
      <c r="W239" s="647"/>
      <c r="X239" s="647"/>
      <c r="Y239" s="647"/>
      <c r="Z239" s="647"/>
      <c r="AA239" s="647"/>
      <c r="AB239" s="650" t="s">
        <v>1149</v>
      </c>
      <c r="AI239" s="459" t="str">
        <f>CONCATENATE(AK239,AL239,AM239)</f>
        <v/>
      </c>
      <c r="AK239" s="465"/>
      <c r="AL239" s="2" t="str">
        <f>IF(H210="","",CONCATENATE(D1398," "))</f>
        <v/>
      </c>
      <c r="AM239" s="465"/>
    </row>
    <row r="240" spans="1:45" ht="10.050000000000001" customHeight="1">
      <c r="A240" s="853"/>
      <c r="B240" s="629"/>
      <c r="C240" s="629"/>
      <c r="D240" s="629"/>
      <c r="E240" s="629"/>
      <c r="F240" s="629"/>
      <c r="G240" s="629"/>
      <c r="H240" s="629"/>
      <c r="I240" s="629"/>
      <c r="J240" s="629"/>
      <c r="K240" s="629"/>
      <c r="L240" s="629"/>
      <c r="M240" s="629"/>
      <c r="N240" s="862"/>
      <c r="O240" s="629"/>
      <c r="P240" s="629"/>
      <c r="Q240" s="629"/>
      <c r="R240" s="629"/>
      <c r="S240" s="629"/>
      <c r="T240" s="629"/>
      <c r="U240" s="629"/>
      <c r="V240" s="629"/>
      <c r="W240" s="629"/>
      <c r="X240" s="629"/>
      <c r="Y240" s="629"/>
      <c r="Z240" s="629"/>
      <c r="AA240" s="629"/>
      <c r="AB240" s="630"/>
    </row>
    <row r="241" spans="1:47" ht="19.95" customHeight="1">
      <c r="A241" s="853"/>
      <c r="B241" s="706" t="s">
        <v>2612</v>
      </c>
      <c r="C241" s="631"/>
      <c r="D241" s="631"/>
      <c r="E241" s="631"/>
      <c r="F241" s="631"/>
      <c r="G241" s="631"/>
      <c r="H241" s="631"/>
      <c r="I241" s="631"/>
      <c r="J241" s="631"/>
      <c r="K241" s="631"/>
      <c r="L241" s="631"/>
      <c r="M241" s="631"/>
      <c r="N241" s="862"/>
      <c r="O241" s="629"/>
      <c r="P241" s="629"/>
      <c r="Q241" s="629"/>
      <c r="R241" s="629"/>
      <c r="S241" s="629"/>
      <c r="T241" s="629"/>
      <c r="U241" s="629"/>
      <c r="V241" s="629"/>
      <c r="W241" s="629"/>
      <c r="X241" s="629"/>
      <c r="Y241" s="629"/>
      <c r="Z241" s="629"/>
      <c r="AA241" s="629"/>
      <c r="AB241" s="630"/>
      <c r="AK241" s="607">
        <v>1</v>
      </c>
      <c r="AL241" s="607">
        <v>2</v>
      </c>
      <c r="AM241" s="607">
        <v>3</v>
      </c>
      <c r="AN241" s="607">
        <v>4</v>
      </c>
      <c r="AO241" s="607">
        <v>5</v>
      </c>
      <c r="AP241" s="607">
        <v>6</v>
      </c>
      <c r="AQ241" s="607">
        <v>7</v>
      </c>
      <c r="AR241" s="607">
        <v>8</v>
      </c>
      <c r="AS241" s="607">
        <v>9</v>
      </c>
      <c r="AT241" s="607">
        <v>10</v>
      </c>
      <c r="AU241" s="607">
        <v>11</v>
      </c>
    </row>
    <row r="242" spans="1:47" ht="4.95" customHeight="1">
      <c r="A242" s="853"/>
      <c r="B242" s="631"/>
      <c r="C242" s="631"/>
      <c r="D242" s="631"/>
      <c r="E242" s="631"/>
      <c r="F242" s="631"/>
      <c r="G242" s="631"/>
      <c r="H242" s="631"/>
      <c r="I242" s="631"/>
      <c r="J242" s="631"/>
      <c r="K242" s="631"/>
      <c r="L242" s="631"/>
      <c r="M242" s="631"/>
      <c r="N242" s="862"/>
      <c r="O242" s="629"/>
      <c r="P242" s="629"/>
      <c r="Q242" s="629"/>
      <c r="R242" s="629"/>
      <c r="S242" s="629"/>
      <c r="T242" s="629"/>
      <c r="U242" s="629"/>
      <c r="V242" s="629"/>
      <c r="W242" s="629"/>
      <c r="X242" s="629"/>
      <c r="Y242" s="629"/>
      <c r="Z242" s="629"/>
      <c r="AA242" s="629"/>
      <c r="AB242" s="630"/>
    </row>
    <row r="243" spans="1:47" ht="19.95" customHeight="1">
      <c r="A243" s="858" t="s">
        <v>2094</v>
      </c>
      <c r="B243" s="632"/>
      <c r="C243" s="633"/>
      <c r="D243" s="633"/>
      <c r="E243" s="633"/>
      <c r="F243" s="633"/>
      <c r="G243" s="633"/>
      <c r="H243" s="633"/>
      <c r="I243" s="633"/>
      <c r="J243" s="633"/>
      <c r="K243" s="633"/>
      <c r="L243" s="633"/>
      <c r="M243" s="633"/>
      <c r="N243" s="862"/>
      <c r="O243" s="629"/>
      <c r="P243" s="629"/>
      <c r="Q243" s="629"/>
      <c r="R243" s="629"/>
      <c r="S243" s="629"/>
      <c r="T243" s="629"/>
      <c r="U243" s="629"/>
      <c r="V243" s="629"/>
      <c r="W243" s="629"/>
      <c r="X243" s="629"/>
      <c r="Y243" s="629"/>
      <c r="Z243" s="629"/>
      <c r="AA243" s="629"/>
      <c r="AB243" s="630"/>
    </row>
    <row r="244" spans="1:47" ht="19.95" customHeight="1">
      <c r="A244" s="853"/>
      <c r="B244" s="1375" t="str">
        <f>AI244</f>
        <v>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v>
      </c>
      <c r="C244" s="1375"/>
      <c r="D244" s="1375"/>
      <c r="E244" s="1375"/>
      <c r="F244" s="1375"/>
      <c r="G244" s="1375"/>
      <c r="H244" s="1375"/>
      <c r="I244" s="1375"/>
      <c r="J244" s="1375"/>
      <c r="K244" s="1375"/>
      <c r="L244" s="1375"/>
      <c r="M244" s="1375"/>
      <c r="N244" s="862"/>
      <c r="O244" s="629"/>
      <c r="P244" s="629"/>
      <c r="Q244" s="629"/>
      <c r="R244" s="629"/>
      <c r="S244" s="629"/>
      <c r="T244" s="629"/>
      <c r="U244" s="629"/>
      <c r="V244" s="629"/>
      <c r="W244" s="629"/>
      <c r="X244" s="629"/>
      <c r="Y244" s="629"/>
      <c r="Z244" s="629"/>
      <c r="AA244" s="629"/>
      <c r="AB244" s="630"/>
      <c r="AI244" s="459" t="str">
        <f>IF(OR(H$113="",H$115=""),AK245,CONCATENATE(AK244,AL244,AM244,AN244,AO244,AP244,AQ244,AR244,AS244,AT244,AU244,AV244,AW244,AX244))</f>
        <v>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v>
      </c>
      <c r="AK244" s="465" t="s">
        <v>2584</v>
      </c>
      <c r="AL244" s="2" t="str">
        <f>$T$1299</f>
        <v/>
      </c>
      <c r="AM244" s="465" t="s">
        <v>2105</v>
      </c>
      <c r="AN244" s="2" t="str">
        <f>$V$1299</f>
        <v/>
      </c>
      <c r="AO244" s="465" t="s">
        <v>2589</v>
      </c>
      <c r="AP244" s="2" t="str">
        <f>$U$1299</f>
        <v/>
      </c>
      <c r="AQ244" s="465" t="s">
        <v>2106</v>
      </c>
      <c r="AR244" s="2" t="str">
        <f>$W$1299</f>
        <v/>
      </c>
      <c r="AS244" s="465" t="s">
        <v>2594</v>
      </c>
      <c r="AT244" s="2" t="str">
        <f>$D$1300</f>
        <v/>
      </c>
      <c r="AU244" s="465" t="s">
        <v>2107</v>
      </c>
    </row>
    <row r="245" spans="1:47" ht="19.95" customHeight="1">
      <c r="A245" s="853"/>
      <c r="B245" s="1375"/>
      <c r="C245" s="1375"/>
      <c r="D245" s="1375"/>
      <c r="E245" s="1375"/>
      <c r="F245" s="1375"/>
      <c r="G245" s="1375"/>
      <c r="H245" s="1375"/>
      <c r="I245" s="1375"/>
      <c r="J245" s="1375"/>
      <c r="K245" s="1375"/>
      <c r="L245" s="1375"/>
      <c r="M245" s="1375"/>
      <c r="N245" s="862"/>
      <c r="O245" s="629"/>
      <c r="P245" s="629"/>
      <c r="Q245" s="629"/>
      <c r="R245" s="629"/>
      <c r="S245" s="629"/>
      <c r="T245" s="629"/>
      <c r="U245" s="629"/>
      <c r="V245" s="629"/>
      <c r="W245" s="629"/>
      <c r="X245" s="629"/>
      <c r="Y245" s="629"/>
      <c r="Z245" s="629"/>
      <c r="AA245" s="629"/>
      <c r="AB245" s="630"/>
      <c r="AK245" s="734" t="s">
        <v>3189</v>
      </c>
    </row>
    <row r="246" spans="1:47" ht="19.95" customHeight="1">
      <c r="A246" s="853"/>
      <c r="B246" s="1375"/>
      <c r="C246" s="1375"/>
      <c r="D246" s="1375"/>
      <c r="E246" s="1375"/>
      <c r="F246" s="1375"/>
      <c r="G246" s="1375"/>
      <c r="H246" s="1375"/>
      <c r="I246" s="1375"/>
      <c r="J246" s="1375"/>
      <c r="K246" s="1375"/>
      <c r="L246" s="1375"/>
      <c r="M246" s="1375"/>
      <c r="N246" s="862"/>
      <c r="O246" s="629"/>
      <c r="P246" s="629"/>
      <c r="Q246" s="629"/>
      <c r="R246" s="629"/>
      <c r="S246" s="629"/>
      <c r="T246" s="629"/>
      <c r="U246" s="629"/>
      <c r="V246" s="629"/>
      <c r="W246" s="629"/>
      <c r="X246" s="629"/>
      <c r="Y246" s="629"/>
      <c r="Z246" s="629"/>
      <c r="AA246" s="629"/>
      <c r="AB246" s="630"/>
    </row>
    <row r="247" spans="1:47" ht="19.95" customHeight="1">
      <c r="A247" s="853"/>
      <c r="B247" s="1375"/>
      <c r="C247" s="1375"/>
      <c r="D247" s="1375"/>
      <c r="E247" s="1375"/>
      <c r="F247" s="1375"/>
      <c r="G247" s="1375"/>
      <c r="H247" s="1375"/>
      <c r="I247" s="1375"/>
      <c r="J247" s="1375"/>
      <c r="K247" s="1375"/>
      <c r="L247" s="1375"/>
      <c r="M247" s="1375"/>
      <c r="N247" s="862"/>
      <c r="O247" s="629"/>
      <c r="P247" s="629"/>
      <c r="Q247" s="629"/>
      <c r="R247" s="629"/>
      <c r="S247" s="629"/>
      <c r="T247" s="629"/>
      <c r="U247" s="629"/>
      <c r="V247" s="629"/>
      <c r="W247" s="629"/>
      <c r="X247" s="629"/>
      <c r="Y247" s="629"/>
      <c r="Z247" s="629"/>
      <c r="AA247" s="629"/>
      <c r="AB247" s="630"/>
    </row>
    <row r="248" spans="1:47" ht="19.95" customHeight="1">
      <c r="A248" s="853"/>
      <c r="B248" s="1375"/>
      <c r="C248" s="1375"/>
      <c r="D248" s="1375"/>
      <c r="E248" s="1375"/>
      <c r="F248" s="1375"/>
      <c r="G248" s="1375"/>
      <c r="H248" s="1375"/>
      <c r="I248" s="1375"/>
      <c r="J248" s="1375"/>
      <c r="K248" s="1375"/>
      <c r="L248" s="1375"/>
      <c r="M248" s="1375"/>
      <c r="N248" s="862"/>
      <c r="O248" s="629"/>
      <c r="P248" s="629"/>
      <c r="Q248" s="629"/>
      <c r="R248" s="629"/>
      <c r="S248" s="629"/>
      <c r="T248" s="629"/>
      <c r="U248" s="629"/>
      <c r="V248" s="629"/>
      <c r="W248" s="629"/>
      <c r="X248" s="629"/>
      <c r="Y248" s="629"/>
      <c r="Z248" s="629"/>
      <c r="AA248" s="629"/>
      <c r="AB248" s="630"/>
    </row>
    <row r="249" spans="1:47" ht="19.95" customHeight="1">
      <c r="A249" s="853"/>
      <c r="B249" s="1375"/>
      <c r="C249" s="1375"/>
      <c r="D249" s="1375"/>
      <c r="E249" s="1375"/>
      <c r="F249" s="1375"/>
      <c r="G249" s="1375"/>
      <c r="H249" s="1375"/>
      <c r="I249" s="1375"/>
      <c r="J249" s="1375"/>
      <c r="K249" s="1375"/>
      <c r="L249" s="1375"/>
      <c r="M249" s="1375"/>
      <c r="N249" s="862"/>
      <c r="O249" s="629"/>
      <c r="P249" s="629"/>
      <c r="Q249" s="629"/>
      <c r="R249" s="629"/>
      <c r="S249" s="629"/>
      <c r="T249" s="629"/>
      <c r="U249" s="629"/>
      <c r="V249" s="629"/>
      <c r="W249" s="629"/>
      <c r="X249" s="629"/>
      <c r="Y249" s="629"/>
      <c r="Z249" s="629"/>
      <c r="AA249" s="629"/>
      <c r="AB249" s="630"/>
    </row>
    <row r="250" spans="1:47" ht="4.95" customHeight="1">
      <c r="A250" s="853"/>
      <c r="B250" s="629"/>
      <c r="C250" s="629"/>
      <c r="D250" s="629"/>
      <c r="E250" s="629"/>
      <c r="F250" s="629"/>
      <c r="G250" s="629"/>
      <c r="H250" s="629"/>
      <c r="I250" s="629"/>
      <c r="J250" s="629"/>
      <c r="K250" s="629"/>
      <c r="L250" s="629"/>
      <c r="M250" s="629"/>
      <c r="N250" s="862"/>
      <c r="O250" s="629"/>
      <c r="P250" s="629"/>
      <c r="Q250" s="629"/>
      <c r="R250" s="629"/>
      <c r="S250" s="629"/>
      <c r="T250" s="629"/>
      <c r="U250" s="629"/>
      <c r="V250" s="629"/>
      <c r="W250" s="629"/>
      <c r="X250" s="629"/>
      <c r="Y250" s="629"/>
      <c r="Z250" s="629"/>
      <c r="AA250" s="629"/>
      <c r="AB250" s="630"/>
    </row>
    <row r="251" spans="1:47" ht="19.95" customHeight="1">
      <c r="A251" s="855"/>
      <c r="B251" s="1453" t="str">
        <f>AI252</f>
        <v>"Conservatives are all bad! They oppress us to death!"</v>
      </c>
      <c r="C251" s="1453"/>
      <c r="D251" s="1453"/>
      <c r="E251" s="629"/>
      <c r="F251" s="629"/>
      <c r="G251" s="629"/>
      <c r="H251" s="629"/>
      <c r="I251" s="629"/>
      <c r="J251" s="629"/>
      <c r="K251" s="1388" t="str">
        <f>AI255</f>
        <v>"Liberals are all bad! They want to tax us to death!"</v>
      </c>
      <c r="L251" s="1388"/>
      <c r="M251" s="1388"/>
      <c r="N251" s="862"/>
      <c r="O251" s="629"/>
      <c r="P251" s="629"/>
      <c r="Q251" s="629"/>
      <c r="R251" s="629"/>
      <c r="S251" s="629"/>
      <c r="T251" s="629"/>
      <c r="U251" s="629"/>
      <c r="V251" s="629"/>
      <c r="W251" s="629"/>
      <c r="X251" s="629"/>
      <c r="Y251" s="629"/>
      <c r="Z251" s="629"/>
      <c r="AA251" s="629"/>
      <c r="AB251" s="630"/>
      <c r="AI251" s="673" t="s">
        <v>2487</v>
      </c>
    </row>
    <row r="252" spans="1:47" ht="19.95" customHeight="1">
      <c r="A252" s="853"/>
      <c r="B252" s="1453"/>
      <c r="C252" s="1453"/>
      <c r="D252" s="1453"/>
      <c r="E252" s="656"/>
      <c r="F252" s="656"/>
      <c r="G252" s="656"/>
      <c r="H252" s="656"/>
      <c r="I252" s="656"/>
      <c r="J252" s="656"/>
      <c r="K252" s="1388"/>
      <c r="L252" s="1388"/>
      <c r="M252" s="1388"/>
      <c r="N252" s="862"/>
      <c r="O252" s="629"/>
      <c r="P252" s="629"/>
      <c r="Q252" s="629"/>
      <c r="R252" s="629"/>
      <c r="S252" s="629"/>
      <c r="T252" s="629"/>
      <c r="U252" s="629"/>
      <c r="V252" s="629"/>
      <c r="W252" s="629"/>
      <c r="X252" s="629"/>
      <c r="Y252" s="629"/>
      <c r="Z252" s="629"/>
      <c r="AA252" s="629"/>
      <c r="AB252" s="630"/>
      <c r="AI252" s="459" t="str">
        <f>IF(H$115="",AK253,CONCATENATE(AK252,AL252,AM252,AN252,AO252))</f>
        <v>"Conservatives are all bad! They oppress us to death!"</v>
      </c>
      <c r="AK252" s="465" t="s">
        <v>2496</v>
      </c>
      <c r="AL252" s="2" t="str">
        <f>$T$1300</f>
        <v/>
      </c>
      <c r="AM252" s="465" t="s">
        <v>1378</v>
      </c>
      <c r="AN252" s="2" t="str">
        <f>$V$1300</f>
        <v/>
      </c>
      <c r="AO252" s="465" t="s">
        <v>2498</v>
      </c>
    </row>
    <row r="253" spans="1:47" ht="19.95" customHeight="1">
      <c r="A253" s="853"/>
      <c r="B253" s="1453"/>
      <c r="C253" s="1453"/>
      <c r="D253" s="1453"/>
      <c r="E253" s="656"/>
      <c r="F253" s="656"/>
      <c r="G253" s="656"/>
      <c r="H253" s="656"/>
      <c r="I253" s="656"/>
      <c r="J253" s="656"/>
      <c r="K253" s="1388"/>
      <c r="L253" s="1388"/>
      <c r="M253" s="1388"/>
      <c r="N253" s="862"/>
      <c r="O253" s="629"/>
      <c r="P253" s="629"/>
      <c r="Q253" s="629"/>
      <c r="R253" s="629"/>
      <c r="S253" s="629"/>
      <c r="T253" s="629"/>
      <c r="U253" s="629"/>
      <c r="V253" s="629"/>
      <c r="W253" s="629"/>
      <c r="X253" s="629"/>
      <c r="Y253" s="629"/>
      <c r="Z253" s="629"/>
      <c r="AA253" s="629"/>
      <c r="AB253" s="630"/>
      <c r="AK253" s="734" t="s">
        <v>3190</v>
      </c>
    </row>
    <row r="254" spans="1:47" ht="19.95" customHeight="1">
      <c r="A254" s="853"/>
      <c r="B254" s="1453"/>
      <c r="C254" s="1453"/>
      <c r="D254" s="1453"/>
      <c r="E254" s="656"/>
      <c r="F254" s="656"/>
      <c r="G254" s="656"/>
      <c r="H254" s="656"/>
      <c r="I254" s="656"/>
      <c r="J254" s="656"/>
      <c r="K254" s="1388"/>
      <c r="L254" s="1388"/>
      <c r="M254" s="1388"/>
      <c r="N254" s="862"/>
      <c r="O254" s="629"/>
      <c r="P254" s="629"/>
      <c r="Q254" s="629"/>
      <c r="R254" s="629"/>
      <c r="S254" s="629"/>
      <c r="T254" s="629"/>
      <c r="U254" s="629"/>
      <c r="V254" s="629"/>
      <c r="W254" s="629"/>
      <c r="X254" s="629"/>
      <c r="Y254" s="629"/>
      <c r="Z254" s="629"/>
      <c r="AA254" s="629"/>
      <c r="AB254" s="630"/>
      <c r="AI254" s="674" t="s">
        <v>2488</v>
      </c>
    </row>
    <row r="255" spans="1:47" ht="19.95" customHeight="1">
      <c r="A255" s="853"/>
      <c r="B255" s="1453"/>
      <c r="C255" s="1453"/>
      <c r="D255" s="1453"/>
      <c r="E255" s="656"/>
      <c r="F255" s="656"/>
      <c r="G255" s="656"/>
      <c r="H255" s="656"/>
      <c r="I255" s="656"/>
      <c r="J255" s="656"/>
      <c r="K255" s="1388"/>
      <c r="L255" s="1388"/>
      <c r="M255" s="1388"/>
      <c r="N255" s="862"/>
      <c r="O255" s="629"/>
      <c r="P255" s="629"/>
      <c r="Q255" s="629"/>
      <c r="R255" s="629"/>
      <c r="S255" s="629"/>
      <c r="T255" s="629"/>
      <c r="U255" s="629"/>
      <c r="V255" s="629"/>
      <c r="W255" s="629"/>
      <c r="X255" s="629"/>
      <c r="Y255" s="629"/>
      <c r="Z255" s="629"/>
      <c r="AA255" s="629"/>
      <c r="AB255" s="630"/>
      <c r="AI255" s="459" t="str">
        <f>IF(H$115="",AK256,CONCATENATE(AK255,AL255,AM255,AN255,AO255))</f>
        <v>"Liberals are all bad! They want to tax us to death!"</v>
      </c>
      <c r="AK255" s="465" t="s">
        <v>2497</v>
      </c>
      <c r="AL255" s="2" t="str">
        <f>$U$1300</f>
        <v/>
      </c>
      <c r="AM255" s="465" t="s">
        <v>1378</v>
      </c>
      <c r="AN255" s="2" t="str">
        <f>$W$1300</f>
        <v/>
      </c>
      <c r="AO255" s="465" t="s">
        <v>2498</v>
      </c>
    </row>
    <row r="256" spans="1:47" ht="34.950000000000003" customHeight="1">
      <c r="A256" s="853"/>
      <c r="B256" s="1453"/>
      <c r="C256" s="1453"/>
      <c r="D256" s="1453"/>
      <c r="E256" s="656"/>
      <c r="F256" s="656"/>
      <c r="G256" s="656"/>
      <c r="H256" s="656"/>
      <c r="I256" s="656"/>
      <c r="J256" s="656"/>
      <c r="K256" s="1388"/>
      <c r="L256" s="1388"/>
      <c r="M256" s="1388"/>
      <c r="N256" s="862"/>
      <c r="O256" s="629"/>
      <c r="P256" s="629"/>
      <c r="Q256" s="629"/>
      <c r="R256" s="629"/>
      <c r="S256" s="629"/>
      <c r="T256" s="629"/>
      <c r="U256" s="629"/>
      <c r="V256" s="629"/>
      <c r="W256" s="629"/>
      <c r="X256" s="629"/>
      <c r="Y256" s="629"/>
      <c r="Z256" s="629"/>
      <c r="AA256" s="629"/>
      <c r="AB256" s="630"/>
      <c r="AI256" s="37"/>
      <c r="AK256" s="734" t="s">
        <v>3191</v>
      </c>
    </row>
    <row r="257" spans="1:41" ht="19.95" customHeight="1">
      <c r="A257" s="853"/>
      <c r="B257" s="656"/>
      <c r="C257" s="656"/>
      <c r="D257" s="656"/>
      <c r="E257" s="656"/>
      <c r="F257" s="656"/>
      <c r="G257" s="656"/>
      <c r="H257" s="656"/>
      <c r="I257" s="656"/>
      <c r="J257" s="656"/>
      <c r="K257" s="656"/>
      <c r="L257" s="656"/>
      <c r="M257" s="656"/>
      <c r="N257" s="862"/>
      <c r="O257" s="629"/>
      <c r="P257" s="629"/>
      <c r="Q257" s="629"/>
      <c r="R257" s="629"/>
      <c r="S257" s="629"/>
      <c r="T257" s="629"/>
      <c r="U257" s="629"/>
      <c r="V257" s="629"/>
      <c r="W257" s="629"/>
      <c r="X257" s="629"/>
      <c r="Y257" s="629"/>
      <c r="Z257" s="629"/>
      <c r="AA257" s="629"/>
      <c r="AB257" s="630"/>
    </row>
    <row r="258" spans="1:41" ht="4.95" customHeight="1">
      <c r="A258" s="853"/>
      <c r="B258" s="629"/>
      <c r="C258" s="629"/>
      <c r="D258" s="629"/>
      <c r="E258" s="629"/>
      <c r="F258" s="629"/>
      <c r="G258" s="629"/>
      <c r="H258" s="629"/>
      <c r="I258" s="629"/>
      <c r="J258" s="629"/>
      <c r="K258" s="629"/>
      <c r="L258" s="629"/>
      <c r="M258" s="629"/>
      <c r="N258" s="862"/>
      <c r="O258" s="629"/>
      <c r="P258" s="629"/>
      <c r="Q258" s="629"/>
      <c r="R258" s="629"/>
      <c r="S258" s="629"/>
      <c r="T258" s="629"/>
      <c r="U258" s="629"/>
      <c r="V258" s="629"/>
      <c r="W258" s="629"/>
      <c r="X258" s="629"/>
      <c r="Y258" s="629"/>
      <c r="Z258" s="629"/>
      <c r="AA258" s="629"/>
      <c r="AB258" s="630"/>
    </row>
    <row r="259" spans="1:41" ht="19.95" customHeight="1">
      <c r="A259" s="858" t="s">
        <v>2467</v>
      </c>
      <c r="B259" s="632"/>
      <c r="C259" s="629"/>
      <c r="D259" s="629"/>
      <c r="E259" s="629"/>
      <c r="F259" s="629"/>
      <c r="G259" s="629"/>
      <c r="H259" s="629"/>
      <c r="I259" s="629"/>
      <c r="J259" s="629"/>
      <c r="K259" s="629"/>
      <c r="L259" s="629"/>
      <c r="M259" s="629"/>
      <c r="N259" s="862"/>
      <c r="O259" s="629"/>
      <c r="P259" s="629"/>
      <c r="Q259" s="629"/>
      <c r="R259" s="629"/>
      <c r="S259" s="629"/>
      <c r="T259" s="629"/>
      <c r="U259" s="629"/>
      <c r="V259" s="629"/>
      <c r="W259" s="629"/>
      <c r="X259" s="629"/>
      <c r="Y259" s="629"/>
      <c r="Z259" s="629"/>
      <c r="AA259" s="629"/>
      <c r="AB259" s="630"/>
    </row>
    <row r="260" spans="1:41" ht="19.95" customHeight="1">
      <c r="A260" s="853"/>
      <c r="B260" s="1375" t="s">
        <v>2608</v>
      </c>
      <c r="C260" s="1375"/>
      <c r="D260" s="1375"/>
      <c r="E260" s="1375"/>
      <c r="F260" s="1375"/>
      <c r="G260" s="1375"/>
      <c r="H260" s="1375"/>
      <c r="I260" s="1375"/>
      <c r="J260" s="1375"/>
      <c r="K260" s="1375"/>
      <c r="L260" s="1375"/>
      <c r="M260" s="1375"/>
      <c r="N260" s="862"/>
      <c r="O260" s="629"/>
      <c r="P260" s="629"/>
      <c r="Q260" s="629"/>
      <c r="R260" s="629"/>
      <c r="S260" s="629"/>
      <c r="T260" s="629"/>
      <c r="U260" s="629"/>
      <c r="V260" s="629"/>
      <c r="W260" s="629"/>
      <c r="X260" s="629"/>
      <c r="Y260" s="629"/>
      <c r="Z260" s="629"/>
      <c r="AA260" s="629"/>
      <c r="AB260" s="630"/>
    </row>
    <row r="261" spans="1:41" ht="19.95" customHeight="1">
      <c r="A261" s="853"/>
      <c r="B261" s="1375"/>
      <c r="C261" s="1375"/>
      <c r="D261" s="1375"/>
      <c r="E261" s="1375"/>
      <c r="F261" s="1375"/>
      <c r="G261" s="1375"/>
      <c r="H261" s="1375"/>
      <c r="I261" s="1375"/>
      <c r="J261" s="1375"/>
      <c r="K261" s="1375"/>
      <c r="L261" s="1375"/>
      <c r="M261" s="1375"/>
      <c r="N261" s="862"/>
      <c r="O261" s="629"/>
      <c r="P261" s="629"/>
      <c r="Q261" s="629"/>
      <c r="R261" s="629"/>
      <c r="S261" s="629"/>
      <c r="T261" s="629"/>
      <c r="U261" s="629"/>
      <c r="V261" s="629"/>
      <c r="W261" s="629"/>
      <c r="X261" s="629"/>
      <c r="Y261" s="629"/>
      <c r="Z261" s="629"/>
      <c r="AA261" s="629"/>
      <c r="AB261" s="630"/>
      <c r="AM261" s="697" t="s">
        <v>187</v>
      </c>
      <c r="AO261" s="698" t="s">
        <v>189</v>
      </c>
    </row>
    <row r="262" spans="1:41" ht="19.95" customHeight="1">
      <c r="A262" s="853"/>
      <c r="B262" s="1375"/>
      <c r="C262" s="1375"/>
      <c r="D262" s="1375"/>
      <c r="E262" s="1375"/>
      <c r="F262" s="1375"/>
      <c r="G262" s="1375"/>
      <c r="H262" s="1375"/>
      <c r="I262" s="1375"/>
      <c r="J262" s="1375"/>
      <c r="K262" s="1375"/>
      <c r="L262" s="1375"/>
      <c r="M262" s="1375"/>
      <c r="N262" s="862"/>
      <c r="O262" s="629"/>
      <c r="P262" s="629"/>
      <c r="Q262" s="629"/>
      <c r="R262" s="629"/>
      <c r="S262" s="629"/>
      <c r="T262" s="629"/>
      <c r="U262" s="629"/>
      <c r="V262" s="629"/>
      <c r="W262" s="629"/>
      <c r="X262" s="629"/>
      <c r="Y262" s="629"/>
      <c r="Z262" s="629"/>
      <c r="AA262" s="629"/>
      <c r="AB262" s="630"/>
      <c r="AI262" s="2">
        <v>1</v>
      </c>
      <c r="AJ262" s="37" t="str">
        <f t="shared" ref="AJ262:AJ273" si="2">CONCATENATE(AM262,AN262,AO262)</f>
        <v>differentness and cohesion</v>
      </c>
      <c r="AM262" s="699" t="s">
        <v>2564</v>
      </c>
      <c r="AN262" s="696" t="s">
        <v>1378</v>
      </c>
      <c r="AO262" s="400" t="s">
        <v>181</v>
      </c>
    </row>
    <row r="263" spans="1:41" ht="19.95" customHeight="1">
      <c r="A263" s="853"/>
      <c r="B263" s="1375"/>
      <c r="C263" s="1375"/>
      <c r="D263" s="1375"/>
      <c r="E263" s="1375"/>
      <c r="F263" s="1375"/>
      <c r="G263" s="1375"/>
      <c r="H263" s="1375"/>
      <c r="I263" s="1375"/>
      <c r="J263" s="1375"/>
      <c r="K263" s="1375"/>
      <c r="L263" s="1375"/>
      <c r="M263" s="1375"/>
      <c r="N263" s="862"/>
      <c r="O263" s="629"/>
      <c r="P263" s="629"/>
      <c r="Q263" s="629"/>
      <c r="R263" s="629"/>
      <c r="S263" s="629"/>
      <c r="T263" s="629"/>
      <c r="U263" s="629"/>
      <c r="V263" s="629"/>
      <c r="W263" s="629"/>
      <c r="X263" s="629"/>
      <c r="Y263" s="629"/>
      <c r="Z263" s="629"/>
      <c r="AA263" s="629"/>
      <c r="AB263" s="630"/>
      <c r="AI263" s="2">
        <v>2</v>
      </c>
      <c r="AJ263" s="37" t="str">
        <f t="shared" si="2"/>
        <v>efficacy and cohesion</v>
      </c>
      <c r="AM263" s="699" t="s">
        <v>2565</v>
      </c>
      <c r="AN263" s="696" t="s">
        <v>1378</v>
      </c>
      <c r="AO263" s="400" t="s">
        <v>181</v>
      </c>
    </row>
    <row r="264" spans="1:41" ht="19.95" customHeight="1">
      <c r="A264" s="853"/>
      <c r="B264" s="1375"/>
      <c r="C264" s="1375"/>
      <c r="D264" s="1375"/>
      <c r="E264" s="1375"/>
      <c r="F264" s="1375"/>
      <c r="G264" s="1375"/>
      <c r="H264" s="1375"/>
      <c r="I264" s="1375"/>
      <c r="J264" s="1375"/>
      <c r="K264" s="1375"/>
      <c r="L264" s="1375"/>
      <c r="M264" s="1375"/>
      <c r="N264" s="862"/>
      <c r="O264" s="629"/>
      <c r="P264" s="629"/>
      <c r="Q264" s="629"/>
      <c r="R264" s="629"/>
      <c r="S264" s="629"/>
      <c r="T264" s="629"/>
      <c r="U264" s="629"/>
      <c r="V264" s="629"/>
      <c r="W264" s="629"/>
      <c r="X264" s="629"/>
      <c r="Y264" s="629"/>
      <c r="Z264" s="629"/>
      <c r="AA264" s="629"/>
      <c r="AB264" s="630"/>
      <c r="AI264" s="2">
        <v>3</v>
      </c>
      <c r="AJ264" s="37" t="str">
        <f t="shared" si="2"/>
        <v>novel and familiar</v>
      </c>
      <c r="AM264" s="699" t="s">
        <v>2566</v>
      </c>
      <c r="AN264" s="696" t="s">
        <v>1378</v>
      </c>
      <c r="AO264" s="400" t="s">
        <v>2577</v>
      </c>
    </row>
    <row r="265" spans="1:41" ht="4.95" customHeight="1" thickBot="1">
      <c r="A265" s="853"/>
      <c r="B265" s="632"/>
      <c r="C265" s="656"/>
      <c r="D265" s="656"/>
      <c r="E265" s="656"/>
      <c r="F265" s="656"/>
      <c r="G265" s="656"/>
      <c r="H265" s="656"/>
      <c r="I265" s="656"/>
      <c r="J265" s="656"/>
      <c r="K265" s="656"/>
      <c r="L265" s="656"/>
      <c r="M265" s="633"/>
      <c r="N265" s="862"/>
      <c r="O265" s="629"/>
      <c r="P265" s="629"/>
      <c r="Q265" s="629"/>
      <c r="R265" s="629"/>
      <c r="S265" s="629"/>
      <c r="T265" s="629"/>
      <c r="U265" s="629"/>
      <c r="V265" s="629"/>
      <c r="W265" s="629"/>
      <c r="X265" s="629"/>
      <c r="Y265" s="629"/>
      <c r="Z265" s="629"/>
      <c r="AA265" s="629"/>
      <c r="AB265" s="630"/>
      <c r="AI265" s="2">
        <v>4</v>
      </c>
      <c r="AJ265" s="37" t="str">
        <f t="shared" si="2"/>
        <v>minority and traditional</v>
      </c>
      <c r="AM265" s="699" t="s">
        <v>2567</v>
      </c>
      <c r="AN265" s="696" t="s">
        <v>1378</v>
      </c>
      <c r="AO265" s="400" t="s">
        <v>2578</v>
      </c>
    </row>
    <row r="266" spans="1:41" ht="30" customHeight="1" thickBot="1">
      <c r="A266" s="855"/>
      <c r="B266" s="1401"/>
      <c r="C266" s="1402"/>
      <c r="D266" s="1403"/>
      <c r="E266" s="1429" t="s">
        <v>3218</v>
      </c>
      <c r="F266" s="1430"/>
      <c r="G266" s="1430"/>
      <c r="H266" s="1430"/>
      <c r="I266" s="1430"/>
      <c r="J266" s="1431"/>
      <c r="K266" s="1385"/>
      <c r="L266" s="1386"/>
      <c r="M266" s="1387"/>
      <c r="N266" s="862"/>
      <c r="O266" s="629"/>
      <c r="P266" s="629"/>
      <c r="Q266" s="629"/>
      <c r="R266" s="629"/>
      <c r="S266" s="629"/>
      <c r="T266" s="629"/>
      <c r="U266" s="629"/>
      <c r="V266" s="629"/>
      <c r="W266" s="629"/>
      <c r="X266" s="629"/>
      <c r="Y266" s="629"/>
      <c r="Z266" s="629"/>
      <c r="AA266" s="629"/>
      <c r="AB266" s="630"/>
      <c r="AI266" s="2">
        <v>5</v>
      </c>
      <c r="AJ266" s="37" t="str">
        <f t="shared" si="2"/>
        <v>group and personal</v>
      </c>
      <c r="AM266" s="699" t="s">
        <v>2568</v>
      </c>
      <c r="AN266" s="696" t="s">
        <v>1378</v>
      </c>
      <c r="AO266" s="400" t="s">
        <v>1416</v>
      </c>
    </row>
    <row r="267" spans="1:41" ht="19.95" customHeight="1">
      <c r="A267" s="853"/>
      <c r="B267" s="1404"/>
      <c r="C267" s="1404"/>
      <c r="D267" s="1404"/>
      <c r="E267" s="1404"/>
      <c r="F267" s="1404"/>
      <c r="G267" s="1404"/>
      <c r="H267" s="1404"/>
      <c r="I267" s="1404"/>
      <c r="J267" s="1404"/>
      <c r="K267" s="1404"/>
      <c r="L267" s="1404"/>
      <c r="M267" s="1404"/>
      <c r="N267" s="862"/>
      <c r="O267" s="629"/>
      <c r="P267" s="629"/>
      <c r="Q267" s="629"/>
      <c r="R267" s="629"/>
      <c r="S267" s="629"/>
      <c r="T267" s="629"/>
      <c r="U267" s="629"/>
      <c r="V267" s="629"/>
      <c r="W267" s="629"/>
      <c r="X267" s="629"/>
      <c r="Y267" s="629"/>
      <c r="Z267" s="629"/>
      <c r="AA267" s="629"/>
      <c r="AB267" s="630"/>
      <c r="AI267" s="2">
        <v>6</v>
      </c>
      <c r="AJ267" s="37" t="str">
        <f t="shared" si="2"/>
        <v>equality and freedom</v>
      </c>
      <c r="AM267" s="699" t="s">
        <v>2569</v>
      </c>
      <c r="AN267" s="696" t="s">
        <v>1378</v>
      </c>
      <c r="AO267" s="400" t="s">
        <v>2579</v>
      </c>
    </row>
    <row r="268" spans="1:41" ht="19.95" customHeight="1">
      <c r="A268" s="853"/>
      <c r="B268" s="1404"/>
      <c r="C268" s="1404"/>
      <c r="D268" s="1404"/>
      <c r="E268" s="1404"/>
      <c r="F268" s="1404"/>
      <c r="G268" s="1404"/>
      <c r="H268" s="1404"/>
      <c r="I268" s="1404"/>
      <c r="J268" s="1404"/>
      <c r="K268" s="1404"/>
      <c r="L268" s="1404"/>
      <c r="M268" s="1404"/>
      <c r="N268" s="862"/>
      <c r="O268" s="629"/>
      <c r="P268" s="629"/>
      <c r="Q268" s="629"/>
      <c r="R268" s="629"/>
      <c r="S268" s="629"/>
      <c r="T268" s="629"/>
      <c r="U268" s="629"/>
      <c r="V268" s="629"/>
      <c r="W268" s="629"/>
      <c r="X268" s="629"/>
      <c r="Y268" s="629"/>
      <c r="Z268" s="629"/>
      <c r="AA268" s="629"/>
      <c r="AB268" s="630"/>
      <c r="AI268" s="2">
        <v>7</v>
      </c>
      <c r="AJ268" s="37" t="str">
        <f t="shared" si="2"/>
        <v>public goods and private goods</v>
      </c>
      <c r="AM268" s="699" t="s">
        <v>2570</v>
      </c>
      <c r="AN268" s="696" t="s">
        <v>1378</v>
      </c>
      <c r="AO268" s="400" t="s">
        <v>2575</v>
      </c>
    </row>
    <row r="269" spans="1:41" ht="19.95" customHeight="1">
      <c r="A269" s="853"/>
      <c r="B269" s="1404"/>
      <c r="C269" s="1404"/>
      <c r="D269" s="1404"/>
      <c r="E269" s="1404"/>
      <c r="F269" s="1404"/>
      <c r="G269" s="1404"/>
      <c r="H269" s="1404"/>
      <c r="I269" s="1404"/>
      <c r="J269" s="1404"/>
      <c r="K269" s="1404"/>
      <c r="L269" s="1404"/>
      <c r="M269" s="1404"/>
      <c r="N269" s="862"/>
      <c r="O269" s="629"/>
      <c r="P269" s="629"/>
      <c r="Q269" s="629"/>
      <c r="R269" s="629"/>
      <c r="S269" s="629"/>
      <c r="T269" s="629"/>
      <c r="U269" s="629"/>
      <c r="V269" s="629"/>
      <c r="W269" s="629"/>
      <c r="X269" s="629"/>
      <c r="Y269" s="629"/>
      <c r="Z269" s="629"/>
      <c r="AA269" s="629"/>
      <c r="AB269" s="630"/>
      <c r="AI269" s="2">
        <v>8</v>
      </c>
      <c r="AJ269" s="37" t="str">
        <f t="shared" si="2"/>
        <v>public sector and private sector</v>
      </c>
      <c r="AM269" s="699" t="s">
        <v>2571</v>
      </c>
      <c r="AN269" s="696" t="s">
        <v>1378</v>
      </c>
      <c r="AO269" s="400" t="s">
        <v>2576</v>
      </c>
    </row>
    <row r="270" spans="1:41" ht="19.95" customHeight="1">
      <c r="A270" s="853"/>
      <c r="B270" s="1404"/>
      <c r="C270" s="1404"/>
      <c r="D270" s="1404"/>
      <c r="E270" s="1404"/>
      <c r="F270" s="1404"/>
      <c r="G270" s="1404"/>
      <c r="H270" s="1404"/>
      <c r="I270" s="1404"/>
      <c r="J270" s="1404"/>
      <c r="K270" s="1404"/>
      <c r="L270" s="1404"/>
      <c r="M270" s="1404"/>
      <c r="N270" s="862"/>
      <c r="O270" s="629"/>
      <c r="P270" s="629"/>
      <c r="Q270" s="629"/>
      <c r="R270" s="629"/>
      <c r="S270" s="629"/>
      <c r="T270" s="629"/>
      <c r="U270" s="629"/>
      <c r="V270" s="629"/>
      <c r="W270" s="629"/>
      <c r="X270" s="629"/>
      <c r="Y270" s="629"/>
      <c r="Z270" s="629"/>
      <c r="AA270" s="629"/>
      <c r="AB270" s="630"/>
      <c r="AI270" s="2">
        <v>9</v>
      </c>
      <c r="AJ270" s="37" t="str">
        <f t="shared" si="2"/>
        <v>inclusion and stability</v>
      </c>
      <c r="AM270" s="699" t="s">
        <v>179</v>
      </c>
      <c r="AN270" s="696" t="s">
        <v>1378</v>
      </c>
      <c r="AO270" s="400" t="s">
        <v>2580</v>
      </c>
    </row>
    <row r="271" spans="1:41" ht="19.95" customHeight="1">
      <c r="A271" s="853"/>
      <c r="B271" s="1404"/>
      <c r="C271" s="1404"/>
      <c r="D271" s="1404"/>
      <c r="E271" s="1404"/>
      <c r="F271" s="1404"/>
      <c r="G271" s="1404"/>
      <c r="H271" s="1404"/>
      <c r="I271" s="1404"/>
      <c r="J271" s="1404"/>
      <c r="K271" s="1404"/>
      <c r="L271" s="1404"/>
      <c r="M271" s="1404"/>
      <c r="N271" s="862"/>
      <c r="O271" s="629"/>
      <c r="P271" s="629"/>
      <c r="Q271" s="629"/>
      <c r="R271" s="629"/>
      <c r="S271" s="629"/>
      <c r="T271" s="629"/>
      <c r="U271" s="629"/>
      <c r="V271" s="629"/>
      <c r="W271" s="629"/>
      <c r="X271" s="629"/>
      <c r="Y271" s="629"/>
      <c r="Z271" s="629"/>
      <c r="AA271" s="629"/>
      <c r="AB271" s="630"/>
      <c r="AI271" s="2">
        <v>10</v>
      </c>
      <c r="AJ271" s="37" t="str">
        <f t="shared" si="2"/>
        <v>collective and individual</v>
      </c>
      <c r="AM271" s="699" t="s">
        <v>2572</v>
      </c>
      <c r="AN271" s="696" t="s">
        <v>1378</v>
      </c>
      <c r="AO271" s="400" t="s">
        <v>2581</v>
      </c>
    </row>
    <row r="272" spans="1:41" ht="19.95" customHeight="1">
      <c r="A272" s="853"/>
      <c r="B272" s="1404"/>
      <c r="C272" s="1404"/>
      <c r="D272" s="1404"/>
      <c r="E272" s="1404"/>
      <c r="F272" s="1404"/>
      <c r="G272" s="1404"/>
      <c r="H272" s="1404"/>
      <c r="I272" s="1404"/>
      <c r="J272" s="1404"/>
      <c r="K272" s="1404"/>
      <c r="L272" s="1404"/>
      <c r="M272" s="1404"/>
      <c r="N272" s="862"/>
      <c r="O272" s="629"/>
      <c r="P272" s="629"/>
      <c r="Q272" s="629"/>
      <c r="R272" s="629"/>
      <c r="S272" s="629"/>
      <c r="T272" s="629"/>
      <c r="U272" s="629"/>
      <c r="V272" s="629"/>
      <c r="W272" s="629"/>
      <c r="X272" s="629"/>
      <c r="Y272" s="629"/>
      <c r="Z272" s="629"/>
      <c r="AA272" s="629"/>
      <c r="AB272" s="630"/>
      <c r="AI272" s="2">
        <v>11</v>
      </c>
      <c r="AJ272" s="37" t="str">
        <f t="shared" si="2"/>
        <v>"oppression" and "tyranny"</v>
      </c>
      <c r="AM272" s="699" t="s">
        <v>2573</v>
      </c>
      <c r="AN272" s="696" t="s">
        <v>1378</v>
      </c>
      <c r="AO272" s="400" t="s">
        <v>2582</v>
      </c>
    </row>
    <row r="273" spans="1:45" ht="19.95" customHeight="1">
      <c r="A273" s="853"/>
      <c r="B273" s="1404"/>
      <c r="C273" s="1404"/>
      <c r="D273" s="1404"/>
      <c r="E273" s="1404"/>
      <c r="F273" s="1404"/>
      <c r="G273" s="1404"/>
      <c r="H273" s="1404"/>
      <c r="I273" s="1404"/>
      <c r="J273" s="1404"/>
      <c r="K273" s="1404"/>
      <c r="L273" s="1404"/>
      <c r="M273" s="1404"/>
      <c r="N273" s="862"/>
      <c r="O273" s="629"/>
      <c r="P273" s="629"/>
      <c r="Q273" s="629"/>
      <c r="R273" s="629"/>
      <c r="S273" s="629"/>
      <c r="T273" s="629"/>
      <c r="U273" s="629"/>
      <c r="V273" s="629"/>
      <c r="W273" s="629"/>
      <c r="X273" s="629"/>
      <c r="Y273" s="629"/>
      <c r="Z273" s="629"/>
      <c r="AA273" s="629"/>
      <c r="AB273" s="630"/>
      <c r="AI273" s="2">
        <v>12</v>
      </c>
      <c r="AJ273" s="37" t="str">
        <f t="shared" si="2"/>
        <v>marginalized and intruded</v>
      </c>
      <c r="AM273" s="699" t="s">
        <v>2574</v>
      </c>
      <c r="AN273" s="696" t="s">
        <v>1378</v>
      </c>
      <c r="AO273" s="400" t="s">
        <v>2583</v>
      </c>
    </row>
    <row r="274" spans="1:45" ht="15" customHeight="1">
      <c r="A274" s="857"/>
      <c r="B274" s="635"/>
      <c r="C274" s="635"/>
      <c r="D274" s="635"/>
      <c r="E274" s="635"/>
      <c r="F274" s="635"/>
      <c r="G274" s="635"/>
      <c r="H274" s="635"/>
      <c r="I274" s="635"/>
      <c r="J274" s="635"/>
      <c r="K274" s="635"/>
      <c r="L274" s="635"/>
      <c r="M274" s="635"/>
      <c r="N274" s="867"/>
      <c r="O274" s="635"/>
      <c r="P274" s="635"/>
      <c r="Q274" s="635"/>
      <c r="R274" s="635"/>
      <c r="S274" s="635"/>
      <c r="T274" s="635"/>
      <c r="U274" s="635"/>
      <c r="V274" s="635"/>
      <c r="W274" s="635"/>
      <c r="X274" s="635"/>
      <c r="Y274" s="635"/>
      <c r="Z274" s="635"/>
      <c r="AA274" s="635"/>
      <c r="AB274" s="636"/>
    </row>
    <row r="275" spans="1:45" ht="30" customHeight="1">
      <c r="A275" s="854" t="s">
        <v>1148</v>
      </c>
      <c r="B275" s="884" t="s">
        <v>2081</v>
      </c>
      <c r="C275" s="884"/>
      <c r="D275" s="884"/>
      <c r="E275" s="884"/>
      <c r="F275" s="884"/>
      <c r="G275" s="884"/>
      <c r="H275" s="884"/>
      <c r="I275" s="884"/>
      <c r="J275" s="884"/>
      <c r="K275" s="884"/>
      <c r="L275" s="884"/>
      <c r="M275" s="884"/>
      <c r="N275" s="865" t="s">
        <v>1149</v>
      </c>
      <c r="O275" s="860"/>
      <c r="P275" s="647"/>
      <c r="Q275" s="647"/>
      <c r="R275" s="647"/>
      <c r="S275" s="647"/>
      <c r="T275" s="647"/>
      <c r="U275" s="647"/>
      <c r="V275" s="647"/>
      <c r="W275" s="647"/>
      <c r="X275" s="647"/>
      <c r="Y275" s="647"/>
      <c r="Z275" s="647"/>
      <c r="AA275" s="647"/>
      <c r="AB275" s="650" t="s">
        <v>1149</v>
      </c>
      <c r="AI275" s="37" t="str">
        <f>CONCATENATE(AK275,AL275,AM275)</f>
        <v/>
      </c>
      <c r="AJ275" s="37" t="str">
        <f t="shared" ref="AJ275:AO275" si="3">CONCATENATE(AL275,AM275,AN275)</f>
        <v/>
      </c>
      <c r="AK275" s="37" t="str">
        <f t="shared" si="3"/>
        <v/>
      </c>
      <c r="AL275" s="37" t="str">
        <f t="shared" si="3"/>
        <v/>
      </c>
      <c r="AM275" s="37" t="str">
        <f t="shared" si="3"/>
        <v/>
      </c>
      <c r="AN275" s="37" t="str">
        <f t="shared" si="3"/>
        <v/>
      </c>
      <c r="AO275" s="37" t="str">
        <f t="shared" si="3"/>
        <v/>
      </c>
    </row>
    <row r="276" spans="1:45" ht="10.050000000000001" customHeight="1">
      <c r="A276" s="853"/>
      <c r="B276" s="629"/>
      <c r="C276" s="629"/>
      <c r="D276" s="629"/>
      <c r="E276" s="629"/>
      <c r="F276" s="629"/>
      <c r="G276" s="629"/>
      <c r="H276" s="629"/>
      <c r="I276" s="629"/>
      <c r="J276" s="629"/>
      <c r="K276" s="629"/>
      <c r="L276" s="629"/>
      <c r="M276" s="629"/>
      <c r="N276" s="862"/>
      <c r="O276" s="629"/>
      <c r="P276" s="629"/>
      <c r="Q276" s="629"/>
      <c r="R276" s="629"/>
      <c r="S276" s="629"/>
      <c r="T276" s="629"/>
      <c r="U276" s="629"/>
      <c r="V276" s="629"/>
      <c r="W276" s="629"/>
      <c r="X276" s="629"/>
      <c r="Y276" s="629"/>
      <c r="Z276" s="629"/>
      <c r="AA276" s="629"/>
      <c r="AB276" s="630"/>
    </row>
    <row r="277" spans="1:45" ht="19.95" customHeight="1">
      <c r="A277" s="853"/>
      <c r="B277" s="706" t="s">
        <v>3219</v>
      </c>
      <c r="C277" s="631"/>
      <c r="D277" s="631"/>
      <c r="E277" s="631"/>
      <c r="F277" s="631"/>
      <c r="G277" s="631"/>
      <c r="H277" s="631"/>
      <c r="I277" s="631"/>
      <c r="J277" s="631"/>
      <c r="K277" s="631"/>
      <c r="L277" s="631"/>
      <c r="M277" s="631"/>
      <c r="N277" s="862"/>
      <c r="O277" s="629"/>
      <c r="P277" s="629"/>
      <c r="Q277" s="629"/>
      <c r="R277" s="629"/>
      <c r="S277" s="629"/>
      <c r="T277" s="629"/>
      <c r="U277" s="629"/>
      <c r="V277" s="629"/>
      <c r="W277" s="629"/>
      <c r="X277" s="629"/>
      <c r="Y277" s="629"/>
      <c r="Z277" s="629"/>
      <c r="AA277" s="629"/>
      <c r="AB277" s="630"/>
    </row>
    <row r="278" spans="1:45" ht="4.95" customHeight="1">
      <c r="A278" s="853"/>
      <c r="B278" s="631"/>
      <c r="C278" s="631"/>
      <c r="D278" s="631"/>
      <c r="E278" s="631"/>
      <c r="F278" s="631"/>
      <c r="G278" s="631"/>
      <c r="H278" s="631"/>
      <c r="I278" s="631"/>
      <c r="J278" s="631"/>
      <c r="K278" s="631"/>
      <c r="L278" s="631"/>
      <c r="M278" s="631"/>
      <c r="N278" s="862"/>
      <c r="O278" s="629"/>
      <c r="P278" s="629"/>
      <c r="Q278" s="629"/>
      <c r="R278" s="629"/>
      <c r="S278" s="629"/>
      <c r="T278" s="629"/>
      <c r="U278" s="629"/>
      <c r="V278" s="629"/>
      <c r="W278" s="629"/>
      <c r="X278" s="629"/>
      <c r="Y278" s="629"/>
      <c r="Z278" s="629"/>
      <c r="AA278" s="629"/>
      <c r="AB278" s="630"/>
    </row>
    <row r="279" spans="1:45" ht="19.95" customHeight="1">
      <c r="A279" s="858" t="s">
        <v>2468</v>
      </c>
      <c r="B279" s="632"/>
      <c r="C279" s="631"/>
      <c r="D279" s="631"/>
      <c r="E279" s="631"/>
      <c r="F279" s="631"/>
      <c r="G279" s="631"/>
      <c r="H279" s="631"/>
      <c r="I279" s="631"/>
      <c r="J279" s="631"/>
      <c r="K279" s="631"/>
      <c r="L279" s="631"/>
      <c r="M279" s="631"/>
      <c r="N279" s="862"/>
      <c r="O279" s="629"/>
      <c r="P279" s="629"/>
      <c r="Q279" s="629"/>
      <c r="R279" s="629"/>
      <c r="S279" s="629"/>
      <c r="T279" s="629"/>
      <c r="U279" s="629"/>
      <c r="V279" s="629"/>
      <c r="W279" s="629"/>
      <c r="X279" s="629"/>
      <c r="Y279" s="629"/>
      <c r="Z279" s="629"/>
      <c r="AA279" s="629"/>
      <c r="AB279" s="630"/>
    </row>
    <row r="280" spans="1:45" ht="19.95" customHeight="1">
      <c r="A280" s="853"/>
      <c r="B280" s="1375" t="str">
        <f>AI280</f>
        <v>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it.</v>
      </c>
      <c r="C280" s="1375"/>
      <c r="D280" s="1375"/>
      <c r="E280" s="1375"/>
      <c r="F280" s="1375"/>
      <c r="G280" s="1375"/>
      <c r="H280" s="1375"/>
      <c r="I280" s="1375"/>
      <c r="J280" s="1375"/>
      <c r="K280" s="1375"/>
      <c r="L280" s="1375"/>
      <c r="M280" s="1375"/>
      <c r="N280" s="862"/>
      <c r="O280" s="629"/>
      <c r="P280" s="629"/>
      <c r="Q280" s="629"/>
      <c r="R280" s="629"/>
      <c r="S280" s="629"/>
      <c r="T280" s="629"/>
      <c r="U280" s="629"/>
      <c r="V280" s="629"/>
      <c r="W280" s="629"/>
      <c r="X280" s="629"/>
      <c r="Y280" s="629"/>
      <c r="Z280" s="629"/>
      <c r="AA280" s="629"/>
      <c r="AB280" s="630"/>
      <c r="AI280" s="459" t="str">
        <f>CONCATENATE(AK280,AL280,AM280,AN280,AO280,AP280,AQ280,AR280,AS280,AT280,AU280,AV280,AW280,AX280)</f>
        <v>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it.</v>
      </c>
      <c r="AK280" s="465" t="s">
        <v>3173</v>
      </c>
      <c r="AM280" s="465"/>
    </row>
    <row r="281" spans="1:45" ht="19.95" customHeight="1">
      <c r="A281" s="853"/>
      <c r="B281" s="1375"/>
      <c r="C281" s="1375"/>
      <c r="D281" s="1375"/>
      <c r="E281" s="1375"/>
      <c r="F281" s="1375"/>
      <c r="G281" s="1375"/>
      <c r="H281" s="1375"/>
      <c r="I281" s="1375"/>
      <c r="J281" s="1375"/>
      <c r="K281" s="1375"/>
      <c r="L281" s="1375"/>
      <c r="M281" s="1375"/>
      <c r="N281" s="862"/>
      <c r="O281" s="629"/>
      <c r="P281" s="629"/>
      <c r="Q281" s="629"/>
      <c r="R281" s="629"/>
      <c r="S281" s="629"/>
      <c r="T281" s="629"/>
      <c r="U281" s="629"/>
      <c r="V281" s="629"/>
      <c r="W281" s="629"/>
      <c r="X281" s="629"/>
      <c r="Y281" s="629"/>
      <c r="Z281" s="629"/>
      <c r="AA281" s="629"/>
      <c r="AB281" s="630"/>
      <c r="AK281" s="734"/>
    </row>
    <row r="282" spans="1:45" ht="19.95" customHeight="1">
      <c r="A282" s="853"/>
      <c r="B282" s="1375"/>
      <c r="C282" s="1375"/>
      <c r="D282" s="1375"/>
      <c r="E282" s="1375"/>
      <c r="F282" s="1375"/>
      <c r="G282" s="1375"/>
      <c r="H282" s="1375"/>
      <c r="I282" s="1375"/>
      <c r="J282" s="1375"/>
      <c r="K282" s="1375"/>
      <c r="L282" s="1375"/>
      <c r="M282" s="1375"/>
      <c r="N282" s="862"/>
      <c r="O282" s="629"/>
      <c r="P282" s="629"/>
      <c r="Q282" s="629"/>
      <c r="R282" s="629"/>
      <c r="S282" s="629"/>
      <c r="T282" s="629"/>
      <c r="U282" s="629"/>
      <c r="V282" s="629"/>
      <c r="W282" s="629"/>
      <c r="X282" s="629"/>
      <c r="Y282" s="629"/>
      <c r="Z282" s="629"/>
      <c r="AA282" s="629"/>
      <c r="AB282" s="630"/>
    </row>
    <row r="283" spans="1:45" ht="19.95" customHeight="1">
      <c r="A283" s="853"/>
      <c r="B283" s="1375"/>
      <c r="C283" s="1375"/>
      <c r="D283" s="1375"/>
      <c r="E283" s="1375"/>
      <c r="F283" s="1375"/>
      <c r="G283" s="1375"/>
      <c r="H283" s="1375"/>
      <c r="I283" s="1375"/>
      <c r="J283" s="1375"/>
      <c r="K283" s="1375"/>
      <c r="L283" s="1375"/>
      <c r="M283" s="1375"/>
      <c r="N283" s="862"/>
      <c r="O283" s="629"/>
      <c r="P283" s="629"/>
      <c r="Q283" s="629"/>
      <c r="R283" s="629"/>
      <c r="S283" s="629"/>
      <c r="T283" s="629"/>
      <c r="U283" s="629"/>
      <c r="V283" s="629"/>
      <c r="W283" s="629"/>
      <c r="X283" s="629"/>
      <c r="Y283" s="629"/>
      <c r="Z283" s="629"/>
      <c r="AA283" s="629"/>
      <c r="AB283" s="630"/>
    </row>
    <row r="284" spans="1:45" ht="19.95" customHeight="1">
      <c r="A284" s="853"/>
      <c r="B284" s="1375"/>
      <c r="C284" s="1375"/>
      <c r="D284" s="1375"/>
      <c r="E284" s="1375"/>
      <c r="F284" s="1375"/>
      <c r="G284" s="1375"/>
      <c r="H284" s="1375"/>
      <c r="I284" s="1375"/>
      <c r="J284" s="1375"/>
      <c r="K284" s="1375"/>
      <c r="L284" s="1375"/>
      <c r="M284" s="1375"/>
      <c r="N284" s="862"/>
      <c r="O284" s="629"/>
      <c r="P284" s="629"/>
      <c r="Q284" s="629"/>
      <c r="R284" s="629"/>
      <c r="S284" s="629"/>
      <c r="T284" s="629"/>
      <c r="U284" s="629"/>
      <c r="V284" s="629"/>
      <c r="W284" s="629"/>
      <c r="X284" s="629"/>
      <c r="Y284" s="629"/>
      <c r="Z284" s="629"/>
      <c r="AA284" s="629"/>
      <c r="AB284" s="630"/>
    </row>
    <row r="285" spans="1:45" ht="4.95" customHeight="1" thickBot="1">
      <c r="A285" s="853"/>
      <c r="B285" s="629"/>
      <c r="C285" s="629"/>
      <c r="D285" s="629"/>
      <c r="E285" s="629"/>
      <c r="F285" s="629"/>
      <c r="G285" s="629"/>
      <c r="H285" s="629"/>
      <c r="I285" s="629"/>
      <c r="J285" s="629"/>
      <c r="K285" s="629"/>
      <c r="L285" s="629"/>
      <c r="M285" s="629"/>
      <c r="N285" s="862"/>
      <c r="O285" s="629"/>
      <c r="P285" s="629"/>
      <c r="Q285" s="629"/>
      <c r="R285" s="629"/>
      <c r="S285" s="629"/>
      <c r="T285" s="629"/>
      <c r="U285" s="629"/>
      <c r="V285" s="629"/>
      <c r="W285" s="629"/>
      <c r="X285" s="629"/>
      <c r="Y285" s="629"/>
      <c r="Z285" s="629"/>
      <c r="AA285" s="629"/>
      <c r="AB285" s="630"/>
    </row>
    <row r="286" spans="1:45" ht="25.05" customHeight="1" thickBot="1">
      <c r="A286" s="855"/>
      <c r="B286" s="1413" t="s">
        <v>2502</v>
      </c>
      <c r="C286" s="1414"/>
      <c r="D286" s="1414"/>
      <c r="E286" s="1414"/>
      <c r="F286" s="1414"/>
      <c r="G286" s="1414"/>
      <c r="H286" s="1414"/>
      <c r="I286" s="1414"/>
      <c r="J286" s="1414"/>
      <c r="K286" s="1414"/>
      <c r="L286" s="1414"/>
      <c r="M286" s="1415"/>
      <c r="N286" s="862"/>
      <c r="O286" s="629"/>
      <c r="P286" s="629"/>
      <c r="Q286" s="629"/>
      <c r="R286" s="629"/>
      <c r="S286" s="629"/>
      <c r="T286" s="629"/>
      <c r="U286" s="629"/>
      <c r="V286" s="629"/>
      <c r="W286" s="629"/>
      <c r="X286" s="629"/>
      <c r="Y286" s="629"/>
      <c r="Z286" s="629"/>
      <c r="AA286" s="629"/>
      <c r="AB286" s="630"/>
      <c r="AK286" s="894" t="str">
        <f>B286</f>
        <v>I affirm your loneliness expresses your need for connection.</v>
      </c>
      <c r="AQ286" s="892" t="str">
        <f>IF($B$286=$AK$287,AQ287,IF($B$286=$AK$288,AQ288,IF($B$286=$AK$289,AQ289,IF($B$286=$AK$290,AQ290,IF($B$286=$AK$291,AQ291,"")))))</f>
        <v>We must outlaw historic discrimination so minorities can integrate into society.</v>
      </c>
      <c r="AS286" s="893" t="str">
        <f>IF($B$286=$AK$287,AS287,IF($B$286=$AK$288,AS288,IF($B$286=$AK$289,AS289,IF($B$286=$AK$290,AS290,IF($B$286=$AK$291,AS291,"")))))</f>
        <v>We must guard the social cohesion of our families to ensure we stay connected.</v>
      </c>
    </row>
    <row r="287" spans="1:45" ht="15" customHeight="1">
      <c r="A287" s="853"/>
      <c r="B287" s="1389" t="str">
        <f>AQ286</f>
        <v>We must outlaw historic discrimination so minorities can integrate into society.</v>
      </c>
      <c r="C287" s="1389"/>
      <c r="D287" s="1389"/>
      <c r="E287" s="1389"/>
      <c r="F287" s="1389"/>
      <c r="G287" s="1389"/>
      <c r="H287" s="1424" t="str">
        <f>AS286</f>
        <v>We must guard the social cohesion of our families to ensure we stay connected.</v>
      </c>
      <c r="I287" s="1424"/>
      <c r="J287" s="1424"/>
      <c r="K287" s="1424"/>
      <c r="L287" s="1424"/>
      <c r="M287" s="1424"/>
      <c r="N287" s="862"/>
      <c r="O287" s="629"/>
      <c r="P287" s="629"/>
      <c r="Q287" s="629"/>
      <c r="R287" s="629"/>
      <c r="S287" s="629"/>
      <c r="T287" s="629"/>
      <c r="U287" s="629"/>
      <c r="V287" s="629"/>
      <c r="W287" s="629"/>
      <c r="X287" s="629"/>
      <c r="Y287" s="629"/>
      <c r="Z287" s="629"/>
      <c r="AA287" s="629"/>
      <c r="AB287" s="630"/>
      <c r="AK287" s="142" t="s">
        <v>2500</v>
      </c>
      <c r="AQ287" s="46" t="s">
        <v>2505</v>
      </c>
      <c r="AS287" s="46" t="s">
        <v>2507</v>
      </c>
    </row>
    <row r="288" spans="1:45" ht="15" customHeight="1">
      <c r="A288" s="853"/>
      <c r="B288" s="1390"/>
      <c r="C288" s="1390"/>
      <c r="D288" s="1390"/>
      <c r="E288" s="1390"/>
      <c r="F288" s="1390"/>
      <c r="G288" s="1390"/>
      <c r="H288" s="1425"/>
      <c r="I288" s="1425"/>
      <c r="J288" s="1425"/>
      <c r="K288" s="1425"/>
      <c r="L288" s="1425"/>
      <c r="M288" s="1425"/>
      <c r="N288" s="862"/>
      <c r="O288" s="629"/>
      <c r="P288" s="629"/>
      <c r="Q288" s="629"/>
      <c r="R288" s="629"/>
      <c r="S288" s="629"/>
      <c r="T288" s="629"/>
      <c r="U288" s="629"/>
      <c r="V288" s="629"/>
      <c r="W288" s="629"/>
      <c r="X288" s="629"/>
      <c r="Y288" s="629"/>
      <c r="Z288" s="629"/>
      <c r="AA288" s="629"/>
      <c r="AB288" s="630"/>
      <c r="AK288" s="142" t="s">
        <v>2501</v>
      </c>
      <c r="AQ288" s="46" t="s">
        <v>2504</v>
      </c>
      <c r="AS288" s="46" t="s">
        <v>2506</v>
      </c>
    </row>
    <row r="289" spans="1:45" ht="15" customHeight="1">
      <c r="A289" s="853"/>
      <c r="B289" s="1390"/>
      <c r="C289" s="1390"/>
      <c r="D289" s="1390"/>
      <c r="E289" s="1390"/>
      <c r="F289" s="1390"/>
      <c r="G289" s="1390"/>
      <c r="H289" s="1425"/>
      <c r="I289" s="1425"/>
      <c r="J289" s="1425"/>
      <c r="K289" s="1425"/>
      <c r="L289" s="1425"/>
      <c r="M289" s="1425"/>
      <c r="N289" s="862"/>
      <c r="O289" s="629"/>
      <c r="P289" s="629"/>
      <c r="Q289" s="629"/>
      <c r="R289" s="629"/>
      <c r="S289" s="629"/>
      <c r="T289" s="629"/>
      <c r="U289" s="629"/>
      <c r="V289" s="629"/>
      <c r="W289" s="629"/>
      <c r="X289" s="629"/>
      <c r="Y289" s="629"/>
      <c r="Z289" s="629"/>
      <c r="AA289" s="629"/>
      <c r="AB289" s="630"/>
      <c r="AK289" s="142" t="s">
        <v>2502</v>
      </c>
      <c r="AQ289" s="46" t="s">
        <v>3192</v>
      </c>
      <c r="AS289" s="46" t="s">
        <v>2508</v>
      </c>
    </row>
    <row r="290" spans="1:45" ht="15" customHeight="1">
      <c r="A290" s="853"/>
      <c r="B290" s="1390"/>
      <c r="C290" s="1390"/>
      <c r="D290" s="1390"/>
      <c r="E290" s="1390"/>
      <c r="F290" s="1390"/>
      <c r="G290" s="1390"/>
      <c r="H290" s="1425"/>
      <c r="I290" s="1425"/>
      <c r="J290" s="1425"/>
      <c r="K290" s="1425"/>
      <c r="L290" s="1425"/>
      <c r="M290" s="1425"/>
      <c r="N290" s="862"/>
      <c r="O290" s="629"/>
      <c r="P290" s="629"/>
      <c r="Q290" s="629"/>
      <c r="R290" s="629"/>
      <c r="S290" s="629"/>
      <c r="T290" s="629"/>
      <c r="U290" s="629"/>
      <c r="V290" s="629"/>
      <c r="W290" s="629"/>
      <c r="X290" s="629"/>
      <c r="Y290" s="629"/>
      <c r="Z290" s="629"/>
      <c r="AA290" s="629"/>
      <c r="AB290" s="630"/>
      <c r="AK290" s="142" t="s">
        <v>2509</v>
      </c>
      <c r="AQ290" s="46" t="s">
        <v>2510</v>
      </c>
      <c r="AS290" s="46" t="s">
        <v>2511</v>
      </c>
    </row>
    <row r="291" spans="1:45" ht="15" customHeight="1">
      <c r="A291" s="853"/>
      <c r="B291" s="1390"/>
      <c r="C291" s="1390"/>
      <c r="D291" s="1390"/>
      <c r="E291" s="1390"/>
      <c r="F291" s="1390"/>
      <c r="G291" s="1390"/>
      <c r="H291" s="1425"/>
      <c r="I291" s="1425"/>
      <c r="J291" s="1425"/>
      <c r="K291" s="1425"/>
      <c r="L291" s="1425"/>
      <c r="M291" s="1425"/>
      <c r="N291" s="862"/>
      <c r="O291" s="629"/>
      <c r="P291" s="629"/>
      <c r="Q291" s="629"/>
      <c r="R291" s="629"/>
      <c r="S291" s="629"/>
      <c r="T291" s="629"/>
      <c r="U291" s="629"/>
      <c r="V291" s="629"/>
      <c r="W291" s="629"/>
      <c r="X291" s="629"/>
      <c r="Y291" s="629"/>
      <c r="Z291" s="629"/>
      <c r="AA291" s="629"/>
      <c r="AB291" s="630"/>
      <c r="AK291" s="142" t="s">
        <v>2503</v>
      </c>
      <c r="AQ291" s="46" t="s">
        <v>2512</v>
      </c>
      <c r="AS291" s="46" t="s">
        <v>2513</v>
      </c>
    </row>
    <row r="292" spans="1:45" ht="25.05" customHeight="1">
      <c r="A292" s="853"/>
      <c r="B292" s="629"/>
      <c r="C292" s="629"/>
      <c r="D292" s="629"/>
      <c r="E292" s="629"/>
      <c r="F292" s="629"/>
      <c r="G292" s="629"/>
      <c r="H292" s="629"/>
      <c r="I292" s="629"/>
      <c r="J292" s="629"/>
      <c r="K292" s="629"/>
      <c r="L292" s="629"/>
      <c r="M292" s="629"/>
      <c r="N292" s="862"/>
      <c r="O292" s="629"/>
      <c r="P292" s="629"/>
      <c r="Q292" s="629"/>
      <c r="R292" s="629"/>
      <c r="S292" s="629"/>
      <c r="T292" s="629"/>
      <c r="U292" s="629"/>
      <c r="V292" s="629"/>
      <c r="W292" s="629"/>
      <c r="X292" s="629"/>
      <c r="Y292" s="629"/>
      <c r="Z292" s="629"/>
      <c r="AA292" s="629"/>
      <c r="AB292" s="630"/>
    </row>
    <row r="293" spans="1:45" ht="19.95" customHeight="1">
      <c r="A293" s="858" t="s">
        <v>2469</v>
      </c>
      <c r="B293" s="632"/>
      <c r="C293" s="629"/>
      <c r="D293" s="629"/>
      <c r="E293" s="629"/>
      <c r="F293" s="629"/>
      <c r="G293" s="629"/>
      <c r="H293" s="629"/>
      <c r="I293" s="629"/>
      <c r="J293" s="629"/>
      <c r="K293" s="629"/>
      <c r="L293" s="629"/>
      <c r="M293" s="629"/>
      <c r="N293" s="862"/>
      <c r="O293" s="629"/>
      <c r="P293" s="629"/>
      <c r="Q293" s="629"/>
      <c r="R293" s="629"/>
      <c r="S293" s="629"/>
      <c r="T293" s="629"/>
      <c r="U293" s="629"/>
      <c r="V293" s="629"/>
      <c r="W293" s="629"/>
      <c r="X293" s="629"/>
      <c r="Y293" s="629"/>
      <c r="Z293" s="629"/>
      <c r="AA293" s="629"/>
      <c r="AB293" s="630"/>
    </row>
    <row r="294" spans="1:45" ht="19.95" customHeight="1">
      <c r="A294" s="853"/>
      <c r="B294" s="1375" t="str">
        <f>AI294</f>
        <v>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v>
      </c>
      <c r="C294" s="1375"/>
      <c r="D294" s="1375"/>
      <c r="E294" s="1375"/>
      <c r="F294" s="1375"/>
      <c r="G294" s="1375"/>
      <c r="H294" s="1375"/>
      <c r="I294" s="1375"/>
      <c r="J294" s="1375"/>
      <c r="K294" s="1375"/>
      <c r="L294" s="1375"/>
      <c r="M294" s="1375"/>
      <c r="N294" s="862"/>
      <c r="O294" s="629"/>
      <c r="P294" s="629"/>
      <c r="Q294" s="629"/>
      <c r="R294" s="629"/>
      <c r="S294" s="629"/>
      <c r="T294" s="629"/>
      <c r="U294" s="629"/>
      <c r="V294" s="629"/>
      <c r="W294" s="629"/>
      <c r="X294" s="629"/>
      <c r="Y294" s="629"/>
      <c r="Z294" s="629"/>
      <c r="AA294" s="629"/>
      <c r="AB294" s="630"/>
      <c r="AI294" s="459" t="str">
        <f>IF(OR(H$113="",H$115=""),AK295,CONCATENATE(AK294,AL294,AM294,AN294,AO294,AP294,AQ294,AR294,AS294,AT294,AU294,AV294,AW294,AX294))</f>
        <v>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v>
      </c>
      <c r="AK294" s="465" t="s">
        <v>2131</v>
      </c>
      <c r="AL294" s="2" t="str">
        <f>AN1299</f>
        <v/>
      </c>
      <c r="AM294" s="465" t="s">
        <v>2132</v>
      </c>
      <c r="AN294" s="2" t="str">
        <f>AP1299</f>
        <v/>
      </c>
      <c r="AO294" s="465" t="s">
        <v>2133</v>
      </c>
      <c r="AP294" s="2" t="str">
        <f>AO1299</f>
        <v/>
      </c>
      <c r="AQ294" s="465" t="s">
        <v>2132</v>
      </c>
      <c r="AR294" s="2" t="str">
        <f>AQ1299</f>
        <v/>
      </c>
      <c r="AS294" s="465" t="s">
        <v>2134</v>
      </c>
    </row>
    <row r="295" spans="1:45" ht="19.95" customHeight="1">
      <c r="A295" s="853"/>
      <c r="B295" s="1375"/>
      <c r="C295" s="1375"/>
      <c r="D295" s="1375"/>
      <c r="E295" s="1375"/>
      <c r="F295" s="1375"/>
      <c r="G295" s="1375"/>
      <c r="H295" s="1375"/>
      <c r="I295" s="1375"/>
      <c r="J295" s="1375"/>
      <c r="K295" s="1375"/>
      <c r="L295" s="1375"/>
      <c r="M295" s="1375"/>
      <c r="N295" s="862"/>
      <c r="O295" s="629"/>
      <c r="P295" s="629"/>
      <c r="Q295" s="629"/>
      <c r="R295" s="629"/>
      <c r="S295" s="629"/>
      <c r="T295" s="629"/>
      <c r="U295" s="629"/>
      <c r="V295" s="629"/>
      <c r="W295" s="629"/>
      <c r="X295" s="629"/>
      <c r="Y295" s="629"/>
      <c r="Z295" s="629"/>
      <c r="AA295" s="629"/>
      <c r="AB295" s="630"/>
      <c r="AK295" s="734" t="s">
        <v>3179</v>
      </c>
    </row>
    <row r="296" spans="1:45" ht="19.95" customHeight="1">
      <c r="A296" s="853"/>
      <c r="B296" s="1375"/>
      <c r="C296" s="1375"/>
      <c r="D296" s="1375"/>
      <c r="E296" s="1375"/>
      <c r="F296" s="1375"/>
      <c r="G296" s="1375"/>
      <c r="H296" s="1375"/>
      <c r="I296" s="1375"/>
      <c r="J296" s="1375"/>
      <c r="K296" s="1375"/>
      <c r="L296" s="1375"/>
      <c r="M296" s="1375"/>
      <c r="N296" s="862"/>
      <c r="O296" s="629"/>
      <c r="P296" s="629"/>
      <c r="Q296" s="629"/>
      <c r="R296" s="629"/>
      <c r="S296" s="629"/>
      <c r="T296" s="629"/>
      <c r="U296" s="629"/>
      <c r="V296" s="629"/>
      <c r="W296" s="629"/>
      <c r="X296" s="629"/>
      <c r="Y296" s="629"/>
      <c r="Z296" s="629"/>
      <c r="AA296" s="629"/>
      <c r="AB296" s="630"/>
    </row>
    <row r="297" spans="1:45" ht="19.95" customHeight="1">
      <c r="A297" s="853"/>
      <c r="B297" s="1375"/>
      <c r="C297" s="1375"/>
      <c r="D297" s="1375"/>
      <c r="E297" s="1375"/>
      <c r="F297" s="1375"/>
      <c r="G297" s="1375"/>
      <c r="H297" s="1375"/>
      <c r="I297" s="1375"/>
      <c r="J297" s="1375"/>
      <c r="K297" s="1375"/>
      <c r="L297" s="1375"/>
      <c r="M297" s="1375"/>
      <c r="N297" s="862"/>
      <c r="O297" s="629"/>
      <c r="P297" s="629"/>
      <c r="Q297" s="629"/>
      <c r="R297" s="629"/>
      <c r="S297" s="629"/>
      <c r="T297" s="629"/>
      <c r="U297" s="629"/>
      <c r="V297" s="629"/>
      <c r="W297" s="629"/>
      <c r="X297" s="629"/>
      <c r="Y297" s="629"/>
      <c r="Z297" s="629"/>
      <c r="AA297" s="629"/>
      <c r="AB297" s="630"/>
    </row>
    <row r="298" spans="1:45" ht="19.95" customHeight="1">
      <c r="A298" s="853"/>
      <c r="B298" s="1375"/>
      <c r="C298" s="1375"/>
      <c r="D298" s="1375"/>
      <c r="E298" s="1375"/>
      <c r="F298" s="1375"/>
      <c r="G298" s="1375"/>
      <c r="H298" s="1375"/>
      <c r="I298" s="1375"/>
      <c r="J298" s="1375"/>
      <c r="K298" s="1375"/>
      <c r="L298" s="1375"/>
      <c r="M298" s="1375"/>
      <c r="N298" s="862"/>
      <c r="O298" s="629"/>
      <c r="P298" s="629"/>
      <c r="Q298" s="629"/>
      <c r="R298" s="629"/>
      <c r="S298" s="629"/>
      <c r="T298" s="629"/>
      <c r="U298" s="629"/>
      <c r="V298" s="629"/>
      <c r="W298" s="629"/>
      <c r="X298" s="629"/>
      <c r="Y298" s="629"/>
      <c r="Z298" s="629"/>
      <c r="AA298" s="629"/>
      <c r="AB298" s="630"/>
    </row>
    <row r="299" spans="1:45" ht="10.050000000000001" customHeight="1">
      <c r="A299" s="853"/>
      <c r="B299" s="634"/>
      <c r="C299" s="634"/>
      <c r="D299" s="634"/>
      <c r="E299" s="634"/>
      <c r="F299" s="634"/>
      <c r="G299" s="634"/>
      <c r="H299" s="634"/>
      <c r="I299" s="634"/>
      <c r="J299" s="634"/>
      <c r="K299" s="634"/>
      <c r="L299" s="634"/>
      <c r="M299" s="634"/>
      <c r="N299" s="862"/>
      <c r="O299" s="629"/>
      <c r="P299" s="629"/>
      <c r="Q299" s="629"/>
      <c r="R299" s="629"/>
      <c r="S299" s="629"/>
      <c r="T299" s="629"/>
      <c r="U299" s="629"/>
      <c r="V299" s="629"/>
      <c r="W299" s="629"/>
      <c r="X299" s="629"/>
      <c r="Y299" s="629"/>
      <c r="Z299" s="629"/>
      <c r="AA299" s="629"/>
      <c r="AB299" s="630"/>
    </row>
    <row r="300" spans="1:45" ht="19.95" customHeight="1">
      <c r="A300" s="853"/>
      <c r="B300" s="1427" t="str">
        <f>AI301</f>
        <v>They take away our rights and insist we serve big business!</v>
      </c>
      <c r="C300" s="1427"/>
      <c r="D300" s="1427"/>
      <c r="E300" s="1427"/>
      <c r="F300" s="634"/>
      <c r="G300" s="634"/>
      <c r="H300" s="634"/>
      <c r="I300" s="634"/>
      <c r="J300" s="1427" t="str">
        <f>AI304</f>
        <v>They take away our liberty and insist we serve big government!</v>
      </c>
      <c r="K300" s="1427"/>
      <c r="L300" s="1427"/>
      <c r="M300" s="1427"/>
      <c r="N300" s="862"/>
      <c r="O300" s="629"/>
      <c r="P300" s="629"/>
      <c r="Q300" s="629"/>
      <c r="R300" s="629"/>
      <c r="S300" s="629"/>
      <c r="T300" s="629"/>
      <c r="U300" s="629"/>
      <c r="V300" s="629"/>
      <c r="W300" s="629"/>
      <c r="X300" s="629"/>
      <c r="Y300" s="629"/>
      <c r="Z300" s="629"/>
      <c r="AA300" s="629"/>
      <c r="AB300" s="630"/>
      <c r="AI300" s="673" t="s">
        <v>2487</v>
      </c>
    </row>
    <row r="301" spans="1:45" ht="19.95" customHeight="1">
      <c r="A301" s="853"/>
      <c r="B301" s="1427"/>
      <c r="C301" s="1427"/>
      <c r="D301" s="1427"/>
      <c r="E301" s="1427"/>
      <c r="F301" s="634"/>
      <c r="G301" s="634"/>
      <c r="H301" s="634"/>
      <c r="I301" s="634"/>
      <c r="J301" s="1427"/>
      <c r="K301" s="1427"/>
      <c r="L301" s="1427"/>
      <c r="M301" s="1427"/>
      <c r="N301" s="862"/>
      <c r="O301" s="629"/>
      <c r="P301" s="629"/>
      <c r="Q301" s="629"/>
      <c r="R301" s="629"/>
      <c r="S301" s="629"/>
      <c r="T301" s="629"/>
      <c r="U301" s="629"/>
      <c r="V301" s="629"/>
      <c r="W301" s="629"/>
      <c r="X301" s="629"/>
      <c r="Y301" s="629"/>
      <c r="Z301" s="629"/>
      <c r="AA301" s="629"/>
      <c r="AB301" s="630"/>
      <c r="AI301" s="37" t="str">
        <f>IF($H$115="",AQ301,CONCATENATE(AK301,AL301,AM301,AN301,AO301))</f>
        <v>They take away our rights and insist we serve big business!</v>
      </c>
      <c r="AK301" s="677" t="s">
        <v>2490</v>
      </c>
      <c r="AL301" s="2" t="str">
        <f>$T$1300</f>
        <v/>
      </c>
      <c r="AM301" s="677" t="s">
        <v>2491</v>
      </c>
      <c r="AN301" s="2" t="str">
        <f>$AO$1300</f>
        <v/>
      </c>
      <c r="AO301" s="677" t="s">
        <v>706</v>
      </c>
      <c r="AQ301" s="895" t="s">
        <v>3183</v>
      </c>
    </row>
    <row r="302" spans="1:45" ht="19.95" customHeight="1">
      <c r="A302" s="853"/>
      <c r="B302" s="1427"/>
      <c r="C302" s="1427"/>
      <c r="D302" s="1427"/>
      <c r="E302" s="1427"/>
      <c r="F302" s="634"/>
      <c r="G302" s="634"/>
      <c r="H302" s="634"/>
      <c r="I302" s="634"/>
      <c r="J302" s="1427" t="s">
        <v>2485</v>
      </c>
      <c r="K302" s="1427"/>
      <c r="L302" s="1427"/>
      <c r="M302" s="1427"/>
      <c r="N302" s="862"/>
      <c r="O302" s="629"/>
      <c r="P302" s="629"/>
      <c r="Q302" s="629"/>
      <c r="R302" s="629"/>
      <c r="S302" s="629"/>
      <c r="T302" s="629"/>
      <c r="U302" s="629"/>
      <c r="V302" s="629"/>
      <c r="W302" s="629"/>
      <c r="X302" s="629"/>
      <c r="Y302" s="629"/>
      <c r="Z302" s="629"/>
      <c r="AA302" s="629"/>
      <c r="AB302" s="630"/>
      <c r="AI302" s="37" t="str">
        <f>IF($H$115="",AQ302,CONCATENATE(AK302,AL302,AM302,AN302,AO302))</f>
        <v>I want to better understand the needs of conservatives and Trumpists.</v>
      </c>
      <c r="AK302" s="678" t="s">
        <v>2492</v>
      </c>
      <c r="AL302" s="2" t="str">
        <f>$AP$1300</f>
        <v/>
      </c>
      <c r="AM302" s="678" t="s">
        <v>2493</v>
      </c>
      <c r="AN302" s="2" t="str">
        <f>$AI$1300</f>
        <v/>
      </c>
      <c r="AO302" s="678" t="s">
        <v>706</v>
      </c>
      <c r="AQ302" s="895" t="s">
        <v>3180</v>
      </c>
    </row>
    <row r="303" spans="1:45" ht="19.95" customHeight="1">
      <c r="A303" s="853"/>
      <c r="B303" s="1427"/>
      <c r="C303" s="1427"/>
      <c r="D303" s="1427"/>
      <c r="E303" s="1427"/>
      <c r="F303" s="634"/>
      <c r="G303" s="634"/>
      <c r="H303" s="634"/>
      <c r="I303" s="634"/>
      <c r="J303" s="1427"/>
      <c r="K303" s="1427"/>
      <c r="L303" s="1427"/>
      <c r="M303" s="1427"/>
      <c r="N303" s="862"/>
      <c r="O303" s="629"/>
      <c r="P303" s="629"/>
      <c r="Q303" s="629"/>
      <c r="R303" s="629"/>
      <c r="S303" s="629"/>
      <c r="T303" s="629"/>
      <c r="U303" s="629"/>
      <c r="V303" s="629"/>
      <c r="W303" s="629"/>
      <c r="X303" s="629"/>
      <c r="Y303" s="629"/>
      <c r="Z303" s="629"/>
      <c r="AA303" s="629"/>
      <c r="AB303" s="630"/>
      <c r="AI303" s="674" t="s">
        <v>2488</v>
      </c>
    </row>
    <row r="304" spans="1:45" ht="25.05" customHeight="1">
      <c r="A304" s="853"/>
      <c r="B304" s="634"/>
      <c r="C304" s="634"/>
      <c r="D304" s="634"/>
      <c r="E304" s="634"/>
      <c r="F304" s="634"/>
      <c r="G304" s="634"/>
      <c r="H304" s="634"/>
      <c r="I304" s="634"/>
      <c r="J304" s="634"/>
      <c r="K304" s="634"/>
      <c r="L304" s="634"/>
      <c r="M304" s="634"/>
      <c r="N304" s="862"/>
      <c r="O304" s="629"/>
      <c r="P304" s="629"/>
      <c r="Q304" s="629"/>
      <c r="R304" s="629"/>
      <c r="S304" s="629"/>
      <c r="T304" s="629"/>
      <c r="U304" s="629"/>
      <c r="V304" s="629"/>
      <c r="W304" s="629"/>
      <c r="X304" s="629"/>
      <c r="Y304" s="629"/>
      <c r="Z304" s="629"/>
      <c r="AA304" s="629"/>
      <c r="AB304" s="630"/>
      <c r="AI304" s="37" t="str">
        <f>IF($H$115="",AQ304,CONCATENATE(AK304,AL304,AM304,AN304,AO304))</f>
        <v>They take away our liberty and insist we serve big government!</v>
      </c>
      <c r="AK304" s="677" t="s">
        <v>2490</v>
      </c>
      <c r="AL304" s="2" t="str">
        <f>$U$1300</f>
        <v/>
      </c>
      <c r="AM304" s="677" t="s">
        <v>2491</v>
      </c>
      <c r="AN304" s="2" t="str">
        <f>$AN$1300</f>
        <v/>
      </c>
      <c r="AO304" s="677" t="s">
        <v>706</v>
      </c>
      <c r="AQ304" s="895" t="s">
        <v>3182</v>
      </c>
    </row>
    <row r="305" spans="1:45" ht="19.95" customHeight="1">
      <c r="A305" s="853"/>
      <c r="B305" s="1427" t="str">
        <f>AI302</f>
        <v>I want to better understand the needs of conservatives and Trumpists.</v>
      </c>
      <c r="C305" s="1427"/>
      <c r="D305" s="1427"/>
      <c r="E305" s="1427"/>
      <c r="F305" s="634"/>
      <c r="G305" s="634"/>
      <c r="H305" s="634"/>
      <c r="I305" s="634"/>
      <c r="J305" s="1427" t="str">
        <f>AI305</f>
        <v>I want to better understand the needs of liberals and progressives.</v>
      </c>
      <c r="K305" s="1427"/>
      <c r="L305" s="1427"/>
      <c r="M305" s="1427"/>
      <c r="N305" s="862"/>
      <c r="O305" s="629"/>
      <c r="P305" s="629"/>
      <c r="Q305" s="629"/>
      <c r="R305" s="629"/>
      <c r="S305" s="629"/>
      <c r="T305" s="629"/>
      <c r="U305" s="629"/>
      <c r="V305" s="629"/>
      <c r="W305" s="629"/>
      <c r="X305" s="629"/>
      <c r="Y305" s="629"/>
      <c r="Z305" s="629"/>
      <c r="AA305" s="629"/>
      <c r="AB305" s="630"/>
      <c r="AI305" s="37" t="str">
        <f>IF($H$115="",AQ305,CONCATENATE(AK305,AL305,AM305,AN305,AO305))</f>
        <v>I want to better understand the needs of liberals and progressives.</v>
      </c>
      <c r="AK305" s="678" t="s">
        <v>2492</v>
      </c>
      <c r="AL305" s="2" t="str">
        <f>$AQ$1300</f>
        <v/>
      </c>
      <c r="AM305" s="678" t="s">
        <v>2493</v>
      </c>
      <c r="AN305" s="2" t="str">
        <f>$AH$1300</f>
        <v/>
      </c>
      <c r="AO305" s="678" t="s">
        <v>706</v>
      </c>
      <c r="AQ305" s="895" t="s">
        <v>3181</v>
      </c>
    </row>
    <row r="306" spans="1:45" ht="19.95" customHeight="1">
      <c r="A306" s="853"/>
      <c r="B306" s="1427"/>
      <c r="C306" s="1427"/>
      <c r="D306" s="1427"/>
      <c r="E306" s="1427"/>
      <c r="F306" s="633"/>
      <c r="G306" s="633"/>
      <c r="H306" s="633"/>
      <c r="I306" s="633"/>
      <c r="J306" s="1427"/>
      <c r="K306" s="1427"/>
      <c r="L306" s="1427"/>
      <c r="M306" s="1427"/>
      <c r="N306" s="862"/>
      <c r="O306" s="629"/>
      <c r="P306" s="629"/>
      <c r="Q306" s="629"/>
      <c r="R306" s="629"/>
      <c r="S306" s="629"/>
      <c r="T306" s="629"/>
      <c r="U306" s="629"/>
      <c r="V306" s="629"/>
      <c r="W306" s="629"/>
      <c r="X306" s="629"/>
      <c r="Y306" s="629"/>
      <c r="Z306" s="629"/>
      <c r="AA306" s="629"/>
      <c r="AB306" s="630"/>
    </row>
    <row r="307" spans="1:45" ht="19.95" customHeight="1">
      <c r="A307" s="855"/>
      <c r="B307" s="1427"/>
      <c r="C307" s="1427"/>
      <c r="D307" s="1427"/>
      <c r="E307" s="1427"/>
      <c r="F307" s="633"/>
      <c r="G307" s="633"/>
      <c r="H307" s="633"/>
      <c r="I307" s="633"/>
      <c r="J307" s="1427"/>
      <c r="K307" s="1427"/>
      <c r="L307" s="1427"/>
      <c r="M307" s="1427"/>
      <c r="N307" s="862"/>
      <c r="O307" s="629"/>
      <c r="P307" s="629"/>
      <c r="Q307" s="629"/>
      <c r="R307" s="629"/>
      <c r="S307" s="629"/>
      <c r="T307" s="629"/>
      <c r="U307" s="629"/>
      <c r="V307" s="629"/>
      <c r="W307" s="629"/>
      <c r="X307" s="629"/>
      <c r="Y307" s="629"/>
      <c r="Z307" s="629"/>
      <c r="AA307" s="629"/>
      <c r="AB307" s="630"/>
      <c r="AI307" s="37" t="str">
        <f>CONCATENATE(AK307,AL307,AM307,AN307,AO307,AP307,AQ307,AR307,AS307,AT307,AU307,AV307,AW307,AX307)</f>
        <v/>
      </c>
    </row>
    <row r="308" spans="1:45" ht="19.95" customHeight="1">
      <c r="A308" s="853"/>
      <c r="B308" s="1427"/>
      <c r="C308" s="1427"/>
      <c r="D308" s="1427"/>
      <c r="E308" s="1427"/>
      <c r="F308" s="633"/>
      <c r="G308" s="633"/>
      <c r="H308" s="633"/>
      <c r="I308" s="633"/>
      <c r="J308" s="1427"/>
      <c r="K308" s="1427"/>
      <c r="L308" s="1427"/>
      <c r="M308" s="1427"/>
      <c r="N308" s="862"/>
      <c r="O308" s="629"/>
      <c r="P308" s="629"/>
      <c r="Q308" s="629"/>
      <c r="R308" s="629"/>
      <c r="S308" s="629"/>
      <c r="T308" s="629"/>
      <c r="U308" s="629"/>
      <c r="V308" s="629"/>
      <c r="W308" s="629"/>
      <c r="X308" s="629"/>
      <c r="Y308" s="629"/>
      <c r="Z308" s="629"/>
      <c r="AA308" s="629"/>
      <c r="AB308" s="630"/>
      <c r="AI308" s="459" t="str">
        <f>CONCATENATE(AK308,AL308,AM308,AN308,AO308,AP308,AQ308,AR308,AS308,AT308,AU308,AV308,AW308,AX308)</f>
        <v>Your need  can complement their need . Together, you both move beyond alienating exaggerations to connect with each other's specific  impacted needs. You replace arguing with listening. You replace rejecting each other's needs with affirming each other's  impacted needs. You replace demanding with offering what you can do for their needs, while suggesting what they can do for yours. All with empathy and love.</v>
      </c>
      <c r="AK308" s="465" t="s">
        <v>2126</v>
      </c>
      <c r="AL308" s="2" t="str">
        <f>$AH$1300</f>
        <v/>
      </c>
      <c r="AM308" s="465" t="s">
        <v>2127</v>
      </c>
      <c r="AN308" s="2" t="str">
        <f>$AI$1300</f>
        <v/>
      </c>
      <c r="AO308" s="465" t="s">
        <v>2128</v>
      </c>
      <c r="AP308" s="2" t="str">
        <f>$D$1300</f>
        <v/>
      </c>
      <c r="AQ308" s="465" t="s">
        <v>2129</v>
      </c>
      <c r="AR308" s="2" t="str">
        <f>$D$1300</f>
        <v/>
      </c>
      <c r="AS308" s="465" t="s">
        <v>2130</v>
      </c>
    </row>
    <row r="309" spans="1:45" ht="19.95" customHeight="1">
      <c r="A309" s="853"/>
      <c r="B309" s="633"/>
      <c r="C309" s="633"/>
      <c r="D309" s="633"/>
      <c r="E309" s="633"/>
      <c r="F309" s="633"/>
      <c r="G309" s="633"/>
      <c r="H309" s="633"/>
      <c r="I309" s="633"/>
      <c r="J309" s="633"/>
      <c r="K309" s="633"/>
      <c r="L309" s="633"/>
      <c r="M309" s="633"/>
      <c r="N309" s="862"/>
      <c r="O309" s="629"/>
      <c r="P309" s="629"/>
      <c r="Q309" s="629"/>
      <c r="R309" s="629"/>
      <c r="S309" s="629"/>
      <c r="T309" s="629"/>
      <c r="U309" s="629"/>
      <c r="V309" s="629"/>
      <c r="W309" s="629"/>
      <c r="X309" s="629"/>
      <c r="Y309" s="629"/>
      <c r="Z309" s="629"/>
      <c r="AA309" s="629"/>
      <c r="AB309" s="630"/>
    </row>
    <row r="310" spans="1:45" ht="19.95" customHeight="1">
      <c r="A310" s="853"/>
      <c r="B310" s="633"/>
      <c r="C310" s="633"/>
      <c r="D310" s="633"/>
      <c r="E310" s="633"/>
      <c r="F310" s="633"/>
      <c r="G310" s="633"/>
      <c r="H310" s="633"/>
      <c r="I310" s="633"/>
      <c r="J310" s="633"/>
      <c r="K310" s="633"/>
      <c r="L310" s="633"/>
      <c r="M310" s="633"/>
      <c r="N310" s="862"/>
      <c r="O310" s="629"/>
      <c r="P310" s="629"/>
      <c r="Q310" s="629"/>
      <c r="R310" s="629"/>
      <c r="S310" s="629"/>
      <c r="T310" s="629"/>
      <c r="U310" s="629"/>
      <c r="V310" s="629"/>
      <c r="W310" s="629"/>
      <c r="X310" s="629"/>
      <c r="Y310" s="629"/>
      <c r="Z310" s="629"/>
      <c r="AA310" s="629"/>
      <c r="AB310" s="630"/>
    </row>
    <row r="311" spans="1:45" ht="10.050000000000001" customHeight="1">
      <c r="A311" s="857"/>
      <c r="B311" s="635"/>
      <c r="C311" s="635"/>
      <c r="D311" s="635"/>
      <c r="E311" s="635"/>
      <c r="F311" s="635"/>
      <c r="G311" s="635"/>
      <c r="H311" s="635"/>
      <c r="I311" s="635"/>
      <c r="J311" s="635"/>
      <c r="K311" s="635"/>
      <c r="L311" s="635"/>
      <c r="M311" s="635"/>
      <c r="N311" s="867"/>
      <c r="O311" s="635"/>
      <c r="P311" s="635"/>
      <c r="Q311" s="635"/>
      <c r="R311" s="635"/>
      <c r="S311" s="635"/>
      <c r="T311" s="635"/>
      <c r="U311" s="635"/>
      <c r="V311" s="635"/>
      <c r="W311" s="635"/>
      <c r="X311" s="635"/>
      <c r="Y311" s="635"/>
      <c r="Z311" s="635"/>
      <c r="AA311" s="635"/>
      <c r="AB311" s="636"/>
    </row>
    <row r="312" spans="1:45" ht="30" customHeight="1">
      <c r="A312" s="854" t="s">
        <v>1148</v>
      </c>
      <c r="B312" s="884" t="str">
        <f>AI312</f>
        <v>Depolarizing politics</v>
      </c>
      <c r="C312" s="884"/>
      <c r="D312" s="884"/>
      <c r="E312" s="884"/>
      <c r="F312" s="884"/>
      <c r="G312" s="884"/>
      <c r="H312" s="884"/>
      <c r="I312" s="884"/>
      <c r="J312" s="884"/>
      <c r="K312" s="884"/>
      <c r="L312" s="884"/>
      <c r="M312" s="884"/>
      <c r="N312" s="865" t="s">
        <v>1149</v>
      </c>
      <c r="O312" s="860"/>
      <c r="P312" s="1406"/>
      <c r="Q312" s="1406"/>
      <c r="R312" s="1406"/>
      <c r="S312" s="1406"/>
      <c r="T312" s="1406"/>
      <c r="U312" s="1406"/>
      <c r="V312" s="1406"/>
      <c r="W312" s="1406"/>
      <c r="X312" s="1406"/>
      <c r="Y312" s="1406"/>
      <c r="Z312" s="1406"/>
      <c r="AA312" s="1406"/>
      <c r="AB312" s="650" t="s">
        <v>1149</v>
      </c>
      <c r="AC312" s="651"/>
      <c r="AI312" s="459" t="str">
        <f>CONCATENATE(AK312,AL312,AM312)</f>
        <v>Depolarizing politics</v>
      </c>
      <c r="AK312" s="880" t="s">
        <v>3153</v>
      </c>
      <c r="AL312" s="2" t="str">
        <f>IF($H$115="","",CONCATENATE(D$1300," "))</f>
        <v/>
      </c>
      <c r="AM312" s="465" t="s">
        <v>2076</v>
      </c>
    </row>
    <row r="313" spans="1:45" ht="10.050000000000001" customHeight="1">
      <c r="A313" s="853"/>
      <c r="B313" s="629"/>
      <c r="C313" s="629"/>
      <c r="D313" s="629"/>
      <c r="E313" s="629"/>
      <c r="F313" s="629"/>
      <c r="G313" s="629"/>
      <c r="H313" s="629"/>
      <c r="I313" s="629"/>
      <c r="J313" s="629"/>
      <c r="K313" s="629"/>
      <c r="L313" s="629"/>
      <c r="M313" s="629"/>
      <c r="N313" s="862"/>
      <c r="O313" s="629"/>
      <c r="P313" s="629"/>
      <c r="Q313" s="629"/>
      <c r="R313" s="629"/>
      <c r="S313" s="629"/>
      <c r="T313" s="629"/>
      <c r="U313" s="629"/>
      <c r="V313" s="629"/>
      <c r="W313" s="629"/>
      <c r="X313" s="629"/>
      <c r="Y313" s="629"/>
      <c r="Z313" s="629"/>
      <c r="AA313" s="629"/>
      <c r="AB313" s="630"/>
      <c r="AC313" s="651"/>
    </row>
    <row r="314" spans="1:45" ht="19.95" customHeight="1">
      <c r="A314" s="853"/>
      <c r="B314" s="706" t="s">
        <v>2613</v>
      </c>
      <c r="C314" s="640"/>
      <c r="D314" s="640"/>
      <c r="E314" s="640"/>
      <c r="F314" s="640"/>
      <c r="G314" s="640"/>
      <c r="H314" s="640"/>
      <c r="I314" s="640"/>
      <c r="J314" s="640"/>
      <c r="K314" s="640"/>
      <c r="L314" s="640"/>
      <c r="M314" s="640"/>
      <c r="N314" s="862"/>
      <c r="O314" s="629"/>
      <c r="P314" s="639"/>
      <c r="Q314" s="629"/>
      <c r="R314" s="629"/>
      <c r="S314" s="629"/>
      <c r="T314" s="629"/>
      <c r="U314" s="629"/>
      <c r="V314" s="629"/>
      <c r="W314" s="629"/>
      <c r="X314" s="629"/>
      <c r="Y314" s="629"/>
      <c r="Z314" s="629"/>
      <c r="AA314" s="629"/>
      <c r="AB314" s="630"/>
    </row>
    <row r="315" spans="1:45" ht="4.95" customHeight="1">
      <c r="A315" s="853"/>
      <c r="B315" s="640"/>
      <c r="C315" s="640"/>
      <c r="D315" s="640"/>
      <c r="E315" s="640"/>
      <c r="F315" s="640"/>
      <c r="G315" s="640"/>
      <c r="H315" s="640"/>
      <c r="I315" s="640"/>
      <c r="J315" s="640"/>
      <c r="K315" s="640"/>
      <c r="L315" s="640"/>
      <c r="M315" s="640"/>
      <c r="N315" s="862"/>
      <c r="O315" s="629"/>
      <c r="P315" s="629"/>
      <c r="Q315" s="629"/>
      <c r="R315" s="629"/>
      <c r="S315" s="629"/>
      <c r="T315" s="629"/>
      <c r="U315" s="629"/>
      <c r="V315" s="629"/>
      <c r="W315" s="629"/>
      <c r="X315" s="629"/>
      <c r="Y315" s="629"/>
      <c r="Z315" s="629"/>
      <c r="AA315" s="629"/>
      <c r="AB315" s="630"/>
    </row>
    <row r="316" spans="1:45" ht="19.95" customHeight="1">
      <c r="A316" s="858" t="s">
        <v>2470</v>
      </c>
      <c r="B316" s="632"/>
      <c r="C316" s="633"/>
      <c r="D316" s="633"/>
      <c r="E316" s="633"/>
      <c r="F316" s="633"/>
      <c r="G316" s="633"/>
      <c r="H316" s="633"/>
      <c r="I316" s="633"/>
      <c r="J316" s="633"/>
      <c r="K316" s="633"/>
      <c r="L316" s="633"/>
      <c r="M316" s="633"/>
      <c r="N316" s="862"/>
      <c r="O316" s="629"/>
      <c r="P316" s="629"/>
      <c r="Q316" s="629"/>
      <c r="R316" s="629"/>
      <c r="S316" s="629"/>
      <c r="T316" s="629"/>
      <c r="U316" s="629"/>
      <c r="V316" s="629"/>
      <c r="W316" s="629"/>
      <c r="X316" s="629"/>
      <c r="Y316" s="629"/>
      <c r="Z316" s="629"/>
      <c r="AA316" s="629"/>
      <c r="AB316" s="630"/>
      <c r="AI316" s="37" t="str">
        <f>CONCATENATE(AK316,AL316,AM316,AN316,AO316,AP316,AQ316,AR316,AS316,AT316,AU316,AV316,AW316,AX316)</f>
        <v/>
      </c>
    </row>
    <row r="317" spans="1:45" ht="19.95" customHeight="1">
      <c r="A317" s="853"/>
      <c r="B317" s="1375" t="str">
        <f>AI317</f>
        <v>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v>
      </c>
      <c r="C317" s="1375"/>
      <c r="D317" s="1375"/>
      <c r="E317" s="1375"/>
      <c r="F317" s="1375"/>
      <c r="G317" s="1375"/>
      <c r="H317" s="1375"/>
      <c r="I317" s="1375"/>
      <c r="J317" s="1375"/>
      <c r="K317" s="1375"/>
      <c r="L317" s="1375"/>
      <c r="M317" s="1375"/>
      <c r="N317" s="862"/>
      <c r="O317" s="629"/>
      <c r="P317" s="629"/>
      <c r="Q317" s="629"/>
      <c r="R317" s="629"/>
      <c r="S317" s="629"/>
      <c r="T317" s="629"/>
      <c r="U317" s="629"/>
      <c r="V317" s="629"/>
      <c r="W317" s="629"/>
      <c r="X317" s="629"/>
      <c r="Y317" s="629"/>
      <c r="Z317" s="629"/>
      <c r="AA317" s="629"/>
      <c r="AB317" s="630"/>
      <c r="AI317" s="459" t="str">
        <f>IF(OR(H$113="",H$115=""),AK318,CONCATENATE(AK317,AL317,AM317,AN317,AO317,AP317,AQ317,AR317,AS317,AT317,AU317,AV317,AW317,AX317))</f>
        <v>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v>
      </c>
      <c r="AK317" s="465" t="s">
        <v>2126</v>
      </c>
      <c r="AL317" s="2" t="str">
        <f>$AH$1299</f>
        <v/>
      </c>
      <c r="AM317" s="465" t="s">
        <v>2127</v>
      </c>
      <c r="AN317" s="2" t="str">
        <f>$AI$1299</f>
        <v/>
      </c>
      <c r="AO317" s="465" t="s">
        <v>2128</v>
      </c>
      <c r="AP317" s="2" t="str">
        <f>$D$1300</f>
        <v/>
      </c>
      <c r="AQ317" s="465" t="s">
        <v>2129</v>
      </c>
      <c r="AR317" s="2" t="str">
        <f>$D$1300</f>
        <v/>
      </c>
      <c r="AS317" s="465" t="s">
        <v>2130</v>
      </c>
    </row>
    <row r="318" spans="1:45" ht="19.95" customHeight="1">
      <c r="A318" s="853"/>
      <c r="B318" s="1375"/>
      <c r="C318" s="1375"/>
      <c r="D318" s="1375"/>
      <c r="E318" s="1375"/>
      <c r="F318" s="1375"/>
      <c r="G318" s="1375"/>
      <c r="H318" s="1375"/>
      <c r="I318" s="1375"/>
      <c r="J318" s="1375"/>
      <c r="K318" s="1375"/>
      <c r="L318" s="1375"/>
      <c r="M318" s="1375"/>
      <c r="N318" s="862"/>
      <c r="O318" s="629"/>
      <c r="P318" s="629"/>
      <c r="Q318" s="629"/>
      <c r="R318" s="629"/>
      <c r="S318" s="629"/>
      <c r="T318" s="629"/>
      <c r="U318" s="629"/>
      <c r="V318" s="629"/>
      <c r="W318" s="629"/>
      <c r="X318" s="629"/>
      <c r="Y318" s="629"/>
      <c r="Z318" s="629"/>
      <c r="AA318" s="629"/>
      <c r="AB318" s="630"/>
      <c r="AK318" s="734" t="s">
        <v>3184</v>
      </c>
    </row>
    <row r="319" spans="1:45" ht="19.95" customHeight="1">
      <c r="A319" s="853"/>
      <c r="B319" s="1375"/>
      <c r="C319" s="1375"/>
      <c r="D319" s="1375"/>
      <c r="E319" s="1375"/>
      <c r="F319" s="1375"/>
      <c r="G319" s="1375"/>
      <c r="H319" s="1375"/>
      <c r="I319" s="1375"/>
      <c r="J319" s="1375"/>
      <c r="K319" s="1375"/>
      <c r="L319" s="1375"/>
      <c r="M319" s="1375"/>
      <c r="N319" s="862"/>
      <c r="O319" s="629"/>
      <c r="P319" s="629"/>
      <c r="Q319" s="629"/>
      <c r="R319" s="629"/>
      <c r="S319" s="629"/>
      <c r="T319" s="629"/>
      <c r="U319" s="629"/>
      <c r="V319" s="629"/>
      <c r="W319" s="629"/>
      <c r="X319" s="629"/>
      <c r="Y319" s="629"/>
      <c r="Z319" s="629"/>
      <c r="AA319" s="629"/>
      <c r="AB319" s="630"/>
    </row>
    <row r="320" spans="1:45" ht="19.95" customHeight="1">
      <c r="A320" s="853"/>
      <c r="B320" s="1375"/>
      <c r="C320" s="1375"/>
      <c r="D320" s="1375"/>
      <c r="E320" s="1375"/>
      <c r="F320" s="1375"/>
      <c r="G320" s="1375"/>
      <c r="H320" s="1375"/>
      <c r="I320" s="1375"/>
      <c r="J320" s="1375"/>
      <c r="K320" s="1375"/>
      <c r="L320" s="1375"/>
      <c r="M320" s="1375"/>
      <c r="N320" s="862"/>
      <c r="O320" s="629"/>
      <c r="P320" s="629"/>
      <c r="Q320" s="629"/>
      <c r="R320" s="629"/>
      <c r="S320" s="629"/>
      <c r="T320" s="629"/>
      <c r="U320" s="629"/>
      <c r="V320" s="629"/>
      <c r="W320" s="629"/>
      <c r="X320" s="629"/>
      <c r="Y320" s="629"/>
      <c r="Z320" s="629"/>
      <c r="AA320" s="629"/>
      <c r="AB320" s="630"/>
    </row>
    <row r="321" spans="1:45" ht="19.95" customHeight="1">
      <c r="A321" s="853"/>
      <c r="B321" s="1375"/>
      <c r="C321" s="1375"/>
      <c r="D321" s="1375"/>
      <c r="E321" s="1375"/>
      <c r="F321" s="1375"/>
      <c r="G321" s="1375"/>
      <c r="H321" s="1375"/>
      <c r="I321" s="1375"/>
      <c r="J321" s="1375"/>
      <c r="K321" s="1375"/>
      <c r="L321" s="1375"/>
      <c r="M321" s="1375"/>
      <c r="N321" s="862"/>
      <c r="O321" s="629"/>
      <c r="P321" s="629"/>
      <c r="Q321" s="629"/>
      <c r="R321" s="629"/>
      <c r="S321" s="629"/>
      <c r="T321" s="629"/>
      <c r="U321" s="629"/>
      <c r="V321" s="629"/>
      <c r="W321" s="629"/>
      <c r="X321" s="629"/>
      <c r="Y321" s="629"/>
      <c r="Z321" s="629"/>
      <c r="AA321" s="629"/>
      <c r="AB321" s="630"/>
    </row>
    <row r="322" spans="1:45" ht="19.95" customHeight="1">
      <c r="A322" s="853"/>
      <c r="B322" s="1375"/>
      <c r="C322" s="1375"/>
      <c r="D322" s="1375"/>
      <c r="E322" s="1375"/>
      <c r="F322" s="1375"/>
      <c r="G322" s="1375"/>
      <c r="H322" s="1375"/>
      <c r="I322" s="1375"/>
      <c r="J322" s="1375"/>
      <c r="K322" s="1375"/>
      <c r="L322" s="1375"/>
      <c r="M322" s="1375"/>
      <c r="N322" s="862"/>
      <c r="O322" s="629"/>
      <c r="P322" s="629"/>
      <c r="Q322" s="629"/>
      <c r="R322" s="629"/>
      <c r="S322" s="629"/>
      <c r="T322" s="629"/>
      <c r="U322" s="629"/>
      <c r="V322" s="629"/>
      <c r="W322" s="629"/>
      <c r="X322" s="629"/>
      <c r="Y322" s="629"/>
      <c r="Z322" s="629"/>
      <c r="AA322" s="629"/>
      <c r="AB322" s="630"/>
    </row>
    <row r="323" spans="1:45" ht="19.95" customHeight="1">
      <c r="A323" s="853"/>
      <c r="B323" s="1375"/>
      <c r="C323" s="1375"/>
      <c r="D323" s="1375"/>
      <c r="E323" s="1375"/>
      <c r="F323" s="1375"/>
      <c r="G323" s="1375"/>
      <c r="H323" s="1375"/>
      <c r="I323" s="1375"/>
      <c r="J323" s="1375"/>
      <c r="K323" s="1375"/>
      <c r="L323" s="1375"/>
      <c r="M323" s="1375"/>
      <c r="N323" s="862"/>
      <c r="O323" s="629"/>
      <c r="P323" s="629"/>
      <c r="Q323" s="629"/>
      <c r="R323" s="629"/>
      <c r="S323" s="629"/>
      <c r="T323" s="629"/>
      <c r="U323" s="629"/>
      <c r="V323" s="629"/>
      <c r="W323" s="629"/>
      <c r="X323" s="629"/>
      <c r="Y323" s="629"/>
      <c r="Z323" s="629"/>
      <c r="AA323" s="629"/>
      <c r="AB323" s="630"/>
    </row>
    <row r="324" spans="1:45" ht="4.95" customHeight="1">
      <c r="A324" s="853"/>
      <c r="B324" s="631"/>
      <c r="C324" s="631"/>
      <c r="D324" s="631"/>
      <c r="E324" s="631"/>
      <c r="F324" s="631"/>
      <c r="G324" s="631"/>
      <c r="H324" s="631"/>
      <c r="I324" s="631"/>
      <c r="J324" s="631"/>
      <c r="K324" s="631"/>
      <c r="L324" s="631"/>
      <c r="M324" s="631"/>
      <c r="N324" s="862"/>
      <c r="O324" s="629"/>
      <c r="P324" s="629"/>
      <c r="Q324" s="629"/>
      <c r="R324" s="629"/>
      <c r="S324" s="629"/>
      <c r="T324" s="629"/>
      <c r="U324" s="629"/>
      <c r="V324" s="629"/>
      <c r="W324" s="629"/>
      <c r="X324" s="629"/>
      <c r="Y324" s="629"/>
      <c r="Z324" s="629"/>
      <c r="AA324" s="629"/>
      <c r="AB324" s="630"/>
    </row>
    <row r="325" spans="1:45" ht="21" customHeight="1">
      <c r="A325" s="853"/>
      <c r="B325" s="1426" t="str">
        <f>AI326</f>
        <v>The more I support your needs, the more I trust you to support my needs.</v>
      </c>
      <c r="C325" s="1426"/>
      <c r="D325" s="1426"/>
      <c r="E325" s="1426"/>
      <c r="F325" s="631"/>
      <c r="G325" s="631"/>
      <c r="H325" s="631"/>
      <c r="I325" s="631"/>
      <c r="J325" s="1426" t="str">
        <f>AI328</f>
        <v xml:space="preserve">The more I support your needs, the more I trust you to support my needs. </v>
      </c>
      <c r="K325" s="1426"/>
      <c r="L325" s="1426"/>
      <c r="M325" s="1426"/>
      <c r="N325" s="862"/>
      <c r="O325" s="629"/>
      <c r="P325" s="629"/>
      <c r="Q325" s="629"/>
      <c r="R325" s="629"/>
      <c r="S325" s="629"/>
      <c r="T325" s="629"/>
      <c r="U325" s="629"/>
      <c r="V325" s="629"/>
      <c r="W325" s="629"/>
      <c r="X325" s="629"/>
      <c r="Y325" s="629"/>
      <c r="Z325" s="629"/>
      <c r="AA325" s="629"/>
      <c r="AB325" s="630"/>
      <c r="AI325" s="673" t="s">
        <v>2487</v>
      </c>
    </row>
    <row r="326" spans="1:45" ht="21" customHeight="1">
      <c r="A326" s="853"/>
      <c r="B326" s="1426"/>
      <c r="C326" s="1426"/>
      <c r="D326" s="1426"/>
      <c r="E326" s="1426"/>
      <c r="F326" s="631"/>
      <c r="G326" s="631"/>
      <c r="H326" s="631"/>
      <c r="I326" s="631"/>
      <c r="J326" s="1426"/>
      <c r="K326" s="1426"/>
      <c r="L326" s="1426"/>
      <c r="M326" s="1426"/>
      <c r="N326" s="862"/>
      <c r="O326" s="629"/>
      <c r="P326" s="629"/>
      <c r="Q326" s="629"/>
      <c r="R326" s="629"/>
      <c r="S326" s="629"/>
      <c r="T326" s="629"/>
      <c r="U326" s="629"/>
      <c r="V326" s="629"/>
      <c r="W326" s="629"/>
      <c r="X326" s="629"/>
      <c r="Y326" s="629"/>
      <c r="Z326" s="629"/>
      <c r="AA326" s="629"/>
      <c r="AB326" s="630"/>
      <c r="AI326" s="459" t="str">
        <f>IF(H$115="",AQ326,CONCATENATE(AK326,AL326,AM326,AN326,AO326))</f>
        <v>The more I support your needs, the more I trust you to support my needs.</v>
      </c>
      <c r="AK326" s="465" t="s">
        <v>2494</v>
      </c>
      <c r="AL326" s="2" t="str">
        <f>$Q$1300</f>
        <v/>
      </c>
      <c r="AM326" s="465" t="s">
        <v>2495</v>
      </c>
      <c r="AN326" s="2" t="str">
        <f>$P$1300</f>
        <v/>
      </c>
      <c r="AO326" s="465" t="s">
        <v>706</v>
      </c>
      <c r="AQ326" s="734" t="s">
        <v>3185</v>
      </c>
    </row>
    <row r="327" spans="1:45" ht="21" customHeight="1">
      <c r="A327" s="853"/>
      <c r="B327" s="1426"/>
      <c r="C327" s="1426"/>
      <c r="D327" s="1426"/>
      <c r="E327" s="1426"/>
      <c r="F327" s="631"/>
      <c r="G327" s="631"/>
      <c r="H327" s="631"/>
      <c r="I327" s="631"/>
      <c r="J327" s="1426"/>
      <c r="K327" s="1426"/>
      <c r="L327" s="1426"/>
      <c r="M327" s="1426"/>
      <c r="N327" s="862"/>
      <c r="O327" s="629"/>
      <c r="P327" s="629"/>
      <c r="Q327" s="629"/>
      <c r="R327" s="629"/>
      <c r="S327" s="629"/>
      <c r="T327" s="629"/>
      <c r="U327" s="629"/>
      <c r="V327" s="629"/>
      <c r="W327" s="629"/>
      <c r="X327" s="629"/>
      <c r="Y327" s="629"/>
      <c r="Z327" s="629"/>
      <c r="AA327" s="629"/>
      <c r="AB327" s="630"/>
      <c r="AI327" s="674" t="s">
        <v>2488</v>
      </c>
    </row>
    <row r="328" spans="1:45" ht="21" customHeight="1">
      <c r="A328" s="853"/>
      <c r="B328" s="1426"/>
      <c r="C328" s="1426"/>
      <c r="D328" s="1426"/>
      <c r="E328" s="1426"/>
      <c r="F328" s="631"/>
      <c r="G328" s="631"/>
      <c r="H328" s="631"/>
      <c r="I328" s="631"/>
      <c r="J328" s="1426"/>
      <c r="K328" s="1426"/>
      <c r="L328" s="1426"/>
      <c r="M328" s="1426"/>
      <c r="N328" s="862"/>
      <c r="O328" s="629"/>
      <c r="P328" s="629"/>
      <c r="Q328" s="629"/>
      <c r="R328" s="629"/>
      <c r="S328" s="629"/>
      <c r="T328" s="629"/>
      <c r="U328" s="629"/>
      <c r="V328" s="629"/>
      <c r="W328" s="629"/>
      <c r="X328" s="629"/>
      <c r="Y328" s="629"/>
      <c r="Z328" s="629"/>
      <c r="AA328" s="629"/>
      <c r="AB328" s="630"/>
      <c r="AI328" s="459" t="str">
        <f>IF(H$115="",AQ328,CONCATENATE(AK328,AL328,AM328,AN328,AO328))</f>
        <v xml:space="preserve">The more I support your needs, the more I trust you to support my needs. </v>
      </c>
      <c r="AK328" s="465" t="s">
        <v>2494</v>
      </c>
      <c r="AL328" s="2" t="str">
        <f>$P$1300</f>
        <v/>
      </c>
      <c r="AM328" s="465" t="s">
        <v>2495</v>
      </c>
      <c r="AN328" s="2" t="str">
        <f>$Q$1300</f>
        <v/>
      </c>
      <c r="AO328" s="465" t="s">
        <v>706</v>
      </c>
      <c r="AQ328" s="734" t="s">
        <v>3186</v>
      </c>
    </row>
    <row r="329" spans="1:45" ht="21" customHeight="1">
      <c r="A329" s="853"/>
      <c r="B329" s="631"/>
      <c r="C329" s="631"/>
      <c r="D329" s="631"/>
      <c r="E329" s="631"/>
      <c r="F329" s="631"/>
      <c r="G329" s="631"/>
      <c r="H329" s="631"/>
      <c r="I329" s="631"/>
      <c r="J329" s="631"/>
      <c r="K329" s="631"/>
      <c r="L329" s="631"/>
      <c r="M329" s="631"/>
      <c r="N329" s="862"/>
      <c r="O329" s="629"/>
      <c r="P329" s="629"/>
      <c r="Q329" s="629"/>
      <c r="R329" s="629"/>
      <c r="S329" s="629"/>
      <c r="T329" s="629"/>
      <c r="U329" s="629"/>
      <c r="V329" s="629"/>
      <c r="W329" s="629"/>
      <c r="X329" s="629"/>
      <c r="Y329" s="629"/>
      <c r="Z329" s="629"/>
      <c r="AA329" s="629"/>
      <c r="AB329" s="630"/>
    </row>
    <row r="330" spans="1:45" ht="4.95" customHeight="1">
      <c r="A330" s="853"/>
      <c r="B330" s="631"/>
      <c r="C330" s="631"/>
      <c r="D330" s="631"/>
      <c r="E330" s="631"/>
      <c r="F330" s="631"/>
      <c r="G330" s="631"/>
      <c r="H330" s="631"/>
      <c r="I330" s="631"/>
      <c r="J330" s="631"/>
      <c r="K330" s="631"/>
      <c r="L330" s="631"/>
      <c r="M330" s="631"/>
      <c r="N330" s="862"/>
      <c r="O330" s="629"/>
      <c r="P330" s="629"/>
      <c r="Q330" s="629"/>
      <c r="R330" s="629"/>
      <c r="S330" s="629"/>
      <c r="T330" s="629"/>
      <c r="U330" s="629"/>
      <c r="V330" s="629"/>
      <c r="W330" s="629"/>
      <c r="X330" s="629"/>
      <c r="Y330" s="629"/>
      <c r="Z330" s="629"/>
      <c r="AA330" s="629"/>
      <c r="AB330" s="630"/>
    </row>
    <row r="331" spans="1:45" ht="25.05" customHeight="1">
      <c r="A331" s="858" t="s">
        <v>3220</v>
      </c>
      <c r="B331" s="631"/>
      <c r="C331" s="631"/>
      <c r="D331" s="631"/>
      <c r="E331" s="631"/>
      <c r="F331" s="631"/>
      <c r="G331" s="631"/>
      <c r="H331" s="631"/>
      <c r="I331" s="631"/>
      <c r="J331" s="631"/>
      <c r="K331" s="631"/>
      <c r="L331" s="631"/>
      <c r="M331" s="631"/>
      <c r="N331" s="862"/>
      <c r="O331" s="629"/>
      <c r="P331" s="629"/>
      <c r="Q331" s="629"/>
      <c r="R331" s="629"/>
      <c r="S331" s="629"/>
      <c r="T331" s="629"/>
      <c r="U331" s="629"/>
      <c r="V331" s="629"/>
      <c r="W331" s="629"/>
      <c r="X331" s="629"/>
      <c r="Y331" s="629"/>
      <c r="Z331" s="629"/>
      <c r="AA331" s="629"/>
      <c r="AB331" s="630"/>
    </row>
    <row r="332" spans="1:45" ht="19.05" customHeight="1">
      <c r="A332" s="853"/>
      <c r="B332" s="1375" t="str">
        <f>AI332</f>
        <v>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v>
      </c>
      <c r="C332" s="1375"/>
      <c r="D332" s="1375"/>
      <c r="E332" s="1375"/>
      <c r="F332" s="1375"/>
      <c r="G332" s="1375"/>
      <c r="H332" s="1375"/>
      <c r="I332" s="1375"/>
      <c r="J332" s="1375"/>
      <c r="K332" s="1375"/>
      <c r="L332" s="1375"/>
      <c r="M332" s="1375"/>
      <c r="N332" s="862"/>
      <c r="O332" s="629"/>
      <c r="P332" s="629"/>
      <c r="Q332" s="629"/>
      <c r="R332" s="629"/>
      <c r="S332" s="629"/>
      <c r="T332" s="629"/>
      <c r="U332" s="629"/>
      <c r="V332" s="629"/>
      <c r="W332" s="629"/>
      <c r="X332" s="629"/>
      <c r="Y332" s="629"/>
      <c r="Z332" s="629"/>
      <c r="AA332" s="629"/>
      <c r="AB332" s="630"/>
      <c r="AI332" s="459" t="str">
        <f>IF(H$115="",AK333,CONCATENATE(AK332,AL332,AM332,AN332,AO332,AP332,AQ332,AR332,AS332,AT332,AU332,AV332,AW332,AX332))</f>
        <v>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v>
      </c>
      <c r="AK332" s="465" t="s">
        <v>2475</v>
      </c>
      <c r="AL332" s="2" t="str">
        <f>$D$1300</f>
        <v/>
      </c>
      <c r="AM332" s="465" t="s">
        <v>2476</v>
      </c>
      <c r="AN332" s="2" t="str">
        <f>$D$1300</f>
        <v/>
      </c>
      <c r="AO332" s="465" t="s">
        <v>2477</v>
      </c>
      <c r="AQ332" s="465"/>
      <c r="AS332" s="465"/>
    </row>
    <row r="333" spans="1:45" ht="19.05" customHeight="1">
      <c r="A333" s="853"/>
      <c r="B333" s="1375"/>
      <c r="C333" s="1375"/>
      <c r="D333" s="1375"/>
      <c r="E333" s="1375"/>
      <c r="F333" s="1375"/>
      <c r="G333" s="1375"/>
      <c r="H333" s="1375"/>
      <c r="I333" s="1375"/>
      <c r="J333" s="1375"/>
      <c r="K333" s="1375"/>
      <c r="L333" s="1375"/>
      <c r="M333" s="1375"/>
      <c r="N333" s="862"/>
      <c r="O333" s="629"/>
      <c r="P333" s="629"/>
      <c r="Q333" s="629"/>
      <c r="R333" s="629"/>
      <c r="S333" s="629"/>
      <c r="T333" s="629"/>
      <c r="U333" s="629"/>
      <c r="V333" s="629"/>
      <c r="W333" s="629"/>
      <c r="X333" s="629"/>
      <c r="Y333" s="629"/>
      <c r="Z333" s="629"/>
      <c r="AA333" s="629"/>
      <c r="AB333" s="630"/>
      <c r="AK333" s="734" t="s">
        <v>3187</v>
      </c>
    </row>
    <row r="334" spans="1:45" ht="19.05" customHeight="1">
      <c r="A334" s="853"/>
      <c r="B334" s="1375"/>
      <c r="C334" s="1375"/>
      <c r="D334" s="1375"/>
      <c r="E334" s="1375"/>
      <c r="F334" s="1375"/>
      <c r="G334" s="1375"/>
      <c r="H334" s="1375"/>
      <c r="I334" s="1375"/>
      <c r="J334" s="1375"/>
      <c r="K334" s="1375"/>
      <c r="L334" s="1375"/>
      <c r="M334" s="1375"/>
      <c r="N334" s="862"/>
      <c r="O334" s="629"/>
      <c r="P334" s="629"/>
      <c r="Q334" s="629"/>
      <c r="R334" s="629"/>
      <c r="S334" s="629"/>
      <c r="T334" s="629"/>
      <c r="U334" s="629"/>
      <c r="V334" s="629"/>
      <c r="W334" s="629"/>
      <c r="X334" s="629"/>
      <c r="Y334" s="629"/>
      <c r="Z334" s="629"/>
      <c r="AA334" s="629"/>
      <c r="AB334" s="630"/>
    </row>
    <row r="335" spans="1:45" ht="19.05" customHeight="1">
      <c r="A335" s="853"/>
      <c r="B335" s="1375"/>
      <c r="C335" s="1375"/>
      <c r="D335" s="1375"/>
      <c r="E335" s="1375"/>
      <c r="F335" s="1375"/>
      <c r="G335" s="1375"/>
      <c r="H335" s="1375"/>
      <c r="I335" s="1375"/>
      <c r="J335" s="1375"/>
      <c r="K335" s="1375"/>
      <c r="L335" s="1375"/>
      <c r="M335" s="1375"/>
      <c r="N335" s="862"/>
      <c r="O335" s="629"/>
      <c r="P335" s="629"/>
      <c r="Q335" s="629"/>
      <c r="R335" s="629"/>
      <c r="S335" s="629"/>
      <c r="T335" s="629"/>
      <c r="U335" s="629"/>
      <c r="V335" s="629"/>
      <c r="W335" s="629"/>
      <c r="X335" s="629"/>
      <c r="Y335" s="629"/>
      <c r="Z335" s="629"/>
      <c r="AA335" s="629"/>
      <c r="AB335" s="630"/>
    </row>
    <row r="336" spans="1:45" ht="19.05" customHeight="1">
      <c r="A336" s="853"/>
      <c r="B336" s="1375"/>
      <c r="C336" s="1375"/>
      <c r="D336" s="1375"/>
      <c r="E336" s="1375"/>
      <c r="F336" s="1375"/>
      <c r="G336" s="1375"/>
      <c r="H336" s="1375"/>
      <c r="I336" s="1375"/>
      <c r="J336" s="1375"/>
      <c r="K336" s="1375"/>
      <c r="L336" s="1375"/>
      <c r="M336" s="1375"/>
      <c r="N336" s="862"/>
      <c r="O336" s="629"/>
      <c r="P336" s="629"/>
      <c r="Q336" s="629"/>
      <c r="R336" s="629"/>
      <c r="S336" s="629"/>
      <c r="T336" s="629"/>
      <c r="U336" s="629"/>
      <c r="V336" s="629"/>
      <c r="W336" s="629"/>
      <c r="X336" s="629"/>
      <c r="Y336" s="629"/>
      <c r="Z336" s="629"/>
      <c r="AA336" s="629"/>
      <c r="AB336" s="630"/>
    </row>
    <row r="337" spans="1:82" ht="19.05" customHeight="1">
      <c r="A337" s="853"/>
      <c r="B337" s="1375"/>
      <c r="C337" s="1375"/>
      <c r="D337" s="1375"/>
      <c r="E337" s="1375"/>
      <c r="F337" s="1375"/>
      <c r="G337" s="1375"/>
      <c r="H337" s="1375"/>
      <c r="I337" s="1375"/>
      <c r="J337" s="1375"/>
      <c r="K337" s="1375"/>
      <c r="L337" s="1375"/>
      <c r="M337" s="1375"/>
      <c r="N337" s="862"/>
      <c r="O337" s="629"/>
      <c r="P337" s="629"/>
      <c r="Q337" s="629"/>
      <c r="R337" s="629"/>
      <c r="S337" s="629"/>
      <c r="T337" s="629"/>
      <c r="U337" s="629"/>
      <c r="V337" s="629"/>
      <c r="W337" s="629"/>
      <c r="X337" s="629"/>
      <c r="Y337" s="629"/>
      <c r="Z337" s="629"/>
      <c r="AA337" s="629"/>
      <c r="AB337" s="630"/>
    </row>
    <row r="338" spans="1:82" ht="4.95" customHeight="1">
      <c r="A338" s="853"/>
      <c r="B338" s="631"/>
      <c r="C338" s="631"/>
      <c r="D338" s="631"/>
      <c r="E338" s="631"/>
      <c r="F338" s="631"/>
      <c r="G338" s="631"/>
      <c r="H338" s="631"/>
      <c r="I338" s="631"/>
      <c r="J338" s="631"/>
      <c r="K338" s="631"/>
      <c r="L338" s="631"/>
      <c r="M338" s="631"/>
      <c r="N338" s="862"/>
      <c r="O338" s="629"/>
      <c r="P338" s="629"/>
      <c r="Q338" s="629"/>
      <c r="R338" s="629"/>
      <c r="S338" s="629"/>
      <c r="T338" s="629"/>
      <c r="U338" s="629"/>
      <c r="V338" s="629"/>
      <c r="W338" s="629"/>
      <c r="X338" s="629"/>
      <c r="Y338" s="629"/>
      <c r="Z338" s="629"/>
      <c r="AA338" s="629"/>
      <c r="AB338" s="630"/>
      <c r="CD338" s="37"/>
    </row>
    <row r="339" spans="1:82" ht="25.05" customHeight="1">
      <c r="A339" s="858" t="s">
        <v>2478</v>
      </c>
      <c r="B339" s="631"/>
      <c r="C339" s="631"/>
      <c r="D339" s="631"/>
      <c r="E339" s="631"/>
      <c r="F339" s="631"/>
      <c r="G339" s="631"/>
      <c r="H339" s="631"/>
      <c r="I339" s="631"/>
      <c r="J339" s="631"/>
      <c r="K339" s="631"/>
      <c r="L339" s="631"/>
      <c r="M339" s="631"/>
      <c r="N339" s="862"/>
      <c r="O339" s="629"/>
      <c r="P339" s="629"/>
      <c r="Q339" s="629"/>
      <c r="R339" s="629"/>
      <c r="S339" s="629"/>
      <c r="T339" s="629"/>
      <c r="U339" s="629"/>
      <c r="V339" s="629"/>
      <c r="W339" s="629"/>
      <c r="X339" s="629"/>
      <c r="Y339" s="629"/>
      <c r="Z339" s="629"/>
      <c r="AA339" s="629"/>
      <c r="AB339" s="630"/>
      <c r="AK339" s="139">
        <v>1</v>
      </c>
      <c r="AL339" s="139">
        <v>2</v>
      </c>
      <c r="AM339" s="139">
        <v>3</v>
      </c>
      <c r="AN339" s="139">
        <v>4</v>
      </c>
      <c r="AO339" s="139">
        <v>5</v>
      </c>
      <c r="AP339" s="139">
        <v>6</v>
      </c>
      <c r="AQ339" s="139">
        <v>7</v>
      </c>
      <c r="AR339" s="139">
        <v>8</v>
      </c>
      <c r="AS339" s="139">
        <v>9</v>
      </c>
      <c r="AT339" s="139">
        <v>10</v>
      </c>
      <c r="AU339" s="139">
        <v>11</v>
      </c>
      <c r="AV339" s="139">
        <v>12</v>
      </c>
      <c r="AW339" s="139">
        <v>13</v>
      </c>
      <c r="AX339" s="139">
        <v>14</v>
      </c>
      <c r="AY339" s="139">
        <v>15</v>
      </c>
    </row>
    <row r="340" spans="1:82" ht="19.95" customHeight="1">
      <c r="A340" s="853"/>
      <c r="B340" s="1375" t="str">
        <f>AI340</f>
        <v>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v>
      </c>
      <c r="C340" s="1375"/>
      <c r="D340" s="1375"/>
      <c r="E340" s="1375"/>
      <c r="F340" s="1375"/>
      <c r="G340" s="1375"/>
      <c r="H340" s="1375"/>
      <c r="I340" s="1375"/>
      <c r="J340" s="1375"/>
      <c r="K340" s="1375"/>
      <c r="L340" s="1375"/>
      <c r="M340" s="1375"/>
      <c r="N340" s="862"/>
      <c r="O340" s="629"/>
      <c r="P340" s="629"/>
      <c r="Q340" s="629"/>
      <c r="R340" s="629"/>
      <c r="S340" s="629"/>
      <c r="T340" s="629"/>
      <c r="U340" s="629"/>
      <c r="V340" s="629"/>
      <c r="W340" s="629"/>
      <c r="X340" s="629"/>
      <c r="Y340" s="629"/>
      <c r="Z340" s="629"/>
      <c r="AA340" s="629"/>
      <c r="AB340" s="630"/>
      <c r="AI340" s="459" t="str">
        <f>IF(OR(H$113="",H$115=""),AK341,CONCATENATE(AK340,AL340,AM340,AN340,AO340,AP340,AQ340,AR340,AS340,AT340,AU340,AV340,AW340,AX340))</f>
        <v>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v>
      </c>
      <c r="AK340" s="465" t="s">
        <v>2609</v>
      </c>
      <c r="AL340" s="2" t="str">
        <f>$S$1299</f>
        <v/>
      </c>
      <c r="AM340" s="465" t="s">
        <v>2483</v>
      </c>
      <c r="AN340" s="2" t="str">
        <f>$D$1300</f>
        <v/>
      </c>
      <c r="AO340" s="465" t="s">
        <v>2610</v>
      </c>
      <c r="AP340" s="2" t="str">
        <f>$R$1299</f>
        <v/>
      </c>
      <c r="AQ340" s="465" t="s">
        <v>2484</v>
      </c>
      <c r="AR340" s="2" t="str">
        <f>$D$1300</f>
        <v/>
      </c>
      <c r="AS340" s="465" t="s">
        <v>2479</v>
      </c>
      <c r="AT340" s="2" t="str">
        <f>$L$1299</f>
        <v/>
      </c>
      <c r="AU340" s="465" t="s">
        <v>2480</v>
      </c>
      <c r="AV340" s="2" t="str">
        <f>$M$1299</f>
        <v/>
      </c>
      <c r="AW340" s="465" t="s">
        <v>2481</v>
      </c>
      <c r="AX340" s="2" t="str">
        <f>$D$1300</f>
        <v/>
      </c>
      <c r="AY340" s="465" t="s">
        <v>2482</v>
      </c>
    </row>
    <row r="341" spans="1:82" ht="19.95" customHeight="1">
      <c r="A341" s="853"/>
      <c r="B341" s="1375"/>
      <c r="C341" s="1375"/>
      <c r="D341" s="1375"/>
      <c r="E341" s="1375"/>
      <c r="F341" s="1375"/>
      <c r="G341" s="1375"/>
      <c r="H341" s="1375"/>
      <c r="I341" s="1375"/>
      <c r="J341" s="1375"/>
      <c r="K341" s="1375"/>
      <c r="L341" s="1375"/>
      <c r="M341" s="1375"/>
      <c r="N341" s="862"/>
      <c r="O341" s="629"/>
      <c r="P341" s="629"/>
      <c r="Q341" s="629"/>
      <c r="R341" s="629"/>
      <c r="S341" s="629"/>
      <c r="T341" s="629"/>
      <c r="U341" s="629"/>
      <c r="V341" s="629"/>
      <c r="W341" s="629"/>
      <c r="X341" s="629"/>
      <c r="Y341" s="629"/>
      <c r="Z341" s="629"/>
      <c r="AA341" s="629"/>
      <c r="AB341" s="630"/>
      <c r="AK341" s="734" t="s">
        <v>3188</v>
      </c>
    </row>
    <row r="342" spans="1:82" ht="19.95" customHeight="1">
      <c r="A342" s="853"/>
      <c r="B342" s="1375"/>
      <c r="C342" s="1375"/>
      <c r="D342" s="1375"/>
      <c r="E342" s="1375"/>
      <c r="F342" s="1375"/>
      <c r="G342" s="1375"/>
      <c r="H342" s="1375"/>
      <c r="I342" s="1375"/>
      <c r="J342" s="1375"/>
      <c r="K342" s="1375"/>
      <c r="L342" s="1375"/>
      <c r="M342" s="1375"/>
      <c r="N342" s="862"/>
      <c r="O342" s="629"/>
      <c r="P342" s="629"/>
      <c r="Q342" s="629"/>
      <c r="R342" s="629"/>
      <c r="S342" s="629"/>
      <c r="T342" s="629"/>
      <c r="U342" s="629"/>
      <c r="V342" s="629"/>
      <c r="W342" s="629"/>
      <c r="X342" s="629"/>
      <c r="Y342" s="629"/>
      <c r="Z342" s="629"/>
      <c r="AA342" s="629"/>
      <c r="AB342" s="630"/>
    </row>
    <row r="343" spans="1:82" ht="19.95" customHeight="1">
      <c r="A343" s="853"/>
      <c r="B343" s="1375"/>
      <c r="C343" s="1375"/>
      <c r="D343" s="1375"/>
      <c r="E343" s="1375"/>
      <c r="F343" s="1375"/>
      <c r="G343" s="1375"/>
      <c r="H343" s="1375"/>
      <c r="I343" s="1375"/>
      <c r="J343" s="1375"/>
      <c r="K343" s="1375"/>
      <c r="L343" s="1375"/>
      <c r="M343" s="1375"/>
      <c r="N343" s="862"/>
      <c r="O343" s="629"/>
      <c r="P343" s="629"/>
      <c r="Q343" s="629"/>
      <c r="R343" s="629"/>
      <c r="S343" s="629"/>
      <c r="T343" s="629"/>
      <c r="U343" s="629"/>
      <c r="V343" s="629"/>
      <c r="W343" s="629"/>
      <c r="X343" s="629"/>
      <c r="Y343" s="629"/>
      <c r="Z343" s="629"/>
      <c r="AA343" s="629"/>
      <c r="AB343" s="630"/>
    </row>
    <row r="344" spans="1:82" ht="19.95" customHeight="1">
      <c r="A344" s="853"/>
      <c r="B344" s="1375"/>
      <c r="C344" s="1375"/>
      <c r="D344" s="1375"/>
      <c r="E344" s="1375"/>
      <c r="F344" s="1375"/>
      <c r="G344" s="1375"/>
      <c r="H344" s="1375"/>
      <c r="I344" s="1375"/>
      <c r="J344" s="1375"/>
      <c r="K344" s="1375"/>
      <c r="L344" s="1375"/>
      <c r="M344" s="1375"/>
      <c r="N344" s="862"/>
      <c r="O344" s="629"/>
      <c r="P344" s="629"/>
      <c r="Q344" s="629"/>
      <c r="R344" s="629"/>
      <c r="S344" s="629"/>
      <c r="T344" s="629"/>
      <c r="U344" s="629"/>
      <c r="V344" s="629"/>
      <c r="W344" s="629"/>
      <c r="X344" s="629"/>
      <c r="Y344" s="629"/>
      <c r="Z344" s="629"/>
      <c r="AA344" s="629"/>
      <c r="AB344" s="630"/>
    </row>
    <row r="345" spans="1:82" ht="19.95" customHeight="1">
      <c r="A345" s="853"/>
      <c r="B345" s="1375"/>
      <c r="C345" s="1375"/>
      <c r="D345" s="1375"/>
      <c r="E345" s="1375"/>
      <c r="F345" s="1375"/>
      <c r="G345" s="1375"/>
      <c r="H345" s="1375"/>
      <c r="I345" s="1375"/>
      <c r="J345" s="1375"/>
      <c r="K345" s="1375"/>
      <c r="L345" s="1375"/>
      <c r="M345" s="1375"/>
      <c r="N345" s="862"/>
      <c r="O345" s="629"/>
      <c r="P345" s="629"/>
      <c r="Q345" s="629"/>
      <c r="R345" s="629"/>
      <c r="S345" s="629"/>
      <c r="T345" s="629"/>
      <c r="U345" s="629"/>
      <c r="V345" s="629"/>
      <c r="W345" s="629"/>
      <c r="X345" s="629"/>
      <c r="Y345" s="629"/>
      <c r="Z345" s="629"/>
      <c r="AA345" s="629"/>
      <c r="AB345" s="630"/>
    </row>
    <row r="346" spans="1:82" ht="19.95" customHeight="1">
      <c r="A346" s="853"/>
      <c r="B346" s="1375"/>
      <c r="C346" s="1375"/>
      <c r="D346" s="1375"/>
      <c r="E346" s="1375"/>
      <c r="F346" s="1375"/>
      <c r="G346" s="1375"/>
      <c r="H346" s="1375"/>
      <c r="I346" s="1375"/>
      <c r="J346" s="1375"/>
      <c r="K346" s="1375"/>
      <c r="L346" s="1375"/>
      <c r="M346" s="1375"/>
      <c r="N346" s="862"/>
      <c r="O346" s="629"/>
      <c r="P346" s="629"/>
      <c r="Q346" s="629"/>
      <c r="R346" s="629"/>
      <c r="S346" s="629"/>
      <c r="T346" s="629"/>
      <c r="U346" s="629"/>
      <c r="V346" s="629"/>
      <c r="W346" s="629"/>
      <c r="X346" s="629"/>
      <c r="Y346" s="629"/>
      <c r="Z346" s="629"/>
      <c r="AA346" s="629"/>
      <c r="AB346" s="630"/>
    </row>
    <row r="347" spans="1:82" ht="25.05" customHeight="1">
      <c r="A347" s="853"/>
      <c r="B347" s="1375"/>
      <c r="C347" s="1375"/>
      <c r="D347" s="1375"/>
      <c r="E347" s="1375"/>
      <c r="F347" s="1375"/>
      <c r="G347" s="1375"/>
      <c r="H347" s="1375"/>
      <c r="I347" s="1375"/>
      <c r="J347" s="1375"/>
      <c r="K347" s="1375"/>
      <c r="L347" s="1375"/>
      <c r="M347" s="1375"/>
      <c r="N347" s="862"/>
      <c r="O347" s="629"/>
      <c r="P347" s="629"/>
      <c r="Q347" s="629"/>
      <c r="R347" s="629"/>
      <c r="S347" s="629"/>
      <c r="T347" s="629"/>
      <c r="U347" s="629"/>
      <c r="V347" s="629"/>
      <c r="W347" s="629"/>
      <c r="X347" s="629"/>
      <c r="Y347" s="629"/>
      <c r="Z347" s="629"/>
      <c r="AA347" s="629"/>
      <c r="AB347" s="630"/>
    </row>
    <row r="348" spans="1:82" ht="4.95" customHeight="1">
      <c r="A348" s="857"/>
      <c r="B348" s="635"/>
      <c r="C348" s="635"/>
      <c r="D348" s="635"/>
      <c r="E348" s="635"/>
      <c r="F348" s="635"/>
      <c r="G348" s="635"/>
      <c r="H348" s="635"/>
      <c r="I348" s="635"/>
      <c r="J348" s="635"/>
      <c r="K348" s="635"/>
      <c r="L348" s="635"/>
      <c r="M348" s="635"/>
      <c r="N348" s="862"/>
      <c r="O348" s="629"/>
      <c r="P348" s="635"/>
      <c r="Q348" s="635"/>
      <c r="R348" s="635"/>
      <c r="S348" s="635"/>
      <c r="T348" s="635"/>
      <c r="U348" s="635"/>
      <c r="V348" s="635"/>
      <c r="W348" s="635"/>
      <c r="X348" s="635"/>
      <c r="Y348" s="635"/>
      <c r="Z348" s="635"/>
      <c r="AA348" s="635"/>
      <c r="AB348" s="636"/>
      <c r="AC348" s="651"/>
    </row>
    <row r="349" spans="1:82" ht="30" customHeight="1">
      <c r="A349" s="854" t="s">
        <v>1148</v>
      </c>
      <c r="B349" s="884" t="str">
        <f>AI349</f>
        <v>Our responsive politics</v>
      </c>
      <c r="C349" s="884"/>
      <c r="D349" s="884"/>
      <c r="E349" s="884"/>
      <c r="F349" s="884"/>
      <c r="G349" s="884"/>
      <c r="H349" s="884"/>
      <c r="I349" s="884"/>
      <c r="J349" s="884"/>
      <c r="K349" s="884"/>
      <c r="L349" s="884"/>
      <c r="M349" s="884"/>
      <c r="N349" s="865" t="s">
        <v>1149</v>
      </c>
      <c r="O349" s="860"/>
      <c r="P349" s="647"/>
      <c r="Q349" s="647"/>
      <c r="R349" s="647"/>
      <c r="S349" s="647"/>
      <c r="T349" s="647"/>
      <c r="U349" s="647"/>
      <c r="V349" s="647"/>
      <c r="W349" s="647"/>
      <c r="X349" s="647"/>
      <c r="Y349" s="647"/>
      <c r="Z349" s="647"/>
      <c r="AA349" s="647"/>
      <c r="AB349" s="650" t="s">
        <v>1149</v>
      </c>
      <c r="AC349" s="651"/>
      <c r="AI349" s="37" t="str">
        <f>CONCATENATE(AK349,AL349,AM349)</f>
        <v>Our responsive politics</v>
      </c>
      <c r="AK349" s="465" t="s">
        <v>2125</v>
      </c>
      <c r="AL349" s="2" t="str">
        <f>IF(H$115="","",CONCATENATE(D1300," "))</f>
        <v/>
      </c>
      <c r="AM349" s="465" t="s">
        <v>2076</v>
      </c>
    </row>
    <row r="350" spans="1:82" ht="10.050000000000001" customHeight="1">
      <c r="A350" s="853"/>
      <c r="B350" s="629"/>
      <c r="C350" s="629"/>
      <c r="D350" s="629"/>
      <c r="E350" s="629"/>
      <c r="F350" s="629"/>
      <c r="G350" s="629"/>
      <c r="H350" s="629"/>
      <c r="I350" s="629"/>
      <c r="J350" s="629"/>
      <c r="K350" s="629"/>
      <c r="L350" s="629"/>
      <c r="M350" s="629"/>
      <c r="N350" s="862"/>
      <c r="O350" s="629"/>
      <c r="P350" s="629"/>
      <c r="Q350" s="629"/>
      <c r="R350" s="629"/>
      <c r="S350" s="629"/>
      <c r="T350" s="629"/>
      <c r="U350" s="629"/>
      <c r="V350" s="629"/>
      <c r="W350" s="629"/>
      <c r="X350" s="629"/>
      <c r="Y350" s="629"/>
      <c r="Z350" s="629"/>
      <c r="AA350" s="629"/>
      <c r="AB350" s="630"/>
      <c r="AC350" s="651"/>
    </row>
    <row r="351" spans="1:82" ht="19.95" customHeight="1">
      <c r="A351" s="855" t="s">
        <v>2073</v>
      </c>
      <c r="B351" s="632"/>
      <c r="C351" s="631"/>
      <c r="D351" s="631"/>
      <c r="E351" s="631"/>
      <c r="F351" s="631"/>
      <c r="G351" s="631"/>
      <c r="H351" s="631"/>
      <c r="I351" s="631"/>
      <c r="J351" s="631"/>
      <c r="K351" s="631"/>
      <c r="L351" s="631"/>
      <c r="M351" s="631"/>
      <c r="N351" s="862"/>
      <c r="O351" s="629"/>
      <c r="P351" s="629"/>
      <c r="Q351" s="629"/>
      <c r="R351" s="629"/>
      <c r="S351" s="629"/>
      <c r="T351" s="629"/>
      <c r="U351" s="629"/>
      <c r="V351" s="629"/>
      <c r="W351" s="629"/>
      <c r="X351" s="629"/>
      <c r="Y351" s="629"/>
      <c r="Z351" s="629"/>
      <c r="AA351" s="629"/>
      <c r="AB351" s="630"/>
      <c r="AC351" s="651"/>
    </row>
    <row r="352" spans="1:82" ht="4.95" customHeight="1">
      <c r="A352" s="853"/>
      <c r="B352" s="631"/>
      <c r="C352" s="631"/>
      <c r="D352" s="631"/>
      <c r="E352" s="631"/>
      <c r="F352" s="631"/>
      <c r="G352" s="631"/>
      <c r="H352" s="631"/>
      <c r="I352" s="631"/>
      <c r="J352" s="631"/>
      <c r="K352" s="631"/>
      <c r="L352" s="631"/>
      <c r="M352" s="631"/>
      <c r="N352" s="862"/>
      <c r="O352" s="629"/>
      <c r="P352" s="629"/>
      <c r="Q352" s="629"/>
      <c r="R352" s="629"/>
      <c r="S352" s="629"/>
      <c r="T352" s="629"/>
      <c r="U352" s="629"/>
      <c r="V352" s="629"/>
      <c r="W352" s="629"/>
      <c r="X352" s="629"/>
      <c r="Y352" s="629"/>
      <c r="Z352" s="629"/>
      <c r="AA352" s="629"/>
      <c r="AB352" s="630"/>
      <c r="AC352" s="651"/>
    </row>
    <row r="353" spans="1:39" ht="19.95" customHeight="1">
      <c r="A353" s="855"/>
      <c r="B353" s="1412" t="s">
        <v>2499</v>
      </c>
      <c r="C353" s="1412"/>
      <c r="D353" s="1412"/>
      <c r="E353" s="1412"/>
      <c r="F353" s="1412"/>
      <c r="G353" s="1412"/>
      <c r="H353" s="1412"/>
      <c r="I353" s="1412"/>
      <c r="J353" s="1412"/>
      <c r="K353" s="1412"/>
      <c r="L353" s="1412"/>
      <c r="M353" s="1412"/>
      <c r="N353" s="862"/>
      <c r="O353" s="629"/>
      <c r="P353" s="629"/>
      <c r="Q353" s="629"/>
      <c r="R353" s="629"/>
      <c r="S353" s="629"/>
      <c r="T353" s="629"/>
      <c r="U353" s="629"/>
      <c r="V353" s="629"/>
      <c r="W353" s="629"/>
      <c r="X353" s="629"/>
      <c r="Y353" s="629"/>
      <c r="Z353" s="629"/>
      <c r="AA353" s="629"/>
      <c r="AB353" s="630"/>
    </row>
    <row r="354" spans="1:39" ht="19.95" customHeight="1">
      <c r="A354" s="853"/>
      <c r="B354" s="1412"/>
      <c r="C354" s="1412"/>
      <c r="D354" s="1412"/>
      <c r="E354" s="1412"/>
      <c r="F354" s="1412"/>
      <c r="G354" s="1412"/>
      <c r="H354" s="1412"/>
      <c r="I354" s="1412"/>
      <c r="J354" s="1412"/>
      <c r="K354" s="1412"/>
      <c r="L354" s="1412"/>
      <c r="M354" s="1412"/>
      <c r="N354" s="862"/>
      <c r="O354" s="629"/>
      <c r="P354" s="629"/>
      <c r="Q354" s="629"/>
      <c r="R354" s="629"/>
      <c r="S354" s="629"/>
      <c r="T354" s="629"/>
      <c r="U354" s="629"/>
      <c r="V354" s="629"/>
      <c r="W354" s="629"/>
      <c r="X354" s="629"/>
      <c r="Y354" s="629"/>
      <c r="Z354" s="629"/>
      <c r="AA354" s="629"/>
      <c r="AB354" s="630"/>
    </row>
    <row r="355" spans="1:39" ht="19.95" customHeight="1">
      <c r="A355" s="853"/>
      <c r="B355" s="1412"/>
      <c r="C355" s="1412"/>
      <c r="D355" s="1412"/>
      <c r="E355" s="1412"/>
      <c r="F355" s="1412"/>
      <c r="G355" s="1412"/>
      <c r="H355" s="1412"/>
      <c r="I355" s="1412"/>
      <c r="J355" s="1412"/>
      <c r="K355" s="1412"/>
      <c r="L355" s="1412"/>
      <c r="M355" s="1412"/>
      <c r="N355" s="862"/>
      <c r="O355" s="629"/>
      <c r="P355" s="629"/>
      <c r="Q355" s="629"/>
      <c r="R355" s="629"/>
      <c r="S355" s="629"/>
      <c r="T355" s="629"/>
      <c r="U355" s="629"/>
      <c r="V355" s="629"/>
      <c r="W355" s="629"/>
      <c r="X355" s="629"/>
      <c r="Y355" s="629"/>
      <c r="Z355" s="629"/>
      <c r="AA355" s="629"/>
      <c r="AB355" s="630"/>
    </row>
    <row r="356" spans="1:39" ht="4.95" customHeight="1">
      <c r="A356" s="853"/>
      <c r="B356" s="637"/>
      <c r="C356" s="637"/>
      <c r="D356" s="637"/>
      <c r="E356" s="637"/>
      <c r="F356" s="637"/>
      <c r="G356" s="637"/>
      <c r="H356" s="638"/>
      <c r="I356" s="638"/>
      <c r="J356" s="638"/>
      <c r="K356" s="638"/>
      <c r="L356" s="638"/>
      <c r="M356" s="638"/>
      <c r="N356" s="862"/>
      <c r="O356" s="629"/>
      <c r="P356" s="629"/>
      <c r="Q356" s="629"/>
      <c r="R356" s="629"/>
      <c r="S356" s="629"/>
      <c r="T356" s="629"/>
      <c r="U356" s="629"/>
      <c r="V356" s="629"/>
      <c r="W356" s="629"/>
      <c r="X356" s="629"/>
      <c r="Y356" s="629"/>
      <c r="Z356" s="629"/>
      <c r="AA356" s="629"/>
      <c r="AB356" s="630"/>
    </row>
    <row r="357" spans="1:39" ht="25.05" customHeight="1">
      <c r="A357" s="859"/>
      <c r="B357" s="1357" t="s">
        <v>6</v>
      </c>
      <c r="C357" s="1357"/>
      <c r="D357" s="1357"/>
      <c r="E357" s="1357"/>
      <c r="F357" s="1357"/>
      <c r="G357" s="1357"/>
      <c r="H357" s="1357"/>
      <c r="I357" s="1357"/>
      <c r="J357" s="1357"/>
      <c r="K357" s="1357"/>
      <c r="L357" s="1357"/>
      <c r="M357" s="1357"/>
      <c r="N357" s="868"/>
      <c r="O357" s="629"/>
      <c r="P357" s="629"/>
      <c r="Q357" s="629"/>
      <c r="R357" s="629"/>
      <c r="S357" s="629"/>
      <c r="T357" s="629"/>
      <c r="U357" s="629"/>
      <c r="V357" s="629"/>
      <c r="W357" s="629"/>
      <c r="X357" s="629"/>
      <c r="Y357" s="629"/>
      <c r="Z357" s="629"/>
      <c r="AA357" s="629"/>
      <c r="AB357" s="630"/>
    </row>
    <row r="358" spans="1:39" ht="30" customHeight="1">
      <c r="A358" s="856"/>
      <c r="B358" s="1358" t="str">
        <f>IF($H$115="",$AD$1379,$AD$1377)</f>
        <v>Listen</v>
      </c>
      <c r="C358" s="1358"/>
      <c r="D358" s="1358"/>
      <c r="E358" s="1358"/>
      <c r="F358" s="1358"/>
      <c r="G358" s="1358"/>
      <c r="H358" s="1359" t="str">
        <f>IF($H$115="",$AG$1379,$AG$1377)</f>
        <v>Listen</v>
      </c>
      <c r="I358" s="1359"/>
      <c r="J358" s="1359"/>
      <c r="K358" s="1359"/>
      <c r="L358" s="1359"/>
      <c r="M358" s="1359"/>
      <c r="N358" s="866"/>
      <c r="O358" s="629"/>
      <c r="P358" s="629"/>
      <c r="Q358" s="629"/>
      <c r="R358" s="629"/>
      <c r="S358" s="629"/>
      <c r="T358" s="629"/>
      <c r="U358" s="629"/>
      <c r="V358" s="629"/>
      <c r="W358" s="629"/>
      <c r="X358" s="629"/>
      <c r="Y358" s="629"/>
      <c r="Z358" s="629"/>
      <c r="AA358" s="629"/>
      <c r="AB358" s="630"/>
    </row>
    <row r="359" spans="1:39" ht="19.95" customHeight="1">
      <c r="A359" s="856"/>
      <c r="B359" s="1360" t="str">
        <f>AI359</f>
        <v>I hear your need for more personal liberty, to address your needs freely on your own.</v>
      </c>
      <c r="C359" s="1360"/>
      <c r="D359" s="1360"/>
      <c r="E359" s="1360"/>
      <c r="F359" s="1360"/>
      <c r="G359" s="1360"/>
      <c r="H359" s="1333" t="str">
        <f>AI361</f>
        <v>I hear your need for protections from historically unfair practices of discrimination.</v>
      </c>
      <c r="I359" s="1333"/>
      <c r="J359" s="1333"/>
      <c r="K359" s="1333"/>
      <c r="L359" s="1333"/>
      <c r="M359" s="1333"/>
      <c r="N359" s="866"/>
      <c r="O359" s="629"/>
      <c r="P359" s="629"/>
      <c r="Q359" s="629"/>
      <c r="R359" s="629"/>
      <c r="S359" s="629"/>
      <c r="T359" s="629"/>
      <c r="U359" s="629"/>
      <c r="V359" s="629"/>
      <c r="W359" s="629"/>
      <c r="X359" s="629"/>
      <c r="Y359" s="629"/>
      <c r="Z359" s="629"/>
      <c r="AA359" s="629"/>
      <c r="AB359" s="630"/>
      <c r="AI359" s="896" t="str">
        <f>IF($H$115="",AM359,AK359)</f>
        <v>I hear your need for more personal liberty, to address your needs freely on your own.</v>
      </c>
      <c r="AK359" s="465" t="str">
        <f>$P$1377</f>
        <v/>
      </c>
      <c r="AM359" s="734" t="s">
        <v>3201</v>
      </c>
    </row>
    <row r="360" spans="1:39" ht="19.95" customHeight="1">
      <c r="A360" s="856"/>
      <c r="B360" s="1360"/>
      <c r="C360" s="1360"/>
      <c r="D360" s="1360"/>
      <c r="E360" s="1360"/>
      <c r="F360" s="1360"/>
      <c r="G360" s="1360"/>
      <c r="H360" s="1333"/>
      <c r="I360" s="1333"/>
      <c r="J360" s="1333"/>
      <c r="K360" s="1333"/>
      <c r="L360" s="1333"/>
      <c r="M360" s="1333"/>
      <c r="N360" s="866"/>
      <c r="O360" s="629"/>
      <c r="P360" s="629"/>
      <c r="Q360" s="629"/>
      <c r="R360" s="629"/>
      <c r="S360" s="629"/>
      <c r="T360" s="629"/>
      <c r="U360" s="629"/>
      <c r="V360" s="629"/>
      <c r="W360" s="629"/>
      <c r="X360" s="629"/>
      <c r="Y360" s="629"/>
      <c r="Z360" s="629"/>
      <c r="AA360" s="629"/>
      <c r="AB360" s="630"/>
    </row>
    <row r="361" spans="1:39" ht="19.95" customHeight="1">
      <c r="A361" s="856"/>
      <c r="B361" s="1360"/>
      <c r="C361" s="1360"/>
      <c r="D361" s="1360"/>
      <c r="E361" s="1360"/>
      <c r="F361" s="1360"/>
      <c r="G361" s="1360"/>
      <c r="H361" s="1333"/>
      <c r="I361" s="1333"/>
      <c r="J361" s="1333"/>
      <c r="K361" s="1333"/>
      <c r="L361" s="1333"/>
      <c r="M361" s="1333"/>
      <c r="N361" s="866"/>
      <c r="O361" s="629"/>
      <c r="P361" s="629"/>
      <c r="Q361" s="629"/>
      <c r="R361" s="629"/>
      <c r="S361" s="629"/>
      <c r="T361" s="629"/>
      <c r="U361" s="629"/>
      <c r="V361" s="629"/>
      <c r="W361" s="629"/>
      <c r="X361" s="629"/>
      <c r="Y361" s="629"/>
      <c r="Z361" s="629"/>
      <c r="AA361" s="629"/>
      <c r="AB361" s="630"/>
      <c r="AI361" s="898" t="str">
        <f>IF($H$115="",AM361,AK361)</f>
        <v>I hear your need for protections from historically unfair practices of discrimination.</v>
      </c>
      <c r="AK361" s="465" t="str">
        <f>$S$1377</f>
        <v/>
      </c>
      <c r="AM361" s="734" t="s">
        <v>3197</v>
      </c>
    </row>
    <row r="362" spans="1:39" ht="19.95" customHeight="1">
      <c r="A362" s="856"/>
      <c r="B362" s="1360"/>
      <c r="C362" s="1360"/>
      <c r="D362" s="1360"/>
      <c r="E362" s="1360"/>
      <c r="F362" s="1360"/>
      <c r="G362" s="1360"/>
      <c r="H362" s="1333"/>
      <c r="I362" s="1333"/>
      <c r="J362" s="1333"/>
      <c r="K362" s="1333"/>
      <c r="L362" s="1333"/>
      <c r="M362" s="1333"/>
      <c r="N362" s="866"/>
      <c r="O362" s="629"/>
      <c r="P362" s="629"/>
      <c r="Q362" s="629"/>
      <c r="R362" s="629"/>
      <c r="S362" s="629"/>
      <c r="T362" s="629"/>
      <c r="U362" s="629"/>
      <c r="V362" s="629"/>
      <c r="W362" s="629"/>
      <c r="X362" s="629"/>
      <c r="Y362" s="629"/>
      <c r="Z362" s="629"/>
      <c r="AA362" s="629"/>
      <c r="AB362" s="630"/>
    </row>
    <row r="363" spans="1:39" ht="4.95" customHeight="1">
      <c r="A363" s="856"/>
      <c r="B363" s="3"/>
      <c r="C363" s="3"/>
      <c r="D363" s="3"/>
      <c r="E363" s="3"/>
      <c r="F363" s="3"/>
      <c r="G363" s="3"/>
      <c r="H363" s="626"/>
      <c r="I363" s="626"/>
      <c r="J363" s="626"/>
      <c r="K363" s="626"/>
      <c r="L363" s="626"/>
      <c r="M363" s="626"/>
      <c r="N363" s="866"/>
      <c r="O363" s="629"/>
      <c r="P363" s="629"/>
      <c r="Q363" s="629"/>
      <c r="R363" s="629"/>
      <c r="S363" s="629"/>
      <c r="T363" s="629"/>
      <c r="U363" s="629"/>
      <c r="V363" s="629"/>
      <c r="W363" s="629"/>
      <c r="X363" s="629"/>
      <c r="Y363" s="629"/>
      <c r="Z363" s="629"/>
      <c r="AA363" s="629"/>
      <c r="AB363" s="630"/>
    </row>
    <row r="364" spans="1:39" ht="25.05" customHeight="1">
      <c r="A364" s="859"/>
      <c r="B364" s="1357" t="s">
        <v>8</v>
      </c>
      <c r="C364" s="1357"/>
      <c r="D364" s="1357"/>
      <c r="E364" s="1357"/>
      <c r="F364" s="1357"/>
      <c r="G364" s="1357"/>
      <c r="H364" s="1357"/>
      <c r="I364" s="1357"/>
      <c r="J364" s="1357"/>
      <c r="K364" s="1357"/>
      <c r="L364" s="1357"/>
      <c r="M364" s="1357"/>
      <c r="N364" s="868"/>
      <c r="O364" s="629"/>
      <c r="P364" s="629"/>
      <c r="Q364" s="629"/>
      <c r="R364" s="629"/>
      <c r="S364" s="629"/>
      <c r="T364" s="629"/>
      <c r="U364" s="629"/>
      <c r="V364" s="629"/>
      <c r="W364" s="629"/>
      <c r="X364" s="629"/>
      <c r="Y364" s="629"/>
      <c r="Z364" s="629"/>
      <c r="AA364" s="629"/>
      <c r="AB364" s="630"/>
    </row>
    <row r="365" spans="1:39" ht="30" customHeight="1">
      <c r="A365" s="856"/>
      <c r="B365" s="1358" t="str">
        <f>IF($H$115="",$AE$1379,$AE$1377)</f>
        <v>Affirm</v>
      </c>
      <c r="C365" s="1358"/>
      <c r="D365" s="1358"/>
      <c r="E365" s="1358"/>
      <c r="F365" s="1358"/>
      <c r="G365" s="1358"/>
      <c r="H365" s="1359" t="str">
        <f>IF($H$115="",$AH$1379,$AH$1377)</f>
        <v>Affirm</v>
      </c>
      <c r="I365" s="1359"/>
      <c r="J365" s="1359"/>
      <c r="K365" s="1359"/>
      <c r="L365" s="1359"/>
      <c r="M365" s="1359"/>
      <c r="N365" s="866"/>
      <c r="O365" s="629"/>
      <c r="P365" s="629"/>
      <c r="Q365" s="629"/>
      <c r="R365" s="629"/>
      <c r="S365" s="629"/>
      <c r="T365" s="629"/>
      <c r="U365" s="629"/>
      <c r="V365" s="629"/>
      <c r="W365" s="629"/>
      <c r="X365" s="629"/>
      <c r="Y365" s="629"/>
      <c r="Z365" s="629"/>
      <c r="AA365" s="629"/>
      <c r="AB365" s="630"/>
    </row>
    <row r="366" spans="1:39" ht="19.95" customHeight="1">
      <c r="A366" s="856"/>
      <c r="B366" s="1360" t="str">
        <f>AI366</f>
        <v>I affirm your need for greater personal space to make the most of life.</v>
      </c>
      <c r="C366" s="1360"/>
      <c r="D366" s="1360"/>
      <c r="E366" s="1360"/>
      <c r="F366" s="1360"/>
      <c r="G366" s="1360"/>
      <c r="H366" s="1333" t="str">
        <f>AI368</f>
        <v>I affirm your need for greater protections from unchecked exploitations.</v>
      </c>
      <c r="I366" s="1333"/>
      <c r="J366" s="1333"/>
      <c r="K366" s="1333"/>
      <c r="L366" s="1333"/>
      <c r="M366" s="1333"/>
      <c r="N366" s="866"/>
      <c r="O366" s="629"/>
      <c r="P366" s="629"/>
      <c r="Q366" s="629"/>
      <c r="R366" s="629"/>
      <c r="S366" s="629"/>
      <c r="T366" s="629"/>
      <c r="U366" s="629"/>
      <c r="V366" s="629"/>
      <c r="W366" s="629"/>
      <c r="X366" s="629"/>
      <c r="Y366" s="629"/>
      <c r="Z366" s="629"/>
      <c r="AA366" s="629"/>
      <c r="AB366" s="630"/>
      <c r="AI366" s="896" t="str">
        <f>IF($H$115="",AM366,AK366)</f>
        <v>I affirm your need for greater personal space to make the most of life.</v>
      </c>
      <c r="AK366" s="465" t="str">
        <f>$Q$1377</f>
        <v/>
      </c>
      <c r="AM366" s="734" t="s">
        <v>3202</v>
      </c>
    </row>
    <row r="367" spans="1:39" ht="19.95" customHeight="1">
      <c r="A367" s="856"/>
      <c r="B367" s="1360"/>
      <c r="C367" s="1360"/>
      <c r="D367" s="1360"/>
      <c r="E367" s="1360"/>
      <c r="F367" s="1360"/>
      <c r="G367" s="1360"/>
      <c r="H367" s="1333"/>
      <c r="I367" s="1333"/>
      <c r="J367" s="1333"/>
      <c r="K367" s="1333"/>
      <c r="L367" s="1333"/>
      <c r="M367" s="1333"/>
      <c r="N367" s="866"/>
      <c r="O367" s="629"/>
      <c r="P367" s="629"/>
      <c r="Q367" s="629"/>
      <c r="R367" s="629"/>
      <c r="S367" s="629"/>
      <c r="T367" s="629"/>
      <c r="U367" s="629"/>
      <c r="V367" s="629"/>
      <c r="W367" s="629"/>
      <c r="X367" s="629"/>
      <c r="Y367" s="629"/>
      <c r="Z367" s="629"/>
      <c r="AA367" s="629"/>
      <c r="AB367" s="630"/>
    </row>
    <row r="368" spans="1:39" ht="19.95" customHeight="1">
      <c r="A368" s="856"/>
      <c r="B368" s="1360"/>
      <c r="C368" s="1360"/>
      <c r="D368" s="1360"/>
      <c r="E368" s="1360"/>
      <c r="F368" s="1360"/>
      <c r="G368" s="1360"/>
      <c r="H368" s="1333"/>
      <c r="I368" s="1333"/>
      <c r="J368" s="1333"/>
      <c r="K368" s="1333"/>
      <c r="L368" s="1333"/>
      <c r="M368" s="1333"/>
      <c r="N368" s="866"/>
      <c r="O368" s="629"/>
      <c r="P368" s="629"/>
      <c r="Q368" s="629"/>
      <c r="R368" s="629"/>
      <c r="S368" s="629"/>
      <c r="T368" s="629"/>
      <c r="U368" s="629"/>
      <c r="V368" s="629"/>
      <c r="W368" s="629"/>
      <c r="X368" s="629"/>
      <c r="Y368" s="629"/>
      <c r="Z368" s="629"/>
      <c r="AA368" s="629"/>
      <c r="AB368" s="630"/>
      <c r="AI368" s="898" t="str">
        <f>IF($H$115="",AM368,AK368)</f>
        <v>I affirm your need for greater protections from unchecked exploitations.</v>
      </c>
      <c r="AK368" s="465" t="str">
        <f>$T$1377</f>
        <v/>
      </c>
      <c r="AM368" s="734" t="s">
        <v>3198</v>
      </c>
    </row>
    <row r="369" spans="1:47" ht="19.95" customHeight="1">
      <c r="A369" s="856"/>
      <c r="B369" s="1360"/>
      <c r="C369" s="1360"/>
      <c r="D369" s="1360"/>
      <c r="E369" s="1360"/>
      <c r="F369" s="1360"/>
      <c r="G369" s="1360"/>
      <c r="H369" s="1333"/>
      <c r="I369" s="1333"/>
      <c r="J369" s="1333"/>
      <c r="K369" s="1333"/>
      <c r="L369" s="1333"/>
      <c r="M369" s="1333"/>
      <c r="N369" s="866"/>
      <c r="O369" s="629"/>
      <c r="P369" s="629"/>
      <c r="Q369" s="629"/>
      <c r="R369" s="629"/>
      <c r="S369" s="629"/>
      <c r="T369" s="629"/>
      <c r="U369" s="629"/>
      <c r="V369" s="629"/>
      <c r="W369" s="629"/>
      <c r="X369" s="629"/>
      <c r="Y369" s="629"/>
      <c r="Z369" s="629"/>
      <c r="AA369" s="629"/>
      <c r="AB369" s="630"/>
    </row>
    <row r="370" spans="1:47" ht="4.95" customHeight="1">
      <c r="A370" s="856"/>
      <c r="B370" s="614"/>
      <c r="C370" s="614"/>
      <c r="D370" s="614"/>
      <c r="E370" s="614"/>
      <c r="F370" s="614"/>
      <c r="G370" s="614"/>
      <c r="H370" s="613"/>
      <c r="I370" s="613"/>
      <c r="J370" s="613"/>
      <c r="K370" s="613"/>
      <c r="L370" s="613"/>
      <c r="M370" s="613"/>
      <c r="N370" s="866"/>
      <c r="O370" s="629"/>
      <c r="P370" s="629"/>
      <c r="Q370" s="629"/>
      <c r="R370" s="629"/>
      <c r="S370" s="629"/>
      <c r="T370" s="629"/>
      <c r="U370" s="629"/>
      <c r="V370" s="629"/>
      <c r="W370" s="629"/>
      <c r="X370" s="629"/>
      <c r="Y370" s="629"/>
      <c r="Z370" s="629"/>
      <c r="AA370" s="629"/>
      <c r="AB370" s="630"/>
    </row>
    <row r="371" spans="1:47" ht="25.05" customHeight="1">
      <c r="A371" s="859"/>
      <c r="B371" s="1357" t="s">
        <v>10</v>
      </c>
      <c r="C371" s="1357"/>
      <c r="D371" s="1357"/>
      <c r="E371" s="1357"/>
      <c r="F371" s="1357"/>
      <c r="G371" s="1357"/>
      <c r="H371" s="1357"/>
      <c r="I371" s="1357"/>
      <c r="J371" s="1357"/>
      <c r="K371" s="1357"/>
      <c r="L371" s="1357"/>
      <c r="M371" s="1357"/>
      <c r="N371" s="868"/>
      <c r="O371" s="629"/>
      <c r="P371" s="629"/>
      <c r="Q371" s="629"/>
      <c r="R371" s="629"/>
      <c r="S371" s="629"/>
      <c r="T371" s="629"/>
      <c r="U371" s="629"/>
      <c r="V371" s="629"/>
      <c r="W371" s="629"/>
      <c r="X371" s="629"/>
      <c r="Y371" s="629"/>
      <c r="Z371" s="629"/>
      <c r="AA371" s="629"/>
      <c r="AB371" s="630"/>
    </row>
    <row r="372" spans="1:47" ht="30" customHeight="1">
      <c r="A372" s="856"/>
      <c r="B372" s="1358" t="str">
        <f>IF($H$115="",$AF$1379,$AF$1377)</f>
        <v>Offer</v>
      </c>
      <c r="C372" s="1358"/>
      <c r="D372" s="1358"/>
      <c r="E372" s="1358"/>
      <c r="F372" s="1358"/>
      <c r="G372" s="1358"/>
      <c r="H372" s="1359" t="str">
        <f>IF($H$115="",$AI$1379,$AI$1377)</f>
        <v>Offer</v>
      </c>
      <c r="I372" s="1359"/>
      <c r="J372" s="1359"/>
      <c r="K372" s="1359"/>
      <c r="L372" s="1359"/>
      <c r="M372" s="1359"/>
      <c r="N372" s="866"/>
      <c r="O372" s="629"/>
      <c r="P372" s="629"/>
      <c r="Q372" s="629"/>
      <c r="R372" s="629"/>
      <c r="S372" s="629"/>
      <c r="T372" s="629"/>
      <c r="U372" s="629"/>
      <c r="V372" s="629"/>
      <c r="W372" s="629"/>
      <c r="X372" s="629"/>
      <c r="Y372" s="629"/>
      <c r="Z372" s="629"/>
      <c r="AA372" s="629"/>
      <c r="AB372" s="630"/>
      <c r="AI372" s="37" t="str">
        <f>CONCATENATE(AK372,AL372,AM372,AN372)</f>
        <v/>
      </c>
    </row>
    <row r="373" spans="1:47" ht="19.95" customHeight="1">
      <c r="A373" s="856"/>
      <c r="B373" s="1334" t="str">
        <f>AI373</f>
        <v>I the more I support your need for less government in some areas, the more I count on you to support my need for more government in other areas.</v>
      </c>
      <c r="C373" s="1334"/>
      <c r="D373" s="1334"/>
      <c r="E373" s="1334"/>
      <c r="F373" s="1334"/>
      <c r="G373" s="1334"/>
      <c r="H373" s="1455" t="str">
        <f>AI375</f>
        <v>I the more I support your need for more government in some areas, the more I count on you to support my need for less government in other areas.</v>
      </c>
      <c r="I373" s="1455"/>
      <c r="J373" s="1455"/>
      <c r="K373" s="1455"/>
      <c r="L373" s="1455"/>
      <c r="M373" s="1455"/>
      <c r="N373" s="866"/>
      <c r="O373" s="629"/>
      <c r="P373" s="629"/>
      <c r="Q373" s="629"/>
      <c r="R373" s="629"/>
      <c r="S373" s="629"/>
      <c r="T373" s="629"/>
      <c r="U373" s="629"/>
      <c r="V373" s="629"/>
      <c r="W373" s="629"/>
      <c r="X373" s="629"/>
      <c r="Y373" s="629"/>
      <c r="Z373" s="629"/>
      <c r="AA373" s="629"/>
      <c r="AB373" s="630"/>
      <c r="AI373" s="896" t="str">
        <f>IF($H$115="",AM373,AK373)</f>
        <v>I the more I support your need for less government in some areas, the more I count on you to support my need for more government in other areas.</v>
      </c>
      <c r="AK373" s="465" t="str">
        <f>$R$1377</f>
        <v/>
      </c>
      <c r="AM373" s="734" t="s">
        <v>3199</v>
      </c>
    </row>
    <row r="374" spans="1:47" ht="19.95" customHeight="1">
      <c r="A374" s="856"/>
      <c r="B374" s="1334"/>
      <c r="C374" s="1334"/>
      <c r="D374" s="1334"/>
      <c r="E374" s="1334"/>
      <c r="F374" s="1334"/>
      <c r="G374" s="1334"/>
      <c r="H374" s="1455"/>
      <c r="I374" s="1455"/>
      <c r="J374" s="1455"/>
      <c r="K374" s="1455"/>
      <c r="L374" s="1455"/>
      <c r="M374" s="1455"/>
      <c r="N374" s="866"/>
      <c r="O374" s="629"/>
      <c r="P374" s="629"/>
      <c r="Q374" s="629"/>
      <c r="R374" s="629"/>
      <c r="S374" s="629"/>
      <c r="T374" s="629"/>
      <c r="U374" s="629"/>
      <c r="V374" s="629"/>
      <c r="W374" s="629"/>
      <c r="X374" s="629"/>
      <c r="Y374" s="629"/>
      <c r="Z374" s="629"/>
      <c r="AA374" s="629"/>
      <c r="AB374" s="630"/>
    </row>
    <row r="375" spans="1:47" ht="19.95" customHeight="1">
      <c r="A375" s="856"/>
      <c r="B375" s="1334"/>
      <c r="C375" s="1334"/>
      <c r="D375" s="1334"/>
      <c r="E375" s="1334"/>
      <c r="F375" s="1334"/>
      <c r="G375" s="1334"/>
      <c r="H375" s="1455"/>
      <c r="I375" s="1455"/>
      <c r="J375" s="1455"/>
      <c r="K375" s="1455"/>
      <c r="L375" s="1455"/>
      <c r="M375" s="1455"/>
      <c r="N375" s="866"/>
      <c r="O375" s="629"/>
      <c r="P375" s="629"/>
      <c r="Q375" s="629"/>
      <c r="R375" s="629"/>
      <c r="S375" s="629"/>
      <c r="T375" s="629"/>
      <c r="U375" s="629"/>
      <c r="V375" s="629"/>
      <c r="W375" s="629"/>
      <c r="X375" s="629"/>
      <c r="Y375" s="629"/>
      <c r="Z375" s="629"/>
      <c r="AA375" s="629"/>
      <c r="AB375" s="630"/>
      <c r="AI375" s="898" t="str">
        <f>IF($H$115="",AM375,AK375)</f>
        <v>I the more I support your need for more government in some areas, the more I count on you to support my need for less government in other areas.</v>
      </c>
      <c r="AK375" s="465" t="str">
        <f>$U$1377</f>
        <v/>
      </c>
      <c r="AM375" s="734" t="s">
        <v>3200</v>
      </c>
    </row>
    <row r="376" spans="1:47" ht="19.95" customHeight="1">
      <c r="A376" s="856"/>
      <c r="B376" s="1334"/>
      <c r="C376" s="1334"/>
      <c r="D376" s="1334"/>
      <c r="E376" s="1334"/>
      <c r="F376" s="1334"/>
      <c r="G376" s="1334"/>
      <c r="H376" s="1455"/>
      <c r="I376" s="1455"/>
      <c r="J376" s="1455"/>
      <c r="K376" s="1455"/>
      <c r="L376" s="1455"/>
      <c r="M376" s="1455"/>
      <c r="N376" s="866"/>
      <c r="O376" s="629"/>
      <c r="P376" s="629"/>
      <c r="Q376" s="629"/>
      <c r="R376" s="629"/>
      <c r="S376" s="629"/>
      <c r="T376" s="629"/>
      <c r="U376" s="629"/>
      <c r="V376" s="629"/>
      <c r="W376" s="629"/>
      <c r="X376" s="629"/>
      <c r="Y376" s="629"/>
      <c r="Z376" s="629"/>
      <c r="AA376" s="629"/>
      <c r="AB376" s="630"/>
      <c r="AI376" s="37"/>
    </row>
    <row r="377" spans="1:47" ht="19.95" customHeight="1">
      <c r="A377" s="856"/>
      <c r="B377" s="1334"/>
      <c r="C377" s="1334"/>
      <c r="D377" s="1334"/>
      <c r="E377" s="1334"/>
      <c r="F377" s="1334"/>
      <c r="G377" s="1334"/>
      <c r="H377" s="1455"/>
      <c r="I377" s="1455"/>
      <c r="J377" s="1455"/>
      <c r="K377" s="1455"/>
      <c r="L377" s="1455"/>
      <c r="M377" s="1455"/>
      <c r="N377" s="866"/>
      <c r="O377" s="629"/>
      <c r="P377" s="629"/>
      <c r="Q377" s="629"/>
      <c r="R377" s="629"/>
      <c r="S377" s="629"/>
      <c r="T377" s="629"/>
      <c r="U377" s="629"/>
      <c r="V377" s="629"/>
      <c r="W377" s="629"/>
      <c r="X377" s="629"/>
      <c r="Y377" s="629"/>
      <c r="Z377" s="629"/>
      <c r="AA377" s="629"/>
      <c r="AB377" s="630"/>
    </row>
    <row r="378" spans="1:47" ht="10.050000000000001" customHeight="1">
      <c r="A378" s="853"/>
      <c r="B378" s="629"/>
      <c r="C378" s="629"/>
      <c r="D378" s="629"/>
      <c r="E378" s="629"/>
      <c r="F378" s="629"/>
      <c r="G378" s="629"/>
      <c r="H378" s="629"/>
      <c r="I378" s="629"/>
      <c r="J378" s="629"/>
      <c r="K378" s="629"/>
      <c r="L378" s="629"/>
      <c r="M378" s="629"/>
      <c r="N378" s="862"/>
      <c r="O378" s="629"/>
      <c r="P378" s="629"/>
      <c r="Q378" s="629"/>
      <c r="R378" s="629"/>
      <c r="S378" s="629"/>
      <c r="T378" s="629"/>
      <c r="U378" s="629"/>
      <c r="V378" s="629"/>
      <c r="W378" s="629"/>
      <c r="X378" s="629"/>
      <c r="Y378" s="629"/>
      <c r="Z378" s="629"/>
      <c r="AA378" s="629"/>
      <c r="AB378" s="630"/>
    </row>
    <row r="379" spans="1:47" ht="4.95" customHeight="1">
      <c r="A379" s="853"/>
      <c r="B379" s="629"/>
      <c r="C379" s="629"/>
      <c r="D379" s="629"/>
      <c r="E379" s="629"/>
      <c r="F379" s="629"/>
      <c r="G379" s="629"/>
      <c r="H379" s="629"/>
      <c r="I379" s="629"/>
      <c r="J379" s="629"/>
      <c r="K379" s="629"/>
      <c r="L379" s="629"/>
      <c r="M379" s="629"/>
      <c r="N379" s="862"/>
      <c r="O379" s="629"/>
      <c r="P379" s="629"/>
      <c r="Q379" s="629"/>
      <c r="R379" s="629"/>
      <c r="S379" s="629"/>
      <c r="T379" s="629"/>
      <c r="U379" s="629"/>
      <c r="V379" s="629"/>
      <c r="W379" s="629"/>
      <c r="X379" s="629"/>
      <c r="Y379" s="629"/>
      <c r="Z379" s="629"/>
      <c r="AA379" s="629"/>
      <c r="AB379" s="630"/>
    </row>
    <row r="380" spans="1:47" ht="19.95" customHeight="1">
      <c r="A380" s="853"/>
      <c r="B380" s="1375" t="str">
        <f>AI380</f>
        <v xml:space="preserve">Love shifts your focus away from your prioritizing only your politicized needs to empathizing with their impacted needs. Once you encounter each other's specific needs, you draw much closer to resolving them. </v>
      </c>
      <c r="C380" s="1375"/>
      <c r="D380" s="1375"/>
      <c r="E380" s="1375"/>
      <c r="F380" s="1375"/>
      <c r="G380" s="1375"/>
      <c r="H380" s="1375"/>
      <c r="I380" s="1375"/>
      <c r="J380" s="1375"/>
      <c r="K380" s="1375"/>
      <c r="L380" s="1375"/>
      <c r="M380" s="1375"/>
      <c r="N380" s="862"/>
      <c r="O380" s="629"/>
      <c r="P380" s="629"/>
      <c r="Q380" s="629"/>
      <c r="R380" s="629"/>
      <c r="S380" s="629"/>
      <c r="T380" s="629"/>
      <c r="U380" s="629"/>
      <c r="V380" s="629"/>
      <c r="W380" s="629"/>
      <c r="X380" s="629"/>
      <c r="Y380" s="629"/>
      <c r="Z380" s="629"/>
      <c r="AA380" s="629"/>
      <c r="AB380" s="630"/>
      <c r="AI380" s="37" t="str">
        <f>IF(H$115="",AK381,CONCATENATE(AK380,AL380,AM380,AN380,AO380,AP380,AQ380,AR380))</f>
        <v xml:space="preserve">Love shifts your focus away from your prioritizing only your politicized needs to empathizing with their impacted needs. Once you encounter each other's specific needs, you draw much closer to resolving them. </v>
      </c>
      <c r="AK380" s="465" t="s">
        <v>2472</v>
      </c>
      <c r="AL380" s="2" t="str">
        <f>D1300</f>
        <v/>
      </c>
      <c r="AM380" s="465" t="s">
        <v>2452</v>
      </c>
      <c r="AN380" s="2" t="str">
        <f>AL380</f>
        <v/>
      </c>
      <c r="AO380" s="465" t="s">
        <v>2473</v>
      </c>
      <c r="AP380" s="2" t="str">
        <f>AN380</f>
        <v/>
      </c>
      <c r="AQ380" s="465" t="s">
        <v>2453</v>
      </c>
      <c r="AR380" s="465" t="s">
        <v>2541</v>
      </c>
    </row>
    <row r="381" spans="1:47" ht="19.95" customHeight="1">
      <c r="A381" s="853"/>
      <c r="B381" s="1375"/>
      <c r="C381" s="1375"/>
      <c r="D381" s="1375"/>
      <c r="E381" s="1375"/>
      <c r="F381" s="1375"/>
      <c r="G381" s="1375"/>
      <c r="H381" s="1375"/>
      <c r="I381" s="1375"/>
      <c r="J381" s="1375"/>
      <c r="K381" s="1375"/>
      <c r="L381" s="1375"/>
      <c r="M381" s="1375"/>
      <c r="N381" s="862"/>
      <c r="O381" s="629"/>
      <c r="P381" s="629"/>
      <c r="Q381" s="629"/>
      <c r="R381" s="629"/>
      <c r="S381" s="629"/>
      <c r="T381" s="629"/>
      <c r="U381" s="629"/>
      <c r="V381" s="629"/>
      <c r="W381" s="629"/>
      <c r="X381" s="629"/>
      <c r="Y381" s="629"/>
      <c r="Z381" s="629"/>
      <c r="AA381" s="629"/>
      <c r="AB381" s="630"/>
      <c r="AI381" s="37"/>
      <c r="AJ381" s="37"/>
      <c r="AK381" s="734" t="s">
        <v>2451</v>
      </c>
      <c r="AL381" s="37"/>
      <c r="AM381" s="37"/>
      <c r="AN381" s="37"/>
      <c r="AO381" s="37"/>
      <c r="AP381" s="37"/>
      <c r="AQ381" s="37"/>
      <c r="AR381" s="897" t="s">
        <v>2474</v>
      </c>
      <c r="AS381" s="37"/>
      <c r="AT381" s="37"/>
      <c r="AU381" s="37"/>
    </row>
    <row r="382" spans="1:47" ht="19.95" customHeight="1">
      <c r="A382" s="853"/>
      <c r="B382" s="1375"/>
      <c r="C382" s="1375"/>
      <c r="D382" s="1375"/>
      <c r="E382" s="1375"/>
      <c r="F382" s="1375"/>
      <c r="G382" s="1375"/>
      <c r="H382" s="1375"/>
      <c r="I382" s="1375"/>
      <c r="J382" s="1375"/>
      <c r="K382" s="1375"/>
      <c r="L382" s="1375"/>
      <c r="M382" s="1375"/>
      <c r="N382" s="862"/>
      <c r="O382" s="629"/>
      <c r="P382" s="629"/>
      <c r="Q382" s="629"/>
      <c r="R382" s="629"/>
      <c r="S382" s="629"/>
      <c r="T382" s="629"/>
      <c r="U382" s="629"/>
      <c r="V382" s="629"/>
      <c r="W382" s="629"/>
      <c r="X382" s="629"/>
      <c r="Y382" s="629"/>
      <c r="Z382" s="629"/>
      <c r="AA382" s="629"/>
      <c r="AB382" s="630"/>
      <c r="AI382" s="37"/>
    </row>
    <row r="383" spans="1:47" ht="19.95" customHeight="1">
      <c r="A383" s="853"/>
      <c r="B383" s="1375"/>
      <c r="C383" s="1375"/>
      <c r="D383" s="1375"/>
      <c r="E383" s="1375"/>
      <c r="F383" s="1375"/>
      <c r="G383" s="1375"/>
      <c r="H383" s="1375"/>
      <c r="I383" s="1375"/>
      <c r="J383" s="1375"/>
      <c r="K383" s="1375"/>
      <c r="L383" s="1375"/>
      <c r="M383" s="1375"/>
      <c r="N383" s="862"/>
      <c r="O383" s="629"/>
      <c r="P383" s="629"/>
      <c r="Q383" s="629"/>
      <c r="R383" s="629"/>
      <c r="S383" s="629"/>
      <c r="T383" s="629"/>
      <c r="U383" s="629"/>
      <c r="V383" s="629"/>
      <c r="W383" s="629"/>
      <c r="X383" s="629"/>
      <c r="Y383" s="629"/>
      <c r="Z383" s="629"/>
      <c r="AA383" s="629"/>
      <c r="AB383" s="630"/>
      <c r="AI383" s="37"/>
    </row>
    <row r="384" spans="1:47" ht="19.95" customHeight="1">
      <c r="A384" s="853"/>
      <c r="B384" s="1375"/>
      <c r="C384" s="1375"/>
      <c r="D384" s="1375"/>
      <c r="E384" s="1375"/>
      <c r="F384" s="1375"/>
      <c r="G384" s="1375"/>
      <c r="H384" s="1375"/>
      <c r="I384" s="1375"/>
      <c r="J384" s="1375"/>
      <c r="K384" s="1375"/>
      <c r="L384" s="1375"/>
      <c r="M384" s="1375"/>
      <c r="N384" s="862"/>
      <c r="O384" s="629"/>
      <c r="P384" s="629"/>
      <c r="Q384" s="629"/>
      <c r="R384" s="629"/>
      <c r="S384" s="629"/>
      <c r="T384" s="629"/>
      <c r="U384" s="629"/>
      <c r="V384" s="629"/>
      <c r="W384" s="629"/>
      <c r="X384" s="629"/>
      <c r="Y384" s="629"/>
      <c r="Z384" s="629"/>
      <c r="AA384" s="629"/>
      <c r="AB384" s="630"/>
    </row>
    <row r="385" spans="1:39" ht="30" customHeight="1">
      <c r="A385" s="854" t="s">
        <v>1148</v>
      </c>
      <c r="B385" s="884" t="s">
        <v>2540</v>
      </c>
      <c r="C385" s="884"/>
      <c r="D385" s="884"/>
      <c r="E385" s="884"/>
      <c r="F385" s="884"/>
      <c r="G385" s="884"/>
      <c r="H385" s="884"/>
      <c r="I385" s="884"/>
      <c r="J385" s="884"/>
      <c r="K385" s="884"/>
      <c r="L385" s="884"/>
      <c r="M385" s="884"/>
      <c r="N385" s="865" t="s">
        <v>1149</v>
      </c>
      <c r="O385" s="860"/>
      <c r="P385" s="647"/>
      <c r="Q385" s="647"/>
      <c r="R385" s="647"/>
      <c r="S385" s="647"/>
      <c r="T385" s="647"/>
      <c r="U385" s="647"/>
      <c r="V385" s="647"/>
      <c r="W385" s="647"/>
      <c r="X385" s="647"/>
      <c r="Y385" s="647"/>
      <c r="Z385" s="647"/>
      <c r="AA385" s="647"/>
      <c r="AB385" s="650" t="s">
        <v>1149</v>
      </c>
      <c r="AE385" s="651"/>
      <c r="AI385" s="37" t="str">
        <f>CONCATENATE(AK385,AL385,AM385)</f>
        <v/>
      </c>
      <c r="AK385" s="465"/>
      <c r="AL385" s="2" t="str">
        <f>IF($H$115="","",CONCATENATE(D$1300," "))</f>
        <v/>
      </c>
      <c r="AM385" s="465"/>
    </row>
    <row r="386" spans="1:39" ht="10.050000000000001" customHeight="1">
      <c r="A386" s="853"/>
      <c r="B386" s="629"/>
      <c r="C386" s="629"/>
      <c r="D386" s="629"/>
      <c r="E386" s="629"/>
      <c r="F386" s="629"/>
      <c r="G386" s="629"/>
      <c r="H386" s="629"/>
      <c r="I386" s="629"/>
      <c r="J386" s="629"/>
      <c r="K386" s="629"/>
      <c r="L386" s="629"/>
      <c r="M386" s="629"/>
      <c r="N386" s="862"/>
      <c r="O386" s="629"/>
      <c r="P386" s="629"/>
      <c r="Q386" s="629"/>
      <c r="R386" s="629"/>
      <c r="S386" s="629"/>
      <c r="T386" s="629"/>
      <c r="U386" s="629"/>
      <c r="V386" s="629"/>
      <c r="W386" s="629"/>
      <c r="X386" s="629"/>
      <c r="Y386" s="629"/>
      <c r="Z386" s="629"/>
      <c r="AA386" s="629"/>
      <c r="AB386" s="630"/>
    </row>
    <row r="387" spans="1:39" ht="19.95" customHeight="1">
      <c r="A387" s="853"/>
      <c r="B387" s="707" t="s">
        <v>2539</v>
      </c>
      <c r="C387" s="631"/>
      <c r="D387" s="631"/>
      <c r="E387" s="631"/>
      <c r="F387" s="631"/>
      <c r="G387" s="631"/>
      <c r="H387" s="631"/>
      <c r="I387" s="631"/>
      <c r="J387" s="631"/>
      <c r="K387" s="631"/>
      <c r="L387" s="631"/>
      <c r="M387" s="631"/>
      <c r="N387" s="862"/>
      <c r="O387" s="629"/>
      <c r="P387" s="629"/>
      <c r="Q387" s="629"/>
      <c r="R387" s="629"/>
      <c r="S387" s="629"/>
      <c r="T387" s="629"/>
      <c r="U387" s="629"/>
      <c r="V387" s="629"/>
      <c r="W387" s="629"/>
      <c r="X387" s="629"/>
      <c r="Y387" s="629"/>
      <c r="Z387" s="629"/>
      <c r="AA387" s="629"/>
      <c r="AB387" s="630"/>
    </row>
    <row r="388" spans="1:39" ht="4.95" customHeight="1">
      <c r="A388" s="853"/>
      <c r="B388" s="631"/>
      <c r="C388" s="631"/>
      <c r="D388" s="631"/>
      <c r="E388" s="631"/>
      <c r="F388" s="631"/>
      <c r="G388" s="631"/>
      <c r="H388" s="631"/>
      <c r="I388" s="631"/>
      <c r="J388" s="631"/>
      <c r="K388" s="631"/>
      <c r="L388" s="631"/>
      <c r="M388" s="631"/>
      <c r="N388" s="862"/>
      <c r="O388" s="629"/>
      <c r="P388" s="629"/>
      <c r="Q388" s="629"/>
      <c r="R388" s="629"/>
      <c r="S388" s="629"/>
      <c r="T388" s="629"/>
      <c r="U388" s="629"/>
      <c r="V388" s="629"/>
      <c r="W388" s="629"/>
      <c r="X388" s="629"/>
      <c r="Y388" s="629"/>
      <c r="Z388" s="629"/>
      <c r="AA388" s="629"/>
      <c r="AB388" s="630"/>
    </row>
    <row r="389" spans="1:39" ht="19.95" customHeight="1">
      <c r="A389" s="853"/>
      <c r="B389" s="632"/>
      <c r="C389" s="631"/>
      <c r="D389" s="631"/>
      <c r="E389" s="631"/>
      <c r="F389" s="631"/>
      <c r="G389" s="631"/>
      <c r="H389" s="631"/>
      <c r="I389" s="631"/>
      <c r="J389" s="631"/>
      <c r="K389" s="631"/>
      <c r="L389" s="631"/>
      <c r="M389" s="631"/>
      <c r="N389" s="862"/>
      <c r="O389" s="629"/>
      <c r="P389" s="629"/>
      <c r="Q389" s="629"/>
      <c r="R389" s="629"/>
      <c r="S389" s="629"/>
      <c r="T389" s="629"/>
      <c r="U389" s="629"/>
      <c r="V389" s="629"/>
      <c r="W389" s="629"/>
      <c r="X389" s="629"/>
      <c r="Y389" s="629"/>
      <c r="Z389" s="629"/>
      <c r="AA389" s="629"/>
      <c r="AB389" s="630"/>
    </row>
    <row r="390" spans="1:39" ht="19.95" customHeight="1">
      <c r="A390" s="853"/>
      <c r="B390" s="1454"/>
      <c r="C390" s="1454"/>
      <c r="D390" s="1454"/>
      <c r="E390" s="1454"/>
      <c r="F390" s="1454"/>
      <c r="G390" s="1454"/>
      <c r="H390" s="1454"/>
      <c r="I390" s="1454"/>
      <c r="J390" s="1454"/>
      <c r="K390" s="1454"/>
      <c r="L390" s="1454"/>
      <c r="M390" s="1454"/>
      <c r="N390" s="862"/>
      <c r="O390" s="629"/>
      <c r="P390" s="629"/>
      <c r="Q390" s="629"/>
      <c r="R390" s="629"/>
      <c r="S390" s="629"/>
      <c r="T390" s="629"/>
      <c r="U390" s="629"/>
      <c r="V390" s="629"/>
      <c r="W390" s="629"/>
      <c r="X390" s="629"/>
      <c r="Y390" s="629"/>
      <c r="Z390" s="629"/>
      <c r="AA390" s="629"/>
      <c r="AB390" s="630"/>
    </row>
    <row r="391" spans="1:39" ht="19.95" customHeight="1">
      <c r="A391" s="853"/>
      <c r="B391" s="1454"/>
      <c r="C391" s="1454"/>
      <c r="D391" s="1454"/>
      <c r="E391" s="1454"/>
      <c r="F391" s="1454"/>
      <c r="G391" s="1454"/>
      <c r="H391" s="1454"/>
      <c r="I391" s="1454"/>
      <c r="J391" s="1454"/>
      <c r="K391" s="1454"/>
      <c r="L391" s="1454"/>
      <c r="M391" s="1454"/>
      <c r="N391" s="862"/>
      <c r="O391" s="629"/>
      <c r="P391" s="629"/>
      <c r="Q391" s="629"/>
      <c r="R391" s="629"/>
      <c r="S391" s="629"/>
      <c r="T391" s="629"/>
      <c r="U391" s="629"/>
      <c r="V391" s="629"/>
      <c r="W391" s="629"/>
      <c r="X391" s="629"/>
      <c r="Y391" s="629"/>
      <c r="Z391" s="629"/>
      <c r="AA391" s="629"/>
      <c r="AB391" s="630"/>
    </row>
    <row r="392" spans="1:39" ht="19.95" customHeight="1">
      <c r="A392" s="853"/>
      <c r="B392" s="1454"/>
      <c r="C392" s="1454"/>
      <c r="D392" s="1454"/>
      <c r="E392" s="1454"/>
      <c r="F392" s="1454"/>
      <c r="G392" s="1454"/>
      <c r="H392" s="1454"/>
      <c r="I392" s="1454"/>
      <c r="J392" s="1454"/>
      <c r="K392" s="1454"/>
      <c r="L392" s="1454"/>
      <c r="M392" s="1454"/>
      <c r="N392" s="862"/>
      <c r="O392" s="629"/>
      <c r="P392" s="629"/>
      <c r="Q392" s="629"/>
      <c r="R392" s="629"/>
      <c r="S392" s="629"/>
      <c r="T392" s="629"/>
      <c r="U392" s="629"/>
      <c r="V392" s="629"/>
      <c r="W392" s="629"/>
      <c r="X392" s="629"/>
      <c r="Y392" s="629"/>
      <c r="Z392" s="629"/>
      <c r="AA392" s="629"/>
      <c r="AB392" s="630"/>
    </row>
    <row r="393" spans="1:39" ht="19.95" customHeight="1">
      <c r="A393" s="853"/>
      <c r="B393" s="1454"/>
      <c r="C393" s="1454"/>
      <c r="D393" s="1454"/>
      <c r="E393" s="1454"/>
      <c r="F393" s="1454"/>
      <c r="G393" s="1454"/>
      <c r="H393" s="1454"/>
      <c r="I393" s="1454"/>
      <c r="J393" s="1454"/>
      <c r="K393" s="1454"/>
      <c r="L393" s="1454"/>
      <c r="M393" s="1454"/>
      <c r="N393" s="862"/>
      <c r="O393" s="629"/>
      <c r="P393" s="629"/>
      <c r="Q393" s="629"/>
      <c r="R393" s="629"/>
      <c r="S393" s="629"/>
      <c r="T393" s="629"/>
      <c r="U393" s="629"/>
      <c r="V393" s="629"/>
      <c r="W393" s="629"/>
      <c r="X393" s="629"/>
      <c r="Y393" s="629"/>
      <c r="Z393" s="629"/>
      <c r="AA393" s="629"/>
      <c r="AB393" s="630"/>
    </row>
    <row r="394" spans="1:39" ht="19.95" customHeight="1">
      <c r="A394" s="853"/>
      <c r="B394" s="1454"/>
      <c r="C394" s="1454"/>
      <c r="D394" s="1454"/>
      <c r="E394" s="1454"/>
      <c r="F394" s="1454"/>
      <c r="G394" s="1454"/>
      <c r="H394" s="1454"/>
      <c r="I394" s="1454"/>
      <c r="J394" s="1454"/>
      <c r="K394" s="1454"/>
      <c r="L394" s="1454"/>
      <c r="M394" s="1454"/>
      <c r="N394" s="862"/>
      <c r="O394" s="629"/>
      <c r="P394" s="629"/>
      <c r="Q394" s="629"/>
      <c r="R394" s="629"/>
      <c r="S394" s="629"/>
      <c r="T394" s="629"/>
      <c r="U394" s="629"/>
      <c r="V394" s="629"/>
      <c r="W394" s="629"/>
      <c r="X394" s="629"/>
      <c r="Y394" s="629"/>
      <c r="Z394" s="629"/>
      <c r="AA394" s="629"/>
      <c r="AB394" s="630"/>
    </row>
    <row r="395" spans="1:39" ht="19.95" customHeight="1">
      <c r="A395" s="853"/>
      <c r="B395" s="1454"/>
      <c r="C395" s="1454"/>
      <c r="D395" s="1454"/>
      <c r="E395" s="1454"/>
      <c r="F395" s="1454"/>
      <c r="G395" s="1454"/>
      <c r="H395" s="1454"/>
      <c r="I395" s="1454"/>
      <c r="J395" s="1454"/>
      <c r="K395" s="1454"/>
      <c r="L395" s="1454"/>
      <c r="M395" s="1454"/>
      <c r="N395" s="862"/>
      <c r="O395" s="629"/>
      <c r="P395" s="629"/>
      <c r="Q395" s="629"/>
      <c r="R395" s="629"/>
      <c r="S395" s="629"/>
      <c r="T395" s="629"/>
      <c r="U395" s="629"/>
      <c r="V395" s="629"/>
      <c r="W395" s="629"/>
      <c r="X395" s="629"/>
      <c r="Y395" s="629"/>
      <c r="Z395" s="629"/>
      <c r="AA395" s="629"/>
      <c r="AB395" s="630"/>
    </row>
    <row r="396" spans="1:39" ht="4.95" customHeight="1">
      <c r="A396" s="853"/>
      <c r="B396" s="629"/>
      <c r="C396" s="629"/>
      <c r="D396" s="629"/>
      <c r="E396" s="629"/>
      <c r="F396" s="629"/>
      <c r="G396" s="629"/>
      <c r="H396" s="629"/>
      <c r="I396" s="629"/>
      <c r="J396" s="629"/>
      <c r="K396" s="629"/>
      <c r="L396" s="629"/>
      <c r="M396" s="629"/>
      <c r="N396" s="862"/>
      <c r="O396" s="629"/>
      <c r="P396" s="629"/>
      <c r="Q396" s="629"/>
      <c r="R396" s="629"/>
      <c r="S396" s="629"/>
      <c r="T396" s="629"/>
      <c r="U396" s="629"/>
      <c r="V396" s="629"/>
      <c r="W396" s="629"/>
      <c r="X396" s="629"/>
      <c r="Y396" s="629"/>
      <c r="Z396" s="629"/>
      <c r="AA396" s="629"/>
      <c r="AB396" s="630"/>
    </row>
    <row r="397" spans="1:39" ht="19.95" customHeight="1">
      <c r="A397" s="853"/>
      <c r="B397" s="632"/>
      <c r="C397" s="629"/>
      <c r="D397" s="629"/>
      <c r="E397" s="629"/>
      <c r="F397" s="629"/>
      <c r="G397" s="629"/>
      <c r="H397" s="629"/>
      <c r="I397" s="629"/>
      <c r="J397" s="629"/>
      <c r="K397" s="629"/>
      <c r="L397" s="629"/>
      <c r="M397" s="629"/>
      <c r="N397" s="862"/>
      <c r="O397" s="629"/>
      <c r="P397" s="629"/>
      <c r="Q397" s="629"/>
      <c r="R397" s="629"/>
      <c r="S397" s="629"/>
      <c r="T397" s="629"/>
      <c r="U397" s="629"/>
      <c r="V397" s="629"/>
      <c r="W397" s="629"/>
      <c r="X397" s="629"/>
      <c r="Y397" s="629"/>
      <c r="Z397" s="629"/>
      <c r="AA397" s="629"/>
      <c r="AB397" s="630"/>
    </row>
    <row r="398" spans="1:39" ht="19.95" customHeight="1">
      <c r="A398" s="853"/>
      <c r="B398" s="1454"/>
      <c r="C398" s="1454"/>
      <c r="D398" s="1454"/>
      <c r="E398" s="1454"/>
      <c r="F398" s="1454"/>
      <c r="G398" s="1454"/>
      <c r="H398" s="1454"/>
      <c r="I398" s="1454"/>
      <c r="J398" s="1454"/>
      <c r="K398" s="1454"/>
      <c r="L398" s="1454"/>
      <c r="M398" s="1454"/>
      <c r="N398" s="862"/>
      <c r="O398" s="629"/>
      <c r="P398" s="629"/>
      <c r="Q398" s="629"/>
      <c r="R398" s="629"/>
      <c r="S398" s="629"/>
      <c r="T398" s="629"/>
      <c r="U398" s="629"/>
      <c r="V398" s="629"/>
      <c r="W398" s="629"/>
      <c r="X398" s="629"/>
      <c r="Y398" s="629"/>
      <c r="Z398" s="629"/>
      <c r="AA398" s="629"/>
      <c r="AB398" s="630"/>
    </row>
    <row r="399" spans="1:39" ht="19.95" customHeight="1">
      <c r="A399" s="853"/>
      <c r="B399" s="1454"/>
      <c r="C399" s="1454"/>
      <c r="D399" s="1454"/>
      <c r="E399" s="1454"/>
      <c r="F399" s="1454"/>
      <c r="G399" s="1454"/>
      <c r="H399" s="1454"/>
      <c r="I399" s="1454"/>
      <c r="J399" s="1454"/>
      <c r="K399" s="1454"/>
      <c r="L399" s="1454"/>
      <c r="M399" s="1454"/>
      <c r="N399" s="862"/>
      <c r="O399" s="629"/>
      <c r="P399" s="629"/>
      <c r="Q399" s="629"/>
      <c r="R399" s="629"/>
      <c r="S399" s="629"/>
      <c r="T399" s="629"/>
      <c r="U399" s="629"/>
      <c r="V399" s="629"/>
      <c r="W399" s="629"/>
      <c r="X399" s="629"/>
      <c r="Y399" s="629"/>
      <c r="Z399" s="629"/>
      <c r="AA399" s="629"/>
      <c r="AB399" s="630"/>
    </row>
    <row r="400" spans="1:39" ht="19.95" customHeight="1">
      <c r="A400" s="853"/>
      <c r="B400" s="1454"/>
      <c r="C400" s="1454"/>
      <c r="D400" s="1454"/>
      <c r="E400" s="1454"/>
      <c r="F400" s="1454"/>
      <c r="G400" s="1454"/>
      <c r="H400" s="1454"/>
      <c r="I400" s="1454"/>
      <c r="J400" s="1454"/>
      <c r="K400" s="1454"/>
      <c r="L400" s="1454"/>
      <c r="M400" s="1454"/>
      <c r="N400" s="862"/>
      <c r="O400" s="629"/>
      <c r="P400" s="629"/>
      <c r="Q400" s="629"/>
      <c r="R400" s="629"/>
      <c r="S400" s="629"/>
      <c r="T400" s="629"/>
      <c r="U400" s="629"/>
      <c r="V400" s="629"/>
      <c r="W400" s="629"/>
      <c r="X400" s="629"/>
      <c r="Y400" s="629"/>
      <c r="Z400" s="629"/>
      <c r="AA400" s="629"/>
      <c r="AB400" s="630"/>
    </row>
    <row r="401" spans="1:28" ht="19.95" customHeight="1">
      <c r="A401" s="853"/>
      <c r="B401" s="1454"/>
      <c r="C401" s="1454"/>
      <c r="D401" s="1454"/>
      <c r="E401" s="1454"/>
      <c r="F401" s="1454"/>
      <c r="G401" s="1454"/>
      <c r="H401" s="1454"/>
      <c r="I401" s="1454"/>
      <c r="J401" s="1454"/>
      <c r="K401" s="1454"/>
      <c r="L401" s="1454"/>
      <c r="M401" s="1454"/>
      <c r="N401" s="862"/>
      <c r="O401" s="629"/>
      <c r="P401" s="629"/>
      <c r="Q401" s="629"/>
      <c r="R401" s="629"/>
      <c r="S401" s="629"/>
      <c r="T401" s="629"/>
      <c r="U401" s="629"/>
      <c r="V401" s="629"/>
      <c r="W401" s="629"/>
      <c r="X401" s="629"/>
      <c r="Y401" s="629"/>
      <c r="Z401" s="629"/>
      <c r="AA401" s="629"/>
      <c r="AB401" s="630"/>
    </row>
    <row r="402" spans="1:28" ht="19.95" customHeight="1">
      <c r="A402" s="853"/>
      <c r="B402" s="1454"/>
      <c r="C402" s="1454"/>
      <c r="D402" s="1454"/>
      <c r="E402" s="1454"/>
      <c r="F402" s="1454"/>
      <c r="G402" s="1454"/>
      <c r="H402" s="1454"/>
      <c r="I402" s="1454"/>
      <c r="J402" s="1454"/>
      <c r="K402" s="1454"/>
      <c r="L402" s="1454"/>
      <c r="M402" s="1454"/>
      <c r="N402" s="862"/>
      <c r="O402" s="629"/>
      <c r="P402" s="629"/>
      <c r="Q402" s="629"/>
      <c r="R402" s="629"/>
      <c r="S402" s="629"/>
      <c r="T402" s="629"/>
      <c r="U402" s="629"/>
      <c r="V402" s="629"/>
      <c r="W402" s="629"/>
      <c r="X402" s="629"/>
      <c r="Y402" s="629"/>
      <c r="Z402" s="629"/>
      <c r="AA402" s="629"/>
      <c r="AB402" s="630"/>
    </row>
    <row r="403" spans="1:28" ht="19.95" customHeight="1">
      <c r="A403" s="853"/>
      <c r="B403" s="1454"/>
      <c r="C403" s="1454"/>
      <c r="D403" s="1454"/>
      <c r="E403" s="1454"/>
      <c r="F403" s="1454"/>
      <c r="G403" s="1454"/>
      <c r="H403" s="1454"/>
      <c r="I403" s="1454"/>
      <c r="J403" s="1454"/>
      <c r="K403" s="1454"/>
      <c r="L403" s="1454"/>
      <c r="M403" s="1454"/>
      <c r="N403" s="862"/>
      <c r="O403" s="629"/>
      <c r="P403" s="629"/>
      <c r="Q403" s="629"/>
      <c r="R403" s="629"/>
      <c r="S403" s="629"/>
      <c r="T403" s="629"/>
      <c r="U403" s="629"/>
      <c r="V403" s="629"/>
      <c r="W403" s="629"/>
      <c r="X403" s="629"/>
      <c r="Y403" s="629"/>
      <c r="Z403" s="629"/>
      <c r="AA403" s="629"/>
      <c r="AB403" s="630"/>
    </row>
    <row r="404" spans="1:28" ht="4.95" customHeight="1">
      <c r="A404" s="853"/>
      <c r="B404" s="629"/>
      <c r="C404" s="629"/>
      <c r="D404" s="629"/>
      <c r="E404" s="629"/>
      <c r="F404" s="629"/>
      <c r="G404" s="629"/>
      <c r="H404" s="629"/>
      <c r="I404" s="629"/>
      <c r="J404" s="629"/>
      <c r="K404" s="629"/>
      <c r="L404" s="629"/>
      <c r="M404" s="629"/>
      <c r="N404" s="862"/>
      <c r="O404" s="629"/>
      <c r="P404" s="629"/>
      <c r="Q404" s="629"/>
      <c r="R404" s="629"/>
      <c r="S404" s="629"/>
      <c r="T404" s="629"/>
      <c r="U404" s="629"/>
      <c r="V404" s="629"/>
      <c r="W404" s="629"/>
      <c r="X404" s="629"/>
      <c r="Y404" s="629"/>
      <c r="Z404" s="629"/>
      <c r="AA404" s="629"/>
      <c r="AB404" s="630"/>
    </row>
    <row r="405" spans="1:28" ht="19.95" customHeight="1">
      <c r="A405" s="853"/>
      <c r="B405" s="632"/>
      <c r="C405" s="629"/>
      <c r="D405" s="629"/>
      <c r="E405" s="629"/>
      <c r="F405" s="629"/>
      <c r="G405" s="629"/>
      <c r="H405" s="629"/>
      <c r="I405" s="629"/>
      <c r="J405" s="629"/>
      <c r="K405" s="629"/>
      <c r="L405" s="629"/>
      <c r="M405" s="629"/>
      <c r="N405" s="862"/>
      <c r="O405" s="629"/>
      <c r="P405" s="629"/>
      <c r="Q405" s="629"/>
      <c r="R405" s="629"/>
      <c r="S405" s="629"/>
      <c r="T405" s="629"/>
      <c r="U405" s="629"/>
      <c r="V405" s="629"/>
      <c r="W405" s="629"/>
      <c r="X405" s="629"/>
      <c r="Y405" s="629"/>
      <c r="Z405" s="629"/>
      <c r="AA405" s="629"/>
      <c r="AB405" s="630"/>
    </row>
    <row r="406" spans="1:28" ht="19.95" customHeight="1">
      <c r="A406" s="853"/>
      <c r="B406" s="631"/>
      <c r="C406" s="631"/>
      <c r="D406" s="631"/>
      <c r="E406" s="631"/>
      <c r="F406" s="631"/>
      <c r="G406" s="631"/>
      <c r="H406" s="631"/>
      <c r="I406" s="631"/>
      <c r="J406" s="631"/>
      <c r="K406" s="631"/>
      <c r="L406" s="631"/>
      <c r="M406" s="631"/>
      <c r="N406" s="862"/>
      <c r="O406" s="629"/>
      <c r="P406" s="629"/>
      <c r="Q406" s="629"/>
      <c r="R406" s="629"/>
      <c r="S406" s="629"/>
      <c r="T406" s="629"/>
      <c r="U406" s="629"/>
      <c r="V406" s="629"/>
      <c r="W406" s="629"/>
      <c r="X406" s="629"/>
      <c r="Y406" s="629"/>
      <c r="Z406" s="629"/>
      <c r="AA406" s="629"/>
      <c r="AB406" s="630"/>
    </row>
    <row r="407" spans="1:28" ht="19.95" customHeight="1">
      <c r="A407" s="853"/>
      <c r="B407" s="631"/>
      <c r="C407" s="631"/>
      <c r="D407" s="631"/>
      <c r="E407" s="631"/>
      <c r="F407" s="631"/>
      <c r="G407" s="631"/>
      <c r="H407" s="631"/>
      <c r="I407" s="631"/>
      <c r="J407" s="631"/>
      <c r="K407" s="631"/>
      <c r="L407" s="631"/>
      <c r="M407" s="631"/>
      <c r="N407" s="862"/>
      <c r="O407" s="629"/>
      <c r="P407" s="629"/>
      <c r="Q407" s="629"/>
      <c r="R407" s="629"/>
      <c r="S407" s="629"/>
      <c r="T407" s="629"/>
      <c r="U407" s="629"/>
      <c r="V407" s="629"/>
      <c r="W407" s="629"/>
      <c r="X407" s="629"/>
      <c r="Y407" s="629"/>
      <c r="Z407" s="629"/>
      <c r="AA407" s="629"/>
      <c r="AB407" s="630"/>
    </row>
    <row r="408" spans="1:28" ht="19.95" customHeight="1">
      <c r="A408" s="853"/>
      <c r="B408" s="631"/>
      <c r="C408" s="631"/>
      <c r="D408" s="631"/>
      <c r="E408" s="631"/>
      <c r="F408" s="631"/>
      <c r="G408" s="631"/>
      <c r="H408" s="631"/>
      <c r="I408" s="631"/>
      <c r="J408" s="631"/>
      <c r="K408" s="631"/>
      <c r="L408" s="631"/>
      <c r="M408" s="631"/>
      <c r="N408" s="862"/>
      <c r="O408" s="629"/>
      <c r="P408" s="629"/>
      <c r="Q408" s="629"/>
      <c r="R408" s="629"/>
      <c r="S408" s="629"/>
      <c r="T408" s="629"/>
      <c r="U408" s="629"/>
      <c r="V408" s="629"/>
      <c r="W408" s="629"/>
      <c r="X408" s="629"/>
      <c r="Y408" s="629"/>
      <c r="Z408" s="629"/>
      <c r="AA408" s="629"/>
      <c r="AB408" s="630"/>
    </row>
    <row r="409" spans="1:28" ht="19.95" customHeight="1">
      <c r="A409" s="853"/>
      <c r="B409" s="631"/>
      <c r="C409" s="631"/>
      <c r="D409" s="631"/>
      <c r="E409" s="631"/>
      <c r="F409" s="631"/>
      <c r="G409" s="631"/>
      <c r="H409" s="631"/>
      <c r="I409" s="631"/>
      <c r="J409" s="631"/>
      <c r="K409" s="631"/>
      <c r="L409" s="631"/>
      <c r="M409" s="631"/>
      <c r="N409" s="862"/>
      <c r="O409" s="629"/>
      <c r="P409" s="629"/>
      <c r="Q409" s="629"/>
      <c r="R409" s="629"/>
      <c r="S409" s="629"/>
      <c r="T409" s="629"/>
      <c r="U409" s="629"/>
      <c r="V409" s="629"/>
      <c r="W409" s="629"/>
      <c r="X409" s="629"/>
      <c r="Y409" s="629"/>
      <c r="Z409" s="629"/>
      <c r="AA409" s="629"/>
      <c r="AB409" s="630"/>
    </row>
    <row r="410" spans="1:28" ht="25.05" customHeight="1">
      <c r="A410" s="853"/>
      <c r="B410" s="631"/>
      <c r="C410" s="631"/>
      <c r="D410" s="631"/>
      <c r="E410" s="631"/>
      <c r="F410" s="631"/>
      <c r="G410" s="631"/>
      <c r="H410" s="631"/>
      <c r="I410" s="631"/>
      <c r="J410" s="631"/>
      <c r="K410" s="631"/>
      <c r="L410" s="631"/>
      <c r="M410" s="631"/>
      <c r="N410" s="862"/>
      <c r="O410" s="629"/>
      <c r="P410" s="629"/>
      <c r="Q410" s="629"/>
      <c r="R410" s="629"/>
      <c r="S410" s="629"/>
      <c r="T410" s="629"/>
      <c r="U410" s="629"/>
      <c r="V410" s="629"/>
      <c r="W410" s="629"/>
      <c r="X410" s="629"/>
      <c r="Y410" s="629"/>
      <c r="Z410" s="629"/>
      <c r="AA410" s="629"/>
      <c r="AB410" s="630"/>
    </row>
    <row r="411" spans="1:28" ht="4.95" customHeight="1">
      <c r="A411" s="853"/>
      <c r="B411" s="634"/>
      <c r="C411" s="634"/>
      <c r="D411" s="634"/>
      <c r="E411" s="634"/>
      <c r="F411" s="634"/>
      <c r="G411" s="634"/>
      <c r="H411" s="634"/>
      <c r="I411" s="634"/>
      <c r="J411" s="634"/>
      <c r="K411" s="634"/>
      <c r="L411" s="634"/>
      <c r="M411" s="634"/>
      <c r="N411" s="862"/>
      <c r="O411" s="629"/>
      <c r="P411" s="629"/>
      <c r="Q411" s="629"/>
      <c r="R411" s="629"/>
      <c r="S411" s="629"/>
      <c r="T411" s="629"/>
      <c r="U411" s="629"/>
      <c r="V411" s="629"/>
      <c r="W411" s="629"/>
      <c r="X411" s="629"/>
      <c r="Y411" s="629"/>
      <c r="Z411" s="629"/>
      <c r="AA411" s="629"/>
      <c r="AB411" s="630"/>
    </row>
    <row r="412" spans="1:28" ht="19.95" customHeight="1">
      <c r="A412" s="853"/>
      <c r="B412" s="679"/>
      <c r="C412" s="680"/>
      <c r="D412" s="1416" t="s">
        <v>1789</v>
      </c>
      <c r="E412" s="1416"/>
      <c r="F412" s="1416"/>
      <c r="G412" s="1417"/>
      <c r="H412" s="1420" t="s">
        <v>1788</v>
      </c>
      <c r="I412" s="1421"/>
      <c r="J412" s="1421"/>
      <c r="K412" s="1421"/>
      <c r="L412" s="683"/>
      <c r="M412" s="684"/>
      <c r="N412" s="862"/>
      <c r="O412" s="629"/>
      <c r="P412" s="629"/>
      <c r="Q412" s="629"/>
      <c r="R412" s="629"/>
      <c r="S412" s="629"/>
      <c r="T412" s="629"/>
      <c r="U412" s="629"/>
      <c r="V412" s="629"/>
      <c r="W412" s="629"/>
      <c r="X412" s="629"/>
      <c r="Y412" s="629"/>
      <c r="Z412" s="629"/>
      <c r="AA412" s="629"/>
      <c r="AB412" s="630"/>
    </row>
    <row r="413" spans="1:28" ht="19.95" customHeight="1">
      <c r="A413" s="853"/>
      <c r="B413" s="679"/>
      <c r="C413" s="680"/>
      <c r="D413" s="1416"/>
      <c r="E413" s="1416"/>
      <c r="F413" s="1416"/>
      <c r="G413" s="1417"/>
      <c r="H413" s="1420"/>
      <c r="I413" s="1421"/>
      <c r="J413" s="1421"/>
      <c r="K413" s="1421"/>
      <c r="L413" s="683"/>
      <c r="M413" s="684"/>
      <c r="N413" s="862"/>
      <c r="O413" s="629"/>
      <c r="P413" s="629"/>
      <c r="Q413" s="629"/>
      <c r="R413" s="629"/>
      <c r="S413" s="629"/>
      <c r="T413" s="629"/>
      <c r="U413" s="629"/>
      <c r="V413" s="629"/>
      <c r="W413" s="629"/>
      <c r="X413" s="629"/>
      <c r="Y413" s="629"/>
      <c r="Z413" s="629"/>
      <c r="AA413" s="629"/>
      <c r="AB413" s="630"/>
    </row>
    <row r="414" spans="1:28" ht="19.95" customHeight="1">
      <c r="A414" s="853"/>
      <c r="B414" s="679"/>
      <c r="C414" s="680"/>
      <c r="D414" s="1416"/>
      <c r="E414" s="1416"/>
      <c r="F414" s="1416"/>
      <c r="G414" s="1417"/>
      <c r="H414" s="1420"/>
      <c r="I414" s="1421"/>
      <c r="J414" s="1421"/>
      <c r="K414" s="1421"/>
      <c r="L414" s="683"/>
      <c r="M414" s="684"/>
      <c r="N414" s="862"/>
      <c r="O414" s="629"/>
      <c r="P414" s="629"/>
      <c r="Q414" s="629"/>
      <c r="R414" s="629"/>
      <c r="S414" s="629"/>
      <c r="T414" s="629"/>
      <c r="U414" s="629"/>
      <c r="V414" s="629"/>
      <c r="W414" s="629"/>
      <c r="X414" s="629"/>
      <c r="Y414" s="629"/>
      <c r="Z414" s="629"/>
      <c r="AA414" s="629"/>
      <c r="AB414" s="630"/>
    </row>
    <row r="415" spans="1:28" ht="19.95" customHeight="1">
      <c r="A415" s="853"/>
      <c r="B415" s="679"/>
      <c r="C415" s="680"/>
      <c r="D415" s="1416"/>
      <c r="E415" s="1416"/>
      <c r="F415" s="1416"/>
      <c r="G415" s="1417"/>
      <c r="H415" s="1420"/>
      <c r="I415" s="1421"/>
      <c r="J415" s="1421"/>
      <c r="K415" s="1421"/>
      <c r="L415" s="683"/>
      <c r="M415" s="684"/>
      <c r="N415" s="862"/>
      <c r="O415" s="629"/>
      <c r="P415" s="629"/>
      <c r="Q415" s="629"/>
      <c r="R415" s="629"/>
      <c r="S415" s="629"/>
      <c r="T415" s="629"/>
      <c r="U415" s="629"/>
      <c r="V415" s="629"/>
      <c r="W415" s="629"/>
      <c r="X415" s="629"/>
      <c r="Y415" s="629"/>
      <c r="Z415" s="629"/>
      <c r="AA415" s="629"/>
      <c r="AB415" s="630"/>
    </row>
    <row r="416" spans="1:28" ht="19.95" customHeight="1" thickBot="1">
      <c r="A416" s="853"/>
      <c r="B416" s="681"/>
      <c r="C416" s="682"/>
      <c r="D416" s="1418"/>
      <c r="E416" s="1418"/>
      <c r="F416" s="1418"/>
      <c r="G416" s="1419"/>
      <c r="H416" s="1422"/>
      <c r="I416" s="1423"/>
      <c r="J416" s="1423"/>
      <c r="K416" s="1423"/>
      <c r="L416" s="685"/>
      <c r="M416" s="686"/>
      <c r="N416" s="862"/>
      <c r="O416" s="629"/>
      <c r="P416" s="629"/>
      <c r="Q416" s="629"/>
      <c r="R416" s="629"/>
      <c r="S416" s="629"/>
      <c r="T416" s="629"/>
      <c r="U416" s="629"/>
      <c r="V416" s="629"/>
      <c r="W416" s="629"/>
      <c r="X416" s="629"/>
      <c r="Y416" s="629"/>
      <c r="Z416" s="629"/>
      <c r="AA416" s="629"/>
      <c r="AB416" s="630"/>
    </row>
    <row r="417" spans="1:43" ht="4.8" customHeight="1">
      <c r="A417" s="853"/>
      <c r="B417" s="633"/>
      <c r="C417" s="633"/>
      <c r="D417" s="641"/>
      <c r="E417" s="641"/>
      <c r="F417" s="641"/>
      <c r="G417" s="641"/>
      <c r="H417" s="642"/>
      <c r="I417" s="642"/>
      <c r="J417" s="642"/>
      <c r="K417" s="642"/>
      <c r="L417" s="633"/>
      <c r="M417" s="633"/>
      <c r="N417" s="862"/>
      <c r="O417" s="629"/>
      <c r="P417" s="629"/>
      <c r="Q417" s="629"/>
      <c r="R417" s="629"/>
      <c r="S417" s="629"/>
      <c r="T417" s="629"/>
      <c r="U417" s="629"/>
      <c r="V417" s="629"/>
      <c r="W417" s="629"/>
      <c r="X417" s="629"/>
      <c r="Y417" s="629"/>
      <c r="Z417" s="629"/>
      <c r="AA417" s="629"/>
      <c r="AB417" s="630"/>
    </row>
    <row r="418" spans="1:43" ht="19.05" customHeight="1">
      <c r="A418" s="853"/>
      <c r="B418" s="1428" t="s">
        <v>2471</v>
      </c>
      <c r="C418" s="1428"/>
      <c r="D418" s="1428"/>
      <c r="E418" s="1428"/>
      <c r="F418" s="1428"/>
      <c r="G418" s="1428"/>
      <c r="H418" s="1428"/>
      <c r="I418" s="1428"/>
      <c r="J418" s="1428"/>
      <c r="K418" s="1428"/>
      <c r="L418" s="1428"/>
      <c r="M418" s="1428"/>
      <c r="N418" s="862"/>
      <c r="O418" s="629"/>
      <c r="P418" s="629"/>
      <c r="Q418" s="629"/>
      <c r="R418" s="629"/>
      <c r="S418" s="629"/>
      <c r="T418" s="629"/>
      <c r="U418" s="629"/>
      <c r="V418" s="629"/>
      <c r="W418" s="629"/>
      <c r="X418" s="629"/>
      <c r="Y418" s="629"/>
      <c r="Z418" s="629"/>
      <c r="AA418" s="629"/>
      <c r="AB418" s="630"/>
    </row>
    <row r="419" spans="1:43" ht="19.05" customHeight="1">
      <c r="A419" s="853"/>
      <c r="B419" s="1428"/>
      <c r="C419" s="1428"/>
      <c r="D419" s="1428"/>
      <c r="E419" s="1428"/>
      <c r="F419" s="1428"/>
      <c r="G419" s="1428"/>
      <c r="H419" s="1428"/>
      <c r="I419" s="1428"/>
      <c r="J419" s="1428"/>
      <c r="K419" s="1428"/>
      <c r="L419" s="1428"/>
      <c r="M419" s="1428"/>
      <c r="N419" s="862"/>
      <c r="O419" s="629"/>
      <c r="P419" s="629"/>
      <c r="Q419" s="629"/>
      <c r="R419" s="629"/>
      <c r="S419" s="629"/>
      <c r="T419" s="629"/>
      <c r="U419" s="629"/>
      <c r="V419" s="629"/>
      <c r="W419" s="629"/>
      <c r="X419" s="629"/>
      <c r="Y419" s="629"/>
      <c r="Z419" s="629"/>
      <c r="AA419" s="629"/>
      <c r="AB419" s="630"/>
    </row>
    <row r="420" spans="1:43" ht="19.05" customHeight="1">
      <c r="A420" s="853"/>
      <c r="B420" s="1428"/>
      <c r="C420" s="1428"/>
      <c r="D420" s="1428"/>
      <c r="E420" s="1428"/>
      <c r="F420" s="1428"/>
      <c r="G420" s="1428"/>
      <c r="H420" s="1428"/>
      <c r="I420" s="1428"/>
      <c r="J420" s="1428"/>
      <c r="K420" s="1428"/>
      <c r="L420" s="1428"/>
      <c r="M420" s="1428"/>
      <c r="N420" s="862"/>
      <c r="O420" s="629"/>
      <c r="P420" s="629"/>
      <c r="Q420" s="629"/>
      <c r="R420" s="629"/>
      <c r="S420" s="629"/>
      <c r="T420" s="629"/>
      <c r="U420" s="629"/>
      <c r="V420" s="629"/>
      <c r="W420" s="629"/>
      <c r="X420" s="629"/>
      <c r="Y420" s="629"/>
      <c r="Z420" s="629"/>
      <c r="AA420" s="629"/>
      <c r="AB420" s="630"/>
    </row>
    <row r="421" spans="1:43" ht="4.95" customHeight="1">
      <c r="A421" s="857"/>
      <c r="B421" s="629"/>
      <c r="C421" s="629"/>
      <c r="D421" s="629"/>
      <c r="E421" s="629"/>
      <c r="F421" s="629"/>
      <c r="G421" s="629"/>
      <c r="H421" s="629"/>
      <c r="I421" s="629"/>
      <c r="J421" s="629"/>
      <c r="K421" s="629"/>
      <c r="L421" s="629"/>
      <c r="M421" s="629"/>
      <c r="N421" s="867"/>
      <c r="O421" s="629"/>
      <c r="P421" s="629"/>
      <c r="Q421" s="629"/>
      <c r="R421" s="629"/>
      <c r="S421" s="629"/>
      <c r="T421" s="629"/>
      <c r="U421" s="629"/>
      <c r="V421" s="629"/>
      <c r="W421" s="629"/>
      <c r="X421" s="629"/>
      <c r="Y421" s="629"/>
      <c r="Z421" s="629"/>
      <c r="AA421" s="629"/>
      <c r="AB421" s="630"/>
    </row>
    <row r="422" spans="1:43" ht="30" customHeight="1">
      <c r="A422" s="648" t="s">
        <v>1148</v>
      </c>
      <c r="B422" s="885" t="s">
        <v>3155</v>
      </c>
      <c r="C422" s="885"/>
      <c r="D422" s="885"/>
      <c r="E422" s="885"/>
      <c r="F422" s="885"/>
      <c r="G422" s="885"/>
      <c r="H422" s="885"/>
      <c r="I422" s="885"/>
      <c r="J422" s="885"/>
      <c r="K422" s="885"/>
      <c r="L422" s="885"/>
      <c r="M422" s="885"/>
      <c r="N422" s="649" t="s">
        <v>1149</v>
      </c>
      <c r="O422" s="648"/>
      <c r="P422" s="885"/>
      <c r="Q422" s="885"/>
      <c r="R422" s="885"/>
      <c r="S422" s="885"/>
      <c r="T422" s="885"/>
      <c r="U422" s="885"/>
      <c r="V422" s="885"/>
      <c r="W422" s="885"/>
      <c r="X422" s="885"/>
      <c r="Y422" s="885"/>
      <c r="Z422" s="885"/>
      <c r="AA422" s="885"/>
      <c r="AB422" s="649" t="s">
        <v>1149</v>
      </c>
    </row>
    <row r="423" spans="1:43" ht="10.050000000000001" customHeight="1">
      <c r="A423" s="199"/>
      <c r="B423" s="24"/>
      <c r="C423" s="24"/>
      <c r="D423" s="24"/>
      <c r="E423" s="24"/>
      <c r="F423" s="24"/>
      <c r="G423" s="24"/>
      <c r="H423" s="24"/>
      <c r="I423" s="24"/>
      <c r="J423" s="24"/>
      <c r="K423" s="24"/>
      <c r="L423" s="24"/>
      <c r="M423" s="24"/>
      <c r="N423" s="200"/>
      <c r="O423" s="199"/>
      <c r="P423" s="24"/>
      <c r="Q423" s="24"/>
      <c r="R423" s="24"/>
      <c r="S423" s="24"/>
      <c r="T423" s="24"/>
      <c r="U423" s="24"/>
      <c r="V423" s="24"/>
      <c r="W423" s="24"/>
      <c r="X423" s="24"/>
      <c r="Y423" s="24"/>
      <c r="Z423" s="24"/>
      <c r="AA423" s="24"/>
      <c r="AB423" s="200"/>
    </row>
    <row r="424" spans="1:43" ht="19.95" customHeight="1">
      <c r="A424" s="689" t="str">
        <f>AI424</f>
        <v>Now do something about it</v>
      </c>
      <c r="B424" s="588"/>
      <c r="C424" s="397"/>
      <c r="D424" s="397"/>
      <c r="E424" s="397"/>
      <c r="F424" s="397"/>
      <c r="G424" s="397"/>
      <c r="H424" s="397"/>
      <c r="I424" s="397"/>
      <c r="J424" s="397"/>
      <c r="K424" s="397"/>
      <c r="L424" s="397"/>
      <c r="M424" s="397"/>
      <c r="N424" s="200"/>
      <c r="O424" s="199"/>
      <c r="P424" s="588" t="s">
        <v>2061</v>
      </c>
      <c r="Q424" s="24"/>
      <c r="R424" s="24"/>
      <c r="S424" s="24"/>
      <c r="T424" s="24"/>
      <c r="U424" s="24"/>
      <c r="V424" s="24"/>
      <c r="W424" s="24"/>
      <c r="X424" s="24"/>
      <c r="Y424" s="24"/>
      <c r="Z424" s="24"/>
      <c r="AA424" s="24"/>
      <c r="AB424" s="200"/>
      <c r="AI424" s="2" t="str">
        <f>IF(H115="",AK424,AI426)</f>
        <v>Now do something about it</v>
      </c>
      <c r="AK424" s="2" t="s">
        <v>2546</v>
      </c>
    </row>
    <row r="425" spans="1:43" ht="4.95" customHeight="1">
      <c r="A425" s="199"/>
      <c r="B425" s="397"/>
      <c r="C425" s="397"/>
      <c r="D425" s="397"/>
      <c r="E425" s="397"/>
      <c r="F425" s="397"/>
      <c r="G425" s="397"/>
      <c r="H425" s="397"/>
      <c r="I425" s="397"/>
      <c r="J425" s="397"/>
      <c r="K425" s="397"/>
      <c r="L425" s="397"/>
      <c r="M425" s="397"/>
      <c r="N425" s="200"/>
      <c r="O425" s="199"/>
      <c r="P425" s="24"/>
      <c r="Q425" s="24"/>
      <c r="R425" s="24"/>
      <c r="S425" s="24"/>
      <c r="T425" s="24"/>
      <c r="U425" s="24"/>
      <c r="V425" s="24"/>
      <c r="W425" s="24"/>
      <c r="X425" s="24"/>
      <c r="Y425" s="24"/>
      <c r="Z425" s="24"/>
      <c r="AA425" s="24"/>
      <c r="AB425" s="200"/>
    </row>
    <row r="426" spans="1:43" ht="21" customHeight="1">
      <c r="A426" s="199"/>
      <c r="B426" s="690" t="s">
        <v>2549</v>
      </c>
      <c r="C426" s="601"/>
      <c r="D426" s="601"/>
      <c r="E426" s="601"/>
      <c r="F426" s="601"/>
      <c r="G426" s="601"/>
      <c r="H426" s="601"/>
      <c r="I426" s="601"/>
      <c r="J426" s="601"/>
      <c r="K426" s="601"/>
      <c r="L426" s="601"/>
      <c r="M426" s="601"/>
      <c r="N426" s="200"/>
      <c r="O426" s="199"/>
      <c r="P426" s="24"/>
      <c r="Q426" s="24"/>
      <c r="R426" s="24"/>
      <c r="S426" s="24"/>
      <c r="T426" s="24"/>
      <c r="U426" s="24"/>
      <c r="V426" s="24"/>
      <c r="W426" s="24"/>
      <c r="X426" s="24"/>
      <c r="Y426" s="24"/>
      <c r="Z426" s="24"/>
      <c r="AA426" s="24"/>
      <c r="AB426" s="200"/>
      <c r="AI426" s="459" t="str">
        <f>CONCATENATE(AK426,AL426,AM426,AN426,AO426,AP426,AQ426)</f>
        <v>Now do something about your  needs</v>
      </c>
      <c r="AK426" s="465" t="s">
        <v>2547</v>
      </c>
      <c r="AL426" s="2" t="str">
        <f>D1300</f>
        <v/>
      </c>
      <c r="AM426" s="466" t="s">
        <v>2466</v>
      </c>
      <c r="AO426" s="465"/>
      <c r="AQ426" s="465"/>
    </row>
    <row r="427" spans="1:43" ht="21" customHeight="1">
      <c r="A427" s="199"/>
      <c r="B427" s="601"/>
      <c r="C427" s="601"/>
      <c r="D427" s="601"/>
      <c r="E427" s="601"/>
      <c r="F427" s="601"/>
      <c r="G427" s="601"/>
      <c r="H427" s="601"/>
      <c r="I427" s="601"/>
      <c r="J427" s="601"/>
      <c r="K427" s="601"/>
      <c r="L427" s="601"/>
      <c r="M427" s="601"/>
      <c r="N427" s="200"/>
      <c r="O427" s="199"/>
      <c r="P427" s="24"/>
      <c r="Q427" s="24"/>
      <c r="R427" s="24"/>
      <c r="S427" s="24"/>
      <c r="T427" s="24"/>
      <c r="U427" s="24"/>
      <c r="V427" s="24"/>
      <c r="W427" s="24"/>
      <c r="X427" s="24"/>
      <c r="Y427" s="24"/>
      <c r="Z427" s="24"/>
      <c r="AA427" s="24"/>
      <c r="AB427" s="200"/>
    </row>
    <row r="428" spans="1:43" ht="21" customHeight="1">
      <c r="A428" s="199"/>
      <c r="B428" s="601"/>
      <c r="C428" s="601"/>
      <c r="D428" s="601"/>
      <c r="E428" s="601"/>
      <c r="F428" s="601"/>
      <c r="G428" s="601"/>
      <c r="H428" s="601"/>
      <c r="I428" s="601"/>
      <c r="J428" s="601"/>
      <c r="K428" s="601"/>
      <c r="L428" s="601"/>
      <c r="M428" s="601"/>
      <c r="N428" s="200"/>
      <c r="O428" s="199"/>
      <c r="P428" s="24"/>
      <c r="Q428" s="24"/>
      <c r="R428" s="24"/>
      <c r="S428" s="24"/>
      <c r="T428" s="24"/>
      <c r="U428" s="24"/>
      <c r="V428" s="24"/>
      <c r="W428" s="24"/>
      <c r="X428" s="24"/>
      <c r="Y428" s="24"/>
      <c r="Z428" s="24"/>
      <c r="AA428" s="24"/>
      <c r="AB428" s="200"/>
    </row>
    <row r="429" spans="1:43" ht="4.95" customHeight="1">
      <c r="A429" s="199"/>
      <c r="B429" s="601"/>
      <c r="C429" s="601"/>
      <c r="D429" s="601"/>
      <c r="E429" s="601"/>
      <c r="F429" s="601"/>
      <c r="G429" s="601"/>
      <c r="H429" s="601"/>
      <c r="I429" s="601"/>
      <c r="J429" s="601"/>
      <c r="K429" s="601"/>
      <c r="L429" s="601"/>
      <c r="M429" s="601"/>
      <c r="N429" s="200"/>
      <c r="O429" s="199"/>
      <c r="P429" s="24"/>
      <c r="Q429" s="24"/>
      <c r="R429" s="24"/>
      <c r="S429" s="24"/>
      <c r="T429" s="24"/>
      <c r="U429" s="24"/>
      <c r="V429" s="24"/>
      <c r="W429" s="24"/>
      <c r="X429" s="24"/>
      <c r="Y429" s="24"/>
      <c r="Z429" s="24"/>
      <c r="AA429" s="24"/>
      <c r="AB429" s="200"/>
    </row>
    <row r="430" spans="1:43" ht="19.95" customHeight="1">
      <c r="A430" s="199"/>
      <c r="B430" s="601"/>
      <c r="C430" s="601"/>
      <c r="D430" s="601"/>
      <c r="E430" s="601"/>
      <c r="F430" s="601"/>
      <c r="G430" s="601"/>
      <c r="H430" s="601"/>
      <c r="I430" s="601"/>
      <c r="J430" s="601"/>
      <c r="K430" s="601"/>
      <c r="L430" s="601"/>
      <c r="M430" s="601"/>
      <c r="N430" s="200"/>
      <c r="O430" s="199"/>
      <c r="P430" s="24"/>
      <c r="Q430" s="24"/>
      <c r="R430" s="24"/>
      <c r="S430" s="24"/>
      <c r="T430" s="24"/>
      <c r="U430" s="24"/>
      <c r="V430" s="24"/>
      <c r="W430" s="24"/>
      <c r="X430" s="24"/>
      <c r="Y430" s="24"/>
      <c r="Z430" s="24"/>
      <c r="AA430" s="24"/>
      <c r="AB430" s="200"/>
    </row>
    <row r="431" spans="1:43" ht="19.95" customHeight="1">
      <c r="A431" s="199"/>
      <c r="B431" s="601"/>
      <c r="C431" s="601"/>
      <c r="D431" s="601"/>
      <c r="E431" s="601"/>
      <c r="F431" s="601"/>
      <c r="G431" s="601"/>
      <c r="H431" s="601"/>
      <c r="I431" s="601"/>
      <c r="J431" s="601"/>
      <c r="K431" s="601"/>
      <c r="L431" s="601"/>
      <c r="M431" s="601"/>
      <c r="N431" s="200"/>
      <c r="O431" s="199"/>
      <c r="P431" s="24"/>
      <c r="Q431" s="24"/>
      <c r="R431" s="24"/>
      <c r="S431" s="24"/>
      <c r="T431" s="24"/>
      <c r="U431" s="24"/>
      <c r="V431" s="24"/>
      <c r="W431" s="24"/>
      <c r="X431" s="24"/>
      <c r="Y431" s="24"/>
      <c r="Z431" s="24"/>
      <c r="AA431" s="24"/>
      <c r="AB431" s="200"/>
    </row>
    <row r="432" spans="1:43" ht="19.95" customHeight="1">
      <c r="A432" s="199"/>
      <c r="B432" s="601"/>
      <c r="C432" s="601"/>
      <c r="D432" s="601"/>
      <c r="E432" s="601"/>
      <c r="F432" s="601"/>
      <c r="G432" s="601"/>
      <c r="H432" s="601"/>
      <c r="I432" s="601"/>
      <c r="J432" s="601"/>
      <c r="K432" s="601"/>
      <c r="L432" s="601"/>
      <c r="M432" s="601"/>
      <c r="N432" s="200"/>
      <c r="O432" s="199"/>
      <c r="P432" s="24"/>
      <c r="Q432" s="24"/>
      <c r="R432" s="24"/>
      <c r="S432" s="24"/>
      <c r="T432" s="24"/>
      <c r="U432" s="24"/>
      <c r="V432" s="24"/>
      <c r="W432" s="24"/>
      <c r="X432" s="24"/>
      <c r="Y432" s="24"/>
      <c r="Z432" s="24"/>
      <c r="AA432" s="24"/>
      <c r="AB432" s="200"/>
    </row>
    <row r="433" spans="1:82" ht="4.95" customHeight="1">
      <c r="A433" s="199"/>
      <c r="B433" s="601"/>
      <c r="C433" s="601"/>
      <c r="D433" s="601"/>
      <c r="E433" s="601"/>
      <c r="F433" s="601"/>
      <c r="G433" s="601"/>
      <c r="H433" s="601"/>
      <c r="I433" s="601"/>
      <c r="J433" s="601"/>
      <c r="K433" s="601"/>
      <c r="L433" s="601"/>
      <c r="M433" s="601"/>
      <c r="N433" s="200"/>
      <c r="O433" s="199"/>
      <c r="P433" s="24"/>
      <c r="Q433" s="24"/>
      <c r="R433" s="24"/>
      <c r="S433" s="24"/>
      <c r="T433" s="24"/>
      <c r="U433" s="24"/>
      <c r="V433" s="24"/>
      <c r="W433" s="24"/>
      <c r="X433" s="24"/>
      <c r="Y433" s="24"/>
      <c r="Z433" s="24"/>
      <c r="AA433" s="24"/>
      <c r="AB433" s="200"/>
    </row>
    <row r="434" spans="1:82" ht="21" customHeight="1">
      <c r="A434" s="199"/>
      <c r="B434" s="601"/>
      <c r="C434" s="601"/>
      <c r="D434" s="601"/>
      <c r="E434" s="601"/>
      <c r="F434" s="601"/>
      <c r="G434" s="601"/>
      <c r="H434" s="601"/>
      <c r="I434" s="601"/>
      <c r="J434" s="601"/>
      <c r="K434" s="601"/>
      <c r="L434" s="601"/>
      <c r="M434" s="601"/>
      <c r="N434" s="200"/>
      <c r="O434" s="199"/>
      <c r="P434" s="24"/>
      <c r="Q434" s="24"/>
      <c r="R434" s="24"/>
      <c r="S434" s="24"/>
      <c r="T434" s="24"/>
      <c r="U434" s="24"/>
      <c r="V434" s="24"/>
      <c r="W434" s="24"/>
      <c r="X434" s="24"/>
      <c r="Y434" s="24"/>
      <c r="Z434" s="24"/>
      <c r="AA434" s="24"/>
      <c r="AB434" s="200"/>
      <c r="AI434" s="459" t="str">
        <f>CONCATENATE(AK434,AL434,AM434,AN434,AO434,AP434,AQ434,AR434)</f>
        <v/>
      </c>
      <c r="AK434" s="465"/>
      <c r="AM434" s="465"/>
      <c r="AO434" s="465"/>
      <c r="AQ434" s="466"/>
    </row>
    <row r="435" spans="1:82" ht="21" customHeight="1">
      <c r="A435" s="199"/>
      <c r="B435" s="601"/>
      <c r="C435" s="601"/>
      <c r="D435" s="601"/>
      <c r="E435" s="601"/>
      <c r="F435" s="601"/>
      <c r="G435" s="601"/>
      <c r="H435" s="601"/>
      <c r="I435" s="601"/>
      <c r="J435" s="601"/>
      <c r="K435" s="601"/>
      <c r="L435" s="601"/>
      <c r="M435" s="601"/>
      <c r="N435" s="200"/>
      <c r="O435" s="199"/>
      <c r="P435" s="24"/>
      <c r="Q435" s="24"/>
      <c r="R435" s="24"/>
      <c r="S435" s="24"/>
      <c r="T435" s="24"/>
      <c r="U435" s="24"/>
      <c r="V435" s="24"/>
      <c r="W435" s="24"/>
      <c r="X435" s="24"/>
      <c r="Y435" s="24"/>
      <c r="Z435" s="24"/>
      <c r="AA435" s="24"/>
      <c r="AB435" s="200"/>
    </row>
    <row r="436" spans="1:82" ht="21" customHeight="1">
      <c r="A436" s="199"/>
      <c r="B436" s="601"/>
      <c r="C436" s="601"/>
      <c r="D436" s="601"/>
      <c r="E436" s="601"/>
      <c r="F436" s="601"/>
      <c r="G436" s="601"/>
      <c r="H436" s="601"/>
      <c r="I436" s="601"/>
      <c r="J436" s="601"/>
      <c r="K436" s="601"/>
      <c r="L436" s="601"/>
      <c r="M436" s="601"/>
      <c r="N436" s="200"/>
      <c r="O436" s="199"/>
      <c r="P436" s="24"/>
      <c r="Q436" s="24"/>
      <c r="R436" s="24"/>
      <c r="S436" s="24"/>
      <c r="T436" s="24"/>
      <c r="U436" s="24"/>
      <c r="V436" s="24"/>
      <c r="W436" s="24"/>
      <c r="X436" s="24"/>
      <c r="Y436" s="24"/>
      <c r="Z436" s="24"/>
      <c r="AA436" s="24"/>
      <c r="AB436" s="200"/>
    </row>
    <row r="437" spans="1:82" ht="21" customHeight="1">
      <c r="A437" s="199"/>
      <c r="B437" s="601"/>
      <c r="C437" s="601"/>
      <c r="D437" s="601"/>
      <c r="E437" s="601"/>
      <c r="F437" s="601"/>
      <c r="G437" s="601"/>
      <c r="H437" s="601"/>
      <c r="I437" s="601"/>
      <c r="J437" s="601"/>
      <c r="K437" s="601"/>
      <c r="L437" s="601"/>
      <c r="M437" s="601"/>
      <c r="N437" s="200"/>
      <c r="O437" s="199"/>
      <c r="P437" s="24"/>
      <c r="Q437" s="24"/>
      <c r="R437" s="24"/>
      <c r="S437" s="24"/>
      <c r="T437" s="24"/>
      <c r="U437" s="24"/>
      <c r="V437" s="24"/>
      <c r="W437" s="24"/>
      <c r="X437" s="24"/>
      <c r="Y437" s="24"/>
      <c r="Z437" s="24"/>
      <c r="AA437" s="24"/>
      <c r="AB437" s="200"/>
    </row>
    <row r="438" spans="1:82" ht="21" customHeight="1">
      <c r="A438" s="199"/>
      <c r="B438" s="601"/>
      <c r="C438" s="601"/>
      <c r="D438" s="601"/>
      <c r="E438" s="601"/>
      <c r="F438" s="601"/>
      <c r="G438" s="601"/>
      <c r="H438" s="601"/>
      <c r="I438" s="601"/>
      <c r="J438" s="601"/>
      <c r="K438" s="601"/>
      <c r="L438" s="601"/>
      <c r="M438" s="601"/>
      <c r="N438" s="200"/>
      <c r="O438" s="199"/>
      <c r="P438" s="24"/>
      <c r="Q438" s="24"/>
      <c r="R438" s="24"/>
      <c r="S438" s="24"/>
      <c r="T438" s="24"/>
      <c r="U438" s="24"/>
      <c r="V438" s="24"/>
      <c r="W438" s="24"/>
      <c r="X438" s="24"/>
      <c r="Y438" s="24"/>
      <c r="Z438" s="24"/>
      <c r="AA438" s="24"/>
      <c r="AB438" s="200"/>
    </row>
    <row r="439" spans="1:82" ht="4.95" customHeight="1">
      <c r="A439" s="199"/>
      <c r="B439" s="601"/>
      <c r="C439" s="601"/>
      <c r="D439" s="601"/>
      <c r="E439" s="601"/>
      <c r="F439" s="601"/>
      <c r="G439" s="601"/>
      <c r="H439" s="601"/>
      <c r="I439" s="601"/>
      <c r="J439" s="601"/>
      <c r="K439" s="601"/>
      <c r="L439" s="601"/>
      <c r="M439" s="601"/>
      <c r="N439" s="200"/>
      <c r="O439" s="199"/>
      <c r="P439" s="24"/>
      <c r="Q439" s="24"/>
      <c r="R439" s="24"/>
      <c r="S439" s="24"/>
      <c r="T439" s="24"/>
      <c r="U439" s="24"/>
      <c r="V439" s="24"/>
      <c r="W439" s="24"/>
      <c r="X439" s="24"/>
      <c r="Y439" s="24"/>
      <c r="Z439" s="24"/>
      <c r="AA439" s="24"/>
      <c r="AB439" s="200"/>
    </row>
    <row r="440" spans="1:82" ht="19.05" customHeight="1">
      <c r="A440" s="199"/>
      <c r="B440" s="601"/>
      <c r="C440" s="601"/>
      <c r="D440" s="601"/>
      <c r="E440" s="601"/>
      <c r="F440" s="601"/>
      <c r="G440" s="601"/>
      <c r="H440" s="601"/>
      <c r="I440" s="601"/>
      <c r="J440" s="601"/>
      <c r="K440" s="601"/>
      <c r="L440" s="601"/>
      <c r="M440" s="601"/>
      <c r="N440" s="200"/>
      <c r="O440" s="199"/>
      <c r="P440" s="24"/>
      <c r="Q440" s="24"/>
      <c r="R440" s="24"/>
      <c r="S440" s="24"/>
      <c r="T440" s="24"/>
      <c r="U440" s="24"/>
      <c r="V440" s="24"/>
      <c r="W440" s="24"/>
      <c r="X440" s="24"/>
      <c r="Y440" s="24"/>
      <c r="Z440" s="24"/>
      <c r="AA440" s="24"/>
      <c r="AB440" s="200"/>
    </row>
    <row r="441" spans="1:82" ht="19.05" customHeight="1">
      <c r="A441" s="199"/>
      <c r="B441" s="601"/>
      <c r="C441" s="601"/>
      <c r="D441" s="601"/>
      <c r="E441" s="601"/>
      <c r="F441" s="601"/>
      <c r="G441" s="601"/>
      <c r="H441" s="601"/>
      <c r="I441" s="601"/>
      <c r="J441" s="601"/>
      <c r="K441" s="601"/>
      <c r="L441" s="601"/>
      <c r="M441" s="601"/>
      <c r="N441" s="200"/>
      <c r="O441" s="199"/>
      <c r="P441" s="24"/>
      <c r="Q441" s="24"/>
      <c r="R441" s="24"/>
      <c r="S441" s="24"/>
      <c r="T441" s="24"/>
      <c r="U441" s="24"/>
      <c r="V441" s="24"/>
      <c r="W441" s="24"/>
      <c r="X441" s="24"/>
      <c r="Y441" s="24"/>
      <c r="Z441" s="24"/>
      <c r="AA441" s="24"/>
      <c r="AB441" s="200"/>
    </row>
    <row r="442" spans="1:82" ht="19.05" customHeight="1">
      <c r="A442" s="199"/>
      <c r="B442" s="601"/>
      <c r="C442" s="601"/>
      <c r="D442" s="601"/>
      <c r="E442" s="601"/>
      <c r="F442" s="601"/>
      <c r="G442" s="601"/>
      <c r="H442" s="601"/>
      <c r="I442" s="601"/>
      <c r="J442" s="601"/>
      <c r="K442" s="601"/>
      <c r="L442" s="601"/>
      <c r="M442" s="601"/>
      <c r="N442" s="200"/>
      <c r="O442" s="199"/>
      <c r="P442" s="24"/>
      <c r="Q442" s="24"/>
      <c r="R442" s="24"/>
      <c r="S442" s="24"/>
      <c r="T442" s="24"/>
      <c r="U442" s="24"/>
      <c r="V442" s="24"/>
      <c r="W442" s="24"/>
      <c r="X442" s="24"/>
      <c r="Y442" s="24"/>
      <c r="Z442" s="24"/>
      <c r="AA442" s="24"/>
      <c r="AB442" s="200"/>
    </row>
    <row r="443" spans="1:82" ht="19.05" customHeight="1">
      <c r="A443" s="199"/>
      <c r="B443" s="601"/>
      <c r="C443" s="601"/>
      <c r="D443" s="601"/>
      <c r="E443" s="601"/>
      <c r="F443" s="601"/>
      <c r="G443" s="601"/>
      <c r="H443" s="601"/>
      <c r="I443" s="601"/>
      <c r="J443" s="601"/>
      <c r="K443" s="601"/>
      <c r="L443" s="601"/>
      <c r="M443" s="601"/>
      <c r="N443" s="200"/>
      <c r="O443" s="199"/>
      <c r="P443" s="24"/>
      <c r="Q443" s="24"/>
      <c r="R443" s="24"/>
      <c r="S443" s="24"/>
      <c r="T443" s="24"/>
      <c r="U443" s="24"/>
      <c r="V443" s="24"/>
      <c r="W443" s="24"/>
      <c r="X443" s="24"/>
      <c r="Y443" s="24"/>
      <c r="Z443" s="24"/>
      <c r="AA443" s="24"/>
      <c r="AB443" s="200"/>
    </row>
    <row r="444" spans="1:82" ht="19.05" customHeight="1">
      <c r="A444" s="199"/>
      <c r="B444" s="601"/>
      <c r="C444" s="601"/>
      <c r="D444" s="601"/>
      <c r="E444" s="601"/>
      <c r="F444" s="601"/>
      <c r="G444" s="601"/>
      <c r="H444" s="601"/>
      <c r="I444" s="601"/>
      <c r="J444" s="601"/>
      <c r="K444" s="601"/>
      <c r="L444" s="601"/>
      <c r="M444" s="601"/>
      <c r="N444" s="200"/>
      <c r="O444" s="199"/>
      <c r="P444" s="24"/>
      <c r="Q444" s="24"/>
      <c r="R444" s="24"/>
      <c r="S444" s="24"/>
      <c r="T444" s="24"/>
      <c r="U444" s="24"/>
      <c r="V444" s="24"/>
      <c r="W444" s="24"/>
      <c r="X444" s="24"/>
      <c r="Y444" s="24"/>
      <c r="Z444" s="24"/>
      <c r="AA444" s="24"/>
      <c r="AB444" s="200"/>
    </row>
    <row r="445" spans="1:82" ht="4.95" customHeight="1">
      <c r="A445" s="199"/>
      <c r="B445" s="601"/>
      <c r="C445" s="601"/>
      <c r="D445" s="601"/>
      <c r="E445" s="601"/>
      <c r="F445" s="601"/>
      <c r="G445" s="601"/>
      <c r="H445" s="601"/>
      <c r="I445" s="601"/>
      <c r="J445" s="601"/>
      <c r="K445" s="601"/>
      <c r="L445" s="601"/>
      <c r="M445" s="601"/>
      <c r="N445" s="200"/>
      <c r="O445" s="199"/>
      <c r="P445" s="24"/>
      <c r="Q445" s="24"/>
      <c r="R445" s="24"/>
      <c r="S445" s="24"/>
      <c r="T445" s="24"/>
      <c r="U445" s="24"/>
      <c r="V445" s="24"/>
      <c r="W445" s="24"/>
      <c r="X445" s="24"/>
      <c r="Y445" s="24"/>
      <c r="Z445" s="24"/>
      <c r="AA445" s="24"/>
      <c r="AB445" s="200"/>
      <c r="CD445" s="37"/>
    </row>
    <row r="446" spans="1:82" ht="19.95" customHeight="1">
      <c r="A446" s="199"/>
      <c r="B446" s="601"/>
      <c r="C446" s="601"/>
      <c r="D446" s="601"/>
      <c r="E446" s="601"/>
      <c r="F446" s="601"/>
      <c r="G446" s="601"/>
      <c r="H446" s="601"/>
      <c r="I446" s="601"/>
      <c r="J446" s="601"/>
      <c r="K446" s="601"/>
      <c r="L446" s="601"/>
      <c r="M446" s="601"/>
      <c r="N446" s="200"/>
      <c r="O446" s="199"/>
      <c r="P446" s="24"/>
      <c r="Q446" s="24"/>
      <c r="R446" s="24"/>
      <c r="S446" s="24"/>
      <c r="T446" s="24"/>
      <c r="U446" s="24"/>
      <c r="V446" s="24"/>
      <c r="W446" s="24"/>
      <c r="X446" s="24"/>
      <c r="Y446" s="24"/>
      <c r="Z446" s="24"/>
      <c r="AA446" s="24"/>
      <c r="AB446" s="200"/>
    </row>
    <row r="447" spans="1:82" ht="19.95" customHeight="1">
      <c r="A447" s="199"/>
      <c r="B447" s="601"/>
      <c r="C447" s="601"/>
      <c r="D447" s="601"/>
      <c r="E447" s="601"/>
      <c r="F447" s="601"/>
      <c r="G447" s="601"/>
      <c r="H447" s="601"/>
      <c r="I447" s="601"/>
      <c r="J447" s="601"/>
      <c r="K447" s="601"/>
      <c r="L447" s="601"/>
      <c r="M447" s="601"/>
      <c r="N447" s="200"/>
      <c r="O447" s="199"/>
      <c r="P447" s="24"/>
      <c r="Q447" s="24"/>
      <c r="R447" s="24"/>
      <c r="S447" s="24"/>
      <c r="T447" s="24"/>
      <c r="U447" s="24"/>
      <c r="V447" s="24"/>
      <c r="W447" s="24"/>
      <c r="X447" s="24"/>
      <c r="Y447" s="24"/>
      <c r="Z447" s="24"/>
      <c r="AA447" s="24"/>
      <c r="AB447" s="200"/>
    </row>
    <row r="448" spans="1:82" ht="19.95" customHeight="1">
      <c r="A448" s="199"/>
      <c r="B448" s="601"/>
      <c r="C448" s="601"/>
      <c r="D448" s="601"/>
      <c r="E448" s="601"/>
      <c r="F448" s="601"/>
      <c r="G448" s="601"/>
      <c r="H448" s="601"/>
      <c r="I448" s="601"/>
      <c r="J448" s="601"/>
      <c r="K448" s="601"/>
      <c r="L448" s="601"/>
      <c r="M448" s="601"/>
      <c r="N448" s="200"/>
      <c r="O448" s="199"/>
      <c r="P448" s="24"/>
      <c r="Q448" s="24"/>
      <c r="R448" s="24"/>
      <c r="S448" s="24"/>
      <c r="T448" s="24"/>
      <c r="U448" s="24"/>
      <c r="V448" s="24"/>
      <c r="W448" s="24"/>
      <c r="X448" s="24"/>
      <c r="Y448" s="24"/>
      <c r="Z448" s="24"/>
      <c r="AA448" s="24"/>
      <c r="AB448" s="200"/>
    </row>
    <row r="449" spans="1:28" ht="19.95" customHeight="1">
      <c r="A449" s="199"/>
      <c r="B449" s="601"/>
      <c r="C449" s="601"/>
      <c r="D449" s="601"/>
      <c r="E449" s="601"/>
      <c r="F449" s="601"/>
      <c r="G449" s="601"/>
      <c r="H449" s="601"/>
      <c r="I449" s="601"/>
      <c r="J449" s="601"/>
      <c r="K449" s="601"/>
      <c r="L449" s="601"/>
      <c r="M449" s="601"/>
      <c r="N449" s="200"/>
      <c r="O449" s="199"/>
      <c r="P449" s="24"/>
      <c r="Q449" s="24"/>
      <c r="R449" s="24"/>
      <c r="S449" s="24"/>
      <c r="T449" s="24"/>
      <c r="U449" s="24"/>
      <c r="V449" s="24"/>
      <c r="W449" s="24"/>
      <c r="X449" s="24"/>
      <c r="Y449" s="24"/>
      <c r="Z449" s="24"/>
      <c r="AA449" s="24"/>
      <c r="AB449" s="200"/>
    </row>
    <row r="450" spans="1:28" ht="19.95" customHeight="1">
      <c r="A450" s="199"/>
      <c r="B450" s="601"/>
      <c r="C450" s="601"/>
      <c r="D450" s="601"/>
      <c r="E450" s="601"/>
      <c r="F450" s="601"/>
      <c r="G450" s="601"/>
      <c r="H450" s="601"/>
      <c r="I450" s="601"/>
      <c r="J450" s="601"/>
      <c r="K450" s="601"/>
      <c r="L450" s="601"/>
      <c r="M450" s="601"/>
      <c r="N450" s="200"/>
      <c r="O450" s="199"/>
      <c r="P450" s="24"/>
      <c r="Q450" s="24"/>
      <c r="R450" s="24"/>
      <c r="S450" s="24"/>
      <c r="T450" s="24"/>
      <c r="U450" s="24"/>
      <c r="V450" s="24"/>
      <c r="W450" s="24"/>
      <c r="X450" s="24"/>
      <c r="Y450" s="24"/>
      <c r="Z450" s="24"/>
      <c r="AA450" s="24"/>
      <c r="AB450" s="200"/>
    </row>
    <row r="451" spans="1:28" ht="4.95" customHeight="1">
      <c r="A451" s="199"/>
      <c r="B451" s="601"/>
      <c r="C451" s="601"/>
      <c r="D451" s="601"/>
      <c r="E451" s="601"/>
      <c r="F451" s="601"/>
      <c r="G451" s="601"/>
      <c r="H451" s="601"/>
      <c r="I451" s="601"/>
      <c r="J451" s="601"/>
      <c r="K451" s="601"/>
      <c r="L451" s="601"/>
      <c r="M451" s="601"/>
      <c r="N451" s="200"/>
      <c r="O451" s="199"/>
      <c r="P451" s="24"/>
      <c r="Q451" s="24"/>
      <c r="R451" s="24"/>
      <c r="S451" s="24"/>
      <c r="T451" s="24"/>
      <c r="U451" s="24"/>
      <c r="V451" s="24"/>
      <c r="W451" s="24"/>
      <c r="X451" s="24"/>
      <c r="Y451" s="24"/>
      <c r="Z451" s="24"/>
      <c r="AA451" s="24"/>
      <c r="AB451" s="200"/>
    </row>
    <row r="452" spans="1:28" ht="19.95" customHeight="1">
      <c r="A452" s="199"/>
      <c r="B452" s="601"/>
      <c r="C452" s="601"/>
      <c r="D452" s="601"/>
      <c r="E452" s="601"/>
      <c r="F452" s="601"/>
      <c r="G452" s="601"/>
      <c r="H452" s="601"/>
      <c r="I452" s="601"/>
      <c r="J452" s="601"/>
      <c r="K452" s="601"/>
      <c r="L452" s="601"/>
      <c r="M452" s="601"/>
      <c r="N452" s="200"/>
      <c r="O452" s="199"/>
      <c r="P452" s="24"/>
      <c r="Q452" s="24"/>
      <c r="R452" s="24"/>
      <c r="S452" s="24"/>
      <c r="T452" s="24"/>
      <c r="U452" s="24"/>
      <c r="V452" s="24"/>
      <c r="W452" s="24"/>
      <c r="X452" s="24"/>
      <c r="Y452" s="24"/>
      <c r="Z452" s="24"/>
      <c r="AA452" s="24"/>
      <c r="AB452" s="200"/>
    </row>
    <row r="453" spans="1:28" ht="19.95" customHeight="1">
      <c r="A453" s="199"/>
      <c r="B453" s="601"/>
      <c r="C453" s="601"/>
      <c r="D453" s="601"/>
      <c r="E453" s="601"/>
      <c r="F453" s="601"/>
      <c r="G453" s="601"/>
      <c r="H453" s="601"/>
      <c r="I453" s="601"/>
      <c r="J453" s="601"/>
      <c r="K453" s="601"/>
      <c r="L453" s="601"/>
      <c r="M453" s="601"/>
      <c r="N453" s="200"/>
      <c r="O453" s="199"/>
      <c r="P453" s="24"/>
      <c r="Q453" s="24"/>
      <c r="R453" s="24"/>
      <c r="S453" s="24"/>
      <c r="T453" s="24"/>
      <c r="U453" s="24"/>
      <c r="V453" s="24"/>
      <c r="W453" s="24"/>
      <c r="X453" s="24"/>
      <c r="Y453" s="24"/>
      <c r="Z453" s="24"/>
      <c r="AA453" s="24"/>
      <c r="AB453" s="200"/>
    </row>
    <row r="454" spans="1:28" ht="19.95" customHeight="1">
      <c r="A454" s="199"/>
      <c r="B454" s="601"/>
      <c r="C454" s="601"/>
      <c r="D454" s="601"/>
      <c r="E454" s="601"/>
      <c r="F454" s="601"/>
      <c r="G454" s="601"/>
      <c r="H454" s="601"/>
      <c r="I454" s="601"/>
      <c r="J454" s="601"/>
      <c r="K454" s="601"/>
      <c r="L454" s="601"/>
      <c r="M454" s="601"/>
      <c r="N454" s="200"/>
      <c r="O454" s="199"/>
      <c r="P454" s="24"/>
      <c r="Q454" s="24"/>
      <c r="R454" s="24"/>
      <c r="S454" s="24"/>
      <c r="T454" s="24"/>
      <c r="U454" s="24"/>
      <c r="V454" s="24"/>
      <c r="W454" s="24"/>
      <c r="X454" s="24"/>
      <c r="Y454" s="24"/>
      <c r="Z454" s="24"/>
      <c r="AA454" s="24"/>
      <c r="AB454" s="200"/>
    </row>
    <row r="455" spans="1:28" ht="19.95" customHeight="1">
      <c r="A455" s="199"/>
      <c r="B455" s="601"/>
      <c r="C455" s="601"/>
      <c r="D455" s="601"/>
      <c r="E455" s="601"/>
      <c r="F455" s="601"/>
      <c r="G455" s="601"/>
      <c r="H455" s="601"/>
      <c r="I455" s="601"/>
      <c r="J455" s="601"/>
      <c r="K455" s="601"/>
      <c r="L455" s="601"/>
      <c r="M455" s="601"/>
      <c r="N455" s="200"/>
      <c r="O455" s="199"/>
      <c r="P455" s="24"/>
      <c r="Q455" s="24"/>
      <c r="R455" s="24"/>
      <c r="S455" s="24"/>
      <c r="T455" s="24"/>
      <c r="U455" s="24"/>
      <c r="V455" s="24"/>
      <c r="W455" s="24"/>
      <c r="X455" s="24"/>
      <c r="Y455" s="24"/>
      <c r="Z455" s="24"/>
      <c r="AA455" s="24"/>
      <c r="AB455" s="200"/>
    </row>
    <row r="456" spans="1:28" ht="19.95" customHeight="1">
      <c r="A456" s="199"/>
      <c r="B456" s="601"/>
      <c r="C456" s="601"/>
      <c r="D456" s="601"/>
      <c r="E456" s="601"/>
      <c r="F456" s="601"/>
      <c r="G456" s="601"/>
      <c r="H456" s="601"/>
      <c r="I456" s="601"/>
      <c r="J456" s="601"/>
      <c r="K456" s="601"/>
      <c r="L456" s="601"/>
      <c r="M456" s="601"/>
      <c r="N456" s="200"/>
      <c r="O456" s="199"/>
      <c r="P456" s="24"/>
      <c r="Q456" s="24"/>
      <c r="R456" s="24"/>
      <c r="S456" s="24"/>
      <c r="T456" s="24"/>
      <c r="U456" s="24"/>
      <c r="V456" s="24"/>
      <c r="W456" s="24"/>
      <c r="X456" s="24"/>
      <c r="Y456" s="24"/>
      <c r="Z456" s="24"/>
      <c r="AA456" s="24"/>
      <c r="AB456" s="200"/>
    </row>
    <row r="457" spans="1:28" ht="4.8" customHeight="1">
      <c r="A457" s="199"/>
      <c r="B457" s="601"/>
      <c r="C457" s="601"/>
      <c r="D457" s="601"/>
      <c r="E457" s="601"/>
      <c r="F457" s="601"/>
      <c r="G457" s="601"/>
      <c r="H457" s="601"/>
      <c r="I457" s="601"/>
      <c r="J457" s="601"/>
      <c r="K457" s="601"/>
      <c r="L457" s="601"/>
      <c r="M457" s="601"/>
      <c r="N457" s="200"/>
      <c r="O457" s="199"/>
      <c r="P457" s="24"/>
      <c r="Q457" s="24"/>
      <c r="R457" s="24"/>
      <c r="S457" s="24"/>
      <c r="T457" s="24"/>
      <c r="U457" s="24"/>
      <c r="V457" s="24"/>
      <c r="W457" s="24"/>
      <c r="X457" s="24"/>
      <c r="Y457" s="24"/>
      <c r="Z457" s="24"/>
      <c r="AA457" s="24"/>
      <c r="AB457" s="200"/>
    </row>
    <row r="458" spans="1:28" ht="19.05" customHeight="1">
      <c r="A458" s="199"/>
      <c r="B458" s="601"/>
      <c r="C458" s="601"/>
      <c r="D458" s="601"/>
      <c r="E458" s="601"/>
      <c r="F458" s="601"/>
      <c r="G458" s="601"/>
      <c r="H458" s="601"/>
      <c r="I458" s="601"/>
      <c r="J458" s="601"/>
      <c r="K458" s="601"/>
      <c r="L458" s="601"/>
      <c r="M458" s="601"/>
      <c r="N458" s="200"/>
      <c r="O458" s="199"/>
      <c r="P458" s="24"/>
      <c r="Q458" s="24"/>
      <c r="R458" s="24"/>
      <c r="S458" s="24"/>
      <c r="T458" s="24"/>
      <c r="U458" s="24"/>
      <c r="V458" s="24"/>
      <c r="W458" s="24"/>
      <c r="X458" s="24"/>
      <c r="Y458" s="24"/>
      <c r="Z458" s="24"/>
      <c r="AA458" s="24"/>
      <c r="AB458" s="200"/>
    </row>
    <row r="459" spans="1:28" ht="19.05" customHeight="1">
      <c r="A459" s="199"/>
      <c r="B459" s="601"/>
      <c r="C459" s="601"/>
      <c r="D459" s="601"/>
      <c r="E459" s="601"/>
      <c r="F459" s="601"/>
      <c r="G459" s="601"/>
      <c r="H459" s="601"/>
      <c r="I459" s="601"/>
      <c r="J459" s="601"/>
      <c r="K459" s="601"/>
      <c r="L459" s="601"/>
      <c r="M459" s="601"/>
      <c r="N459" s="200"/>
      <c r="O459" s="199"/>
      <c r="P459" s="24"/>
      <c r="Q459" s="24"/>
      <c r="R459" s="24"/>
      <c r="S459" s="24"/>
      <c r="T459" s="24"/>
      <c r="U459" s="24"/>
      <c r="V459" s="24"/>
      <c r="W459" s="24"/>
      <c r="X459" s="24"/>
      <c r="Y459" s="24"/>
      <c r="Z459" s="24"/>
      <c r="AA459" s="24"/>
      <c r="AB459" s="200"/>
    </row>
    <row r="460" spans="1:28" ht="19.05" customHeight="1">
      <c r="A460" s="199"/>
      <c r="B460" s="601"/>
      <c r="C460" s="601"/>
      <c r="D460" s="601"/>
      <c r="E460" s="601"/>
      <c r="F460" s="601"/>
      <c r="G460" s="601"/>
      <c r="H460" s="601"/>
      <c r="I460" s="601"/>
      <c r="J460" s="601"/>
      <c r="K460" s="601"/>
      <c r="L460" s="601"/>
      <c r="M460" s="601"/>
      <c r="N460" s="200"/>
      <c r="O460" s="199"/>
      <c r="P460" s="24"/>
      <c r="Q460" s="24"/>
      <c r="R460" s="24"/>
      <c r="S460" s="24"/>
      <c r="T460" s="24"/>
      <c r="U460" s="24"/>
      <c r="V460" s="24"/>
      <c r="W460" s="24"/>
      <c r="X460" s="24"/>
      <c r="Y460" s="24"/>
      <c r="Z460" s="24"/>
      <c r="AA460" s="24"/>
      <c r="AB460" s="200"/>
    </row>
    <row r="461" spans="1:28" ht="4.95" customHeight="1">
      <c r="A461" s="201"/>
      <c r="B461" s="202"/>
      <c r="C461" s="202"/>
      <c r="D461" s="202"/>
      <c r="E461" s="202"/>
      <c r="F461" s="202"/>
      <c r="G461" s="202"/>
      <c r="H461" s="202"/>
      <c r="I461" s="202"/>
      <c r="J461" s="202"/>
      <c r="K461" s="202"/>
      <c r="L461" s="202"/>
      <c r="M461" s="202"/>
      <c r="N461" s="200"/>
      <c r="O461" s="199"/>
      <c r="P461" s="202"/>
      <c r="Q461" s="202"/>
      <c r="R461" s="202"/>
      <c r="S461" s="202"/>
      <c r="T461" s="202"/>
      <c r="U461" s="202"/>
      <c r="V461" s="202"/>
      <c r="W461" s="202"/>
      <c r="X461" s="202"/>
      <c r="Y461" s="202"/>
      <c r="Z461" s="202"/>
      <c r="AA461" s="202"/>
      <c r="AB461" s="203"/>
    </row>
    <row r="462" spans="1:28" ht="30" customHeight="1">
      <c r="A462" s="210" t="s">
        <v>1148</v>
      </c>
      <c r="B462" s="886" t="s">
        <v>3156</v>
      </c>
      <c r="C462" s="886"/>
      <c r="D462" s="886"/>
      <c r="E462" s="886"/>
      <c r="F462" s="886"/>
      <c r="G462" s="886"/>
      <c r="H462" s="886"/>
      <c r="I462" s="886"/>
      <c r="J462" s="886"/>
      <c r="K462" s="886"/>
      <c r="L462" s="886"/>
      <c r="M462" s="886"/>
      <c r="N462" s="211" t="s">
        <v>1149</v>
      </c>
      <c r="O462" s="210"/>
      <c r="P462" s="886"/>
      <c r="Q462" s="886"/>
      <c r="R462" s="886"/>
      <c r="S462" s="886"/>
      <c r="T462" s="886"/>
      <c r="U462" s="886"/>
      <c r="V462" s="886"/>
      <c r="W462" s="886"/>
      <c r="X462" s="886"/>
      <c r="Y462" s="886"/>
      <c r="Z462" s="886"/>
      <c r="AA462" s="886"/>
      <c r="AB462" s="211" t="s">
        <v>1149</v>
      </c>
    </row>
    <row r="463" spans="1:28" ht="10.050000000000001" customHeight="1">
      <c r="A463" s="199"/>
      <c r="B463" s="24"/>
      <c r="C463" s="24"/>
      <c r="D463" s="24"/>
      <c r="E463" s="24"/>
      <c r="F463" s="24"/>
      <c r="G463" s="24"/>
      <c r="H463" s="24"/>
      <c r="I463" s="24"/>
      <c r="J463" s="24"/>
      <c r="K463" s="24"/>
      <c r="L463" s="24"/>
      <c r="M463" s="24"/>
      <c r="N463" s="200"/>
      <c r="O463" s="199"/>
      <c r="P463" s="24"/>
      <c r="Q463" s="24"/>
      <c r="R463" s="24"/>
      <c r="S463" s="24"/>
      <c r="T463" s="24"/>
      <c r="U463" s="24"/>
      <c r="V463" s="24"/>
      <c r="W463" s="24"/>
      <c r="X463" s="24"/>
      <c r="Y463" s="24"/>
      <c r="Z463" s="24"/>
      <c r="AA463" s="24"/>
      <c r="AB463" s="200"/>
    </row>
    <row r="464" spans="1:28" ht="19.95" customHeight="1">
      <c r="A464" s="199"/>
      <c r="B464" s="690" t="s">
        <v>2548</v>
      </c>
      <c r="C464" s="397"/>
      <c r="D464" s="397"/>
      <c r="E464" s="397"/>
      <c r="F464" s="397"/>
      <c r="G464" s="397"/>
      <c r="H464" s="397"/>
      <c r="I464" s="397"/>
      <c r="J464" s="397"/>
      <c r="K464" s="397"/>
      <c r="L464" s="397"/>
      <c r="M464" s="397"/>
      <c r="N464" s="200"/>
      <c r="O464" s="199"/>
      <c r="P464" s="24"/>
      <c r="Q464" s="24"/>
      <c r="R464" s="24"/>
      <c r="S464" s="24"/>
      <c r="T464" s="24"/>
      <c r="U464" s="24"/>
      <c r="V464" s="24"/>
      <c r="W464" s="24"/>
      <c r="X464" s="24"/>
      <c r="Y464" s="24"/>
      <c r="Z464" s="24"/>
      <c r="AA464" s="24"/>
      <c r="AB464" s="200"/>
    </row>
    <row r="465" spans="1:28" ht="10.050000000000001" customHeight="1">
      <c r="A465" s="199"/>
      <c r="B465" s="397"/>
      <c r="C465" s="397"/>
      <c r="D465" s="397"/>
      <c r="E465" s="397"/>
      <c r="F465" s="397"/>
      <c r="G465" s="397"/>
      <c r="H465" s="397"/>
      <c r="I465" s="397"/>
      <c r="J465" s="397"/>
      <c r="K465" s="397"/>
      <c r="L465" s="397"/>
      <c r="M465" s="397"/>
      <c r="N465" s="200"/>
      <c r="O465" s="199"/>
      <c r="P465" s="24"/>
      <c r="Q465" s="24"/>
      <c r="R465" s="24"/>
      <c r="S465" s="24"/>
      <c r="T465" s="24"/>
      <c r="U465" s="24"/>
      <c r="V465" s="24"/>
      <c r="W465" s="24"/>
      <c r="X465" s="24"/>
      <c r="Y465" s="24"/>
      <c r="Z465" s="24"/>
      <c r="AA465" s="24"/>
      <c r="AB465" s="200"/>
    </row>
    <row r="466" spans="1:28" ht="19.95" customHeight="1">
      <c r="A466" s="199"/>
      <c r="B466" s="601"/>
      <c r="C466" s="601"/>
      <c r="D466" s="601"/>
      <c r="E466" s="601"/>
      <c r="F466" s="601"/>
      <c r="G466" s="601"/>
      <c r="H466" s="601"/>
      <c r="I466" s="601"/>
      <c r="J466" s="601"/>
      <c r="K466" s="601"/>
      <c r="L466" s="601"/>
      <c r="M466" s="601"/>
      <c r="N466" s="200"/>
      <c r="O466" s="199"/>
      <c r="P466" s="24"/>
      <c r="Q466" s="24"/>
      <c r="R466" s="24"/>
      <c r="S466" s="24"/>
      <c r="T466" s="24"/>
      <c r="U466" s="24"/>
      <c r="V466" s="24"/>
      <c r="W466" s="24"/>
      <c r="X466" s="24"/>
      <c r="Y466" s="24"/>
      <c r="Z466" s="24"/>
      <c r="AA466" s="24"/>
      <c r="AB466" s="200"/>
    </row>
    <row r="467" spans="1:28" ht="19.95" customHeight="1">
      <c r="A467" s="199"/>
      <c r="B467" s="601"/>
      <c r="C467" s="601"/>
      <c r="D467" s="601"/>
      <c r="E467" s="601"/>
      <c r="F467" s="601"/>
      <c r="G467" s="601"/>
      <c r="H467" s="601"/>
      <c r="I467" s="601"/>
      <c r="J467" s="601"/>
      <c r="K467" s="601"/>
      <c r="L467" s="601"/>
      <c r="M467" s="601"/>
      <c r="N467" s="200"/>
      <c r="O467" s="199"/>
      <c r="P467" s="24"/>
      <c r="Q467" s="24"/>
      <c r="R467" s="24"/>
      <c r="S467" s="24"/>
      <c r="T467" s="24"/>
      <c r="U467" s="24"/>
      <c r="V467" s="24"/>
      <c r="W467" s="24"/>
      <c r="X467" s="24"/>
      <c r="Y467" s="24"/>
      <c r="Z467" s="24"/>
      <c r="AA467" s="24"/>
      <c r="AB467" s="200"/>
    </row>
    <row r="468" spans="1:28" ht="19.95" customHeight="1">
      <c r="A468" s="199"/>
      <c r="B468" s="601"/>
      <c r="C468" s="601"/>
      <c r="D468" s="601"/>
      <c r="E468" s="601"/>
      <c r="F468" s="601"/>
      <c r="G468" s="601"/>
      <c r="H468" s="601"/>
      <c r="I468" s="601"/>
      <c r="J468" s="601"/>
      <c r="K468" s="601"/>
      <c r="L468" s="601"/>
      <c r="M468" s="601"/>
      <c r="N468" s="200"/>
      <c r="O468" s="199"/>
      <c r="P468" s="24"/>
      <c r="Q468" s="24"/>
      <c r="R468" s="24"/>
      <c r="S468" s="24"/>
      <c r="T468" s="24"/>
      <c r="U468" s="24"/>
      <c r="V468" s="24"/>
      <c r="W468" s="24"/>
      <c r="X468" s="24"/>
      <c r="Y468" s="24"/>
      <c r="Z468" s="24"/>
      <c r="AA468" s="24"/>
      <c r="AB468" s="200"/>
    </row>
    <row r="469" spans="1:28" ht="19.95" customHeight="1">
      <c r="A469" s="199"/>
      <c r="B469" s="601"/>
      <c r="C469" s="601"/>
      <c r="D469" s="601"/>
      <c r="E469" s="601"/>
      <c r="F469" s="601"/>
      <c r="G469" s="601"/>
      <c r="H469" s="601"/>
      <c r="I469" s="601"/>
      <c r="J469" s="601"/>
      <c r="K469" s="601"/>
      <c r="L469" s="601"/>
      <c r="M469" s="601"/>
      <c r="N469" s="200"/>
      <c r="O469" s="199"/>
      <c r="P469" s="24"/>
      <c r="Q469" s="24"/>
      <c r="R469" s="24"/>
      <c r="S469" s="24"/>
      <c r="T469" s="24"/>
      <c r="U469" s="24"/>
      <c r="V469" s="24"/>
      <c r="W469" s="24"/>
      <c r="X469" s="24"/>
      <c r="Y469" s="24"/>
      <c r="Z469" s="24"/>
      <c r="AA469" s="24"/>
      <c r="AB469" s="200"/>
    </row>
    <row r="470" spans="1:28" ht="19.95" customHeight="1">
      <c r="A470" s="199"/>
      <c r="B470" s="601"/>
      <c r="C470" s="601"/>
      <c r="D470" s="601"/>
      <c r="E470" s="601"/>
      <c r="F470" s="601"/>
      <c r="G470" s="601"/>
      <c r="H470" s="601"/>
      <c r="I470" s="601"/>
      <c r="J470" s="601"/>
      <c r="K470" s="601"/>
      <c r="L470" s="601"/>
      <c r="M470" s="601"/>
      <c r="N470" s="200"/>
      <c r="O470" s="199"/>
      <c r="P470" s="24"/>
      <c r="Q470" s="24"/>
      <c r="R470" s="24"/>
      <c r="S470" s="24"/>
      <c r="T470" s="24"/>
      <c r="U470" s="24"/>
      <c r="V470" s="24"/>
      <c r="W470" s="24"/>
      <c r="X470" s="24"/>
      <c r="Y470" s="24"/>
      <c r="Z470" s="24"/>
      <c r="AA470" s="24"/>
      <c r="AB470" s="200"/>
    </row>
    <row r="471" spans="1:28" ht="19.95" customHeight="1">
      <c r="A471" s="199"/>
      <c r="B471" s="601"/>
      <c r="C471" s="601"/>
      <c r="D471" s="601"/>
      <c r="E471" s="601"/>
      <c r="F471" s="601"/>
      <c r="G471" s="601"/>
      <c r="H471" s="601"/>
      <c r="I471" s="601"/>
      <c r="J471" s="601"/>
      <c r="K471" s="601"/>
      <c r="L471" s="601"/>
      <c r="M471" s="601"/>
      <c r="N471" s="200"/>
      <c r="O471" s="199"/>
      <c r="P471" s="24"/>
      <c r="Q471" s="24"/>
      <c r="R471" s="24"/>
      <c r="S471" s="24"/>
      <c r="T471" s="24"/>
      <c r="U471" s="24"/>
      <c r="V471" s="24"/>
      <c r="W471" s="24"/>
      <c r="X471" s="24"/>
      <c r="Y471" s="24"/>
      <c r="Z471" s="24"/>
      <c r="AA471" s="24"/>
      <c r="AB471" s="200"/>
    </row>
    <row r="472" spans="1:28" ht="19.95" customHeight="1">
      <c r="A472" s="199"/>
      <c r="B472" s="601"/>
      <c r="C472" s="601"/>
      <c r="D472" s="601"/>
      <c r="E472" s="601"/>
      <c r="F472" s="601"/>
      <c r="G472" s="601"/>
      <c r="H472" s="601"/>
      <c r="I472" s="601"/>
      <c r="J472" s="601"/>
      <c r="K472" s="601"/>
      <c r="L472" s="601"/>
      <c r="M472" s="601"/>
      <c r="N472" s="200"/>
      <c r="O472" s="199"/>
      <c r="P472" s="24"/>
      <c r="Q472" s="24"/>
      <c r="R472" s="24"/>
      <c r="S472" s="24"/>
      <c r="T472" s="24"/>
      <c r="U472" s="24"/>
      <c r="V472" s="24"/>
      <c r="W472" s="24"/>
      <c r="X472" s="24"/>
      <c r="Y472" s="24"/>
      <c r="Z472" s="24"/>
      <c r="AA472" s="24"/>
      <c r="AB472" s="200"/>
    </row>
    <row r="473" spans="1:28" ht="19.95" customHeight="1">
      <c r="A473" s="199"/>
      <c r="B473" s="601"/>
      <c r="C473" s="601"/>
      <c r="D473" s="601"/>
      <c r="E473" s="601"/>
      <c r="F473" s="601"/>
      <c r="G473" s="601"/>
      <c r="H473" s="601"/>
      <c r="I473" s="601"/>
      <c r="J473" s="601"/>
      <c r="K473" s="601"/>
      <c r="L473" s="601"/>
      <c r="M473" s="601"/>
      <c r="N473" s="200"/>
      <c r="O473" s="199"/>
      <c r="P473" s="24"/>
      <c r="Q473" s="24"/>
      <c r="R473" s="24"/>
      <c r="S473" s="24"/>
      <c r="T473" s="24"/>
      <c r="U473" s="24"/>
      <c r="V473" s="24"/>
      <c r="W473" s="24"/>
      <c r="X473" s="24"/>
      <c r="Y473" s="24"/>
      <c r="Z473" s="24"/>
      <c r="AA473" s="24"/>
      <c r="AB473" s="200"/>
    </row>
    <row r="474" spans="1:28" ht="19.95" customHeight="1">
      <c r="A474" s="199"/>
      <c r="B474" s="601"/>
      <c r="C474" s="601"/>
      <c r="D474" s="601"/>
      <c r="E474" s="601"/>
      <c r="F474" s="601"/>
      <c r="G474" s="601"/>
      <c r="H474" s="601"/>
      <c r="I474" s="601"/>
      <c r="J474" s="601"/>
      <c r="K474" s="601"/>
      <c r="L474" s="601"/>
      <c r="M474" s="601"/>
      <c r="N474" s="200"/>
      <c r="O474" s="199"/>
      <c r="P474" s="24"/>
      <c r="Q474" s="24"/>
      <c r="R474" s="24"/>
      <c r="S474" s="24"/>
      <c r="T474" s="24"/>
      <c r="U474" s="24"/>
      <c r="V474" s="24"/>
      <c r="W474" s="24"/>
      <c r="X474" s="24"/>
      <c r="Y474" s="24"/>
      <c r="Z474" s="24"/>
      <c r="AA474" s="24"/>
      <c r="AB474" s="200"/>
    </row>
    <row r="475" spans="1:28" ht="19.95" customHeight="1">
      <c r="A475" s="199"/>
      <c r="B475" s="24"/>
      <c r="C475" s="24"/>
      <c r="D475" s="24"/>
      <c r="E475" s="24"/>
      <c r="F475" s="24"/>
      <c r="G475" s="24"/>
      <c r="H475" s="24"/>
      <c r="I475" s="24"/>
      <c r="J475" s="24"/>
      <c r="K475" s="24"/>
      <c r="L475" s="24"/>
      <c r="M475" s="24"/>
      <c r="N475" s="200"/>
      <c r="O475" s="199"/>
      <c r="P475" s="24"/>
      <c r="Q475" s="24"/>
      <c r="R475" s="24"/>
      <c r="S475" s="24"/>
      <c r="T475" s="24"/>
      <c r="U475" s="24"/>
      <c r="V475" s="24"/>
      <c r="W475" s="24"/>
      <c r="X475" s="24"/>
      <c r="Y475" s="24"/>
      <c r="Z475" s="24"/>
      <c r="AA475" s="24"/>
      <c r="AB475" s="200"/>
    </row>
    <row r="476" spans="1:28" ht="19.95" customHeight="1">
      <c r="A476" s="199"/>
      <c r="B476" s="601"/>
      <c r="C476" s="601"/>
      <c r="D476" s="601"/>
      <c r="E476" s="601"/>
      <c r="F476" s="601"/>
      <c r="G476" s="601"/>
      <c r="H476" s="601"/>
      <c r="I476" s="601"/>
      <c r="J476" s="601"/>
      <c r="K476" s="601"/>
      <c r="L476" s="601"/>
      <c r="M476" s="601"/>
      <c r="N476" s="200"/>
      <c r="O476" s="199"/>
      <c r="P476" s="24"/>
      <c r="Q476" s="24"/>
      <c r="R476" s="24"/>
      <c r="S476" s="24"/>
      <c r="T476" s="24"/>
      <c r="U476" s="24"/>
      <c r="V476" s="24"/>
      <c r="W476" s="24"/>
      <c r="X476" s="24"/>
      <c r="Y476" s="24"/>
      <c r="Z476" s="24"/>
      <c r="AA476" s="24"/>
      <c r="AB476" s="200"/>
    </row>
    <row r="477" spans="1:28" ht="19.95" customHeight="1">
      <c r="A477" s="199"/>
      <c r="B477" s="601"/>
      <c r="C477" s="601"/>
      <c r="D477" s="601"/>
      <c r="E477" s="601"/>
      <c r="F477" s="601"/>
      <c r="G477" s="601"/>
      <c r="H477" s="601"/>
      <c r="I477" s="601"/>
      <c r="J477" s="601"/>
      <c r="K477" s="601"/>
      <c r="L477" s="601"/>
      <c r="M477" s="601"/>
      <c r="N477" s="200"/>
      <c r="O477" s="199"/>
      <c r="P477" s="24"/>
      <c r="Q477" s="24"/>
      <c r="R477" s="24"/>
      <c r="S477" s="24"/>
      <c r="T477" s="24"/>
      <c r="U477" s="24"/>
      <c r="V477" s="24"/>
      <c r="W477" s="24"/>
      <c r="X477" s="24"/>
      <c r="Y477" s="24"/>
      <c r="Z477" s="24"/>
      <c r="AA477" s="24"/>
      <c r="AB477" s="200"/>
    </row>
    <row r="478" spans="1:28" ht="19.95" customHeight="1">
      <c r="A478" s="199"/>
      <c r="B478" s="601"/>
      <c r="C478" s="601"/>
      <c r="D478" s="601"/>
      <c r="E478" s="601"/>
      <c r="F478" s="601"/>
      <c r="G478" s="601"/>
      <c r="H478" s="601"/>
      <c r="I478" s="601"/>
      <c r="J478" s="601"/>
      <c r="K478" s="601"/>
      <c r="L478" s="601"/>
      <c r="M478" s="601"/>
      <c r="N478" s="200"/>
      <c r="O478" s="199"/>
      <c r="P478" s="24"/>
      <c r="Q478" s="24"/>
      <c r="R478" s="24"/>
      <c r="S478" s="24"/>
      <c r="T478" s="24"/>
      <c r="U478" s="24"/>
      <c r="V478" s="24"/>
      <c r="W478" s="24"/>
      <c r="X478" s="24"/>
      <c r="Y478" s="24"/>
      <c r="Z478" s="24"/>
      <c r="AA478" s="24"/>
      <c r="AB478" s="200"/>
    </row>
    <row r="479" spans="1:28" ht="19.95" customHeight="1">
      <c r="A479" s="199"/>
      <c r="B479" s="601"/>
      <c r="C479" s="601"/>
      <c r="D479" s="601"/>
      <c r="E479" s="601"/>
      <c r="F479" s="601"/>
      <c r="G479" s="601"/>
      <c r="H479" s="601"/>
      <c r="I479" s="601"/>
      <c r="J479" s="601"/>
      <c r="K479" s="601"/>
      <c r="L479" s="601"/>
      <c r="M479" s="601"/>
      <c r="N479" s="200"/>
      <c r="O479" s="199"/>
      <c r="P479" s="24"/>
      <c r="Q479" s="24"/>
      <c r="R479" s="24"/>
      <c r="S479" s="24"/>
      <c r="T479" s="24"/>
      <c r="U479" s="24"/>
      <c r="V479" s="24"/>
      <c r="W479" s="24"/>
      <c r="X479" s="24"/>
      <c r="Y479" s="24"/>
      <c r="Z479" s="24"/>
      <c r="AA479" s="24"/>
      <c r="AB479" s="200"/>
    </row>
    <row r="480" spans="1:28" ht="40.049999999999997" customHeight="1">
      <c r="A480" s="199"/>
      <c r="B480" s="1380" t="s">
        <v>2063</v>
      </c>
      <c r="C480" s="1380"/>
      <c r="D480" s="1380"/>
      <c r="E480" s="1380"/>
      <c r="F480" s="1380"/>
      <c r="G480" s="1380"/>
      <c r="H480" s="1381" t="s">
        <v>2064</v>
      </c>
      <c r="I480" s="1381"/>
      <c r="J480" s="1381"/>
      <c r="K480" s="1381"/>
      <c r="L480" s="1381"/>
      <c r="M480" s="1381"/>
      <c r="N480" s="200"/>
      <c r="O480" s="199"/>
      <c r="P480" s="24"/>
      <c r="Q480" s="24"/>
      <c r="R480" s="24"/>
      <c r="S480" s="24"/>
      <c r="T480" s="24"/>
      <c r="U480" s="24"/>
      <c r="V480" s="24"/>
      <c r="W480" s="24"/>
      <c r="X480" s="24"/>
      <c r="Y480" s="24"/>
      <c r="Z480" s="24"/>
      <c r="AA480" s="24"/>
      <c r="AB480" s="200"/>
    </row>
    <row r="481" spans="1:28" ht="40.049999999999997" customHeight="1">
      <c r="A481" s="199"/>
      <c r="B481" s="1408" t="s">
        <v>2550</v>
      </c>
      <c r="C481" s="1408"/>
      <c r="D481" s="1408"/>
      <c r="E481" s="1408"/>
      <c r="F481" s="1408"/>
      <c r="G481" s="1408"/>
      <c r="H481" s="1409" t="s">
        <v>2551</v>
      </c>
      <c r="I481" s="1409"/>
      <c r="J481" s="1409"/>
      <c r="K481" s="1409"/>
      <c r="L481" s="1409"/>
      <c r="M481" s="1409"/>
      <c r="N481" s="200"/>
      <c r="O481" s="199"/>
      <c r="P481" s="24"/>
      <c r="Q481" s="24"/>
      <c r="R481" s="24"/>
      <c r="S481" s="24"/>
      <c r="T481" s="24"/>
      <c r="U481" s="24"/>
      <c r="V481" s="24"/>
      <c r="W481" s="24"/>
      <c r="X481" s="24"/>
      <c r="Y481" s="24"/>
      <c r="Z481" s="24"/>
      <c r="AA481" s="24"/>
      <c r="AB481" s="200"/>
    </row>
    <row r="482" spans="1:28" ht="4.95" customHeight="1">
      <c r="A482" s="199"/>
      <c r="B482" s="605"/>
      <c r="C482" s="605"/>
      <c r="D482" s="605"/>
      <c r="E482" s="605"/>
      <c r="F482" s="605"/>
      <c r="G482" s="605"/>
      <c r="H482" s="604"/>
      <c r="I482" s="604"/>
      <c r="J482" s="604"/>
      <c r="K482" s="604"/>
      <c r="L482" s="604"/>
      <c r="M482" s="604"/>
      <c r="N482" s="200"/>
      <c r="O482" s="199"/>
      <c r="P482" s="24"/>
      <c r="Q482" s="24"/>
      <c r="R482" s="24"/>
      <c r="S482" s="24"/>
      <c r="T482" s="24"/>
      <c r="U482" s="24"/>
      <c r="V482" s="24"/>
      <c r="W482" s="24"/>
      <c r="X482" s="24"/>
      <c r="Y482" s="24"/>
      <c r="Z482" s="24"/>
      <c r="AA482" s="24"/>
      <c r="AB482" s="200"/>
    </row>
    <row r="483" spans="1:28" ht="49.95" customHeight="1">
      <c r="A483" s="199"/>
      <c r="B483" s="1398" t="s">
        <v>2604</v>
      </c>
      <c r="C483" s="1398"/>
      <c r="D483" s="1398"/>
      <c r="E483" s="1398"/>
      <c r="F483" s="1398"/>
      <c r="G483" s="1398"/>
      <c r="H483" s="1397" t="s">
        <v>2605</v>
      </c>
      <c r="I483" s="1397"/>
      <c r="J483" s="1397"/>
      <c r="K483" s="1397"/>
      <c r="L483" s="1397"/>
      <c r="M483" s="1397"/>
      <c r="N483" s="200"/>
      <c r="O483" s="199"/>
      <c r="P483" s="24"/>
      <c r="Q483" s="24"/>
      <c r="R483" s="24"/>
      <c r="S483" s="24"/>
      <c r="T483" s="24"/>
      <c r="U483" s="24"/>
      <c r="V483" s="24"/>
      <c r="W483" s="24"/>
      <c r="X483" s="24"/>
      <c r="Y483" s="24"/>
      <c r="Z483" s="24"/>
      <c r="AA483" s="24"/>
      <c r="AB483" s="200"/>
    </row>
    <row r="484" spans="1:28" ht="4.95" customHeight="1">
      <c r="A484" s="199"/>
      <c r="B484" s="1398"/>
      <c r="C484" s="1398"/>
      <c r="D484" s="1398"/>
      <c r="E484" s="1398"/>
      <c r="F484" s="1398"/>
      <c r="G484" s="1398"/>
      <c r="H484" s="1397"/>
      <c r="I484" s="1397"/>
      <c r="J484" s="1397"/>
      <c r="K484" s="1397"/>
      <c r="L484" s="1397"/>
      <c r="M484" s="1397"/>
      <c r="N484" s="200"/>
      <c r="O484" s="199"/>
      <c r="P484" s="24"/>
      <c r="Q484" s="24"/>
      <c r="R484" s="24"/>
      <c r="S484" s="24"/>
      <c r="T484" s="24"/>
      <c r="U484" s="24"/>
      <c r="V484" s="24"/>
      <c r="W484" s="24"/>
      <c r="X484" s="24"/>
      <c r="Y484" s="24"/>
      <c r="Z484" s="24"/>
      <c r="AA484" s="24"/>
      <c r="AB484" s="200"/>
    </row>
    <row r="485" spans="1:28" ht="49.95" customHeight="1">
      <c r="A485" s="199"/>
      <c r="B485" s="1398" t="s">
        <v>2601</v>
      </c>
      <c r="C485" s="1398"/>
      <c r="D485" s="1398"/>
      <c r="E485" s="1398"/>
      <c r="F485" s="1398"/>
      <c r="G485" s="1398"/>
      <c r="H485" s="1397" t="s">
        <v>2600</v>
      </c>
      <c r="I485" s="1397"/>
      <c r="J485" s="1397"/>
      <c r="K485" s="1397"/>
      <c r="L485" s="1397"/>
      <c r="M485" s="1397"/>
      <c r="N485" s="200"/>
      <c r="O485" s="199"/>
      <c r="P485" s="24"/>
      <c r="Q485" s="24"/>
      <c r="R485" s="24"/>
      <c r="S485" s="24"/>
      <c r="T485" s="24"/>
      <c r="U485" s="24"/>
      <c r="V485" s="24"/>
      <c r="W485" s="24"/>
      <c r="X485" s="24"/>
      <c r="Y485" s="24"/>
      <c r="Z485" s="24"/>
      <c r="AA485" s="24"/>
      <c r="AB485" s="200"/>
    </row>
    <row r="486" spans="1:28" ht="4.95" customHeight="1">
      <c r="A486" s="199"/>
      <c r="B486" s="605"/>
      <c r="C486" s="605"/>
      <c r="D486" s="605"/>
      <c r="E486" s="605"/>
      <c r="F486" s="605"/>
      <c r="G486" s="605"/>
      <c r="H486" s="604"/>
      <c r="I486" s="604"/>
      <c r="J486" s="604"/>
      <c r="K486" s="604"/>
      <c r="L486" s="604"/>
      <c r="M486" s="604"/>
      <c r="N486" s="200"/>
      <c r="O486" s="199"/>
      <c r="P486" s="24"/>
      <c r="Q486" s="24"/>
      <c r="R486" s="24"/>
      <c r="S486" s="24"/>
      <c r="T486" s="24"/>
      <c r="U486" s="24"/>
      <c r="V486" s="24"/>
      <c r="W486" s="24"/>
      <c r="X486" s="24"/>
      <c r="Y486" s="24"/>
      <c r="Z486" s="24"/>
      <c r="AA486" s="24"/>
      <c r="AB486" s="200"/>
    </row>
    <row r="487" spans="1:28" ht="49.95" customHeight="1">
      <c r="A487" s="199"/>
      <c r="B487" s="1398" t="s">
        <v>2602</v>
      </c>
      <c r="C487" s="1398"/>
      <c r="D487" s="1398"/>
      <c r="E487" s="1398"/>
      <c r="F487" s="1398"/>
      <c r="G487" s="1398"/>
      <c r="H487" s="1397" t="s">
        <v>2603</v>
      </c>
      <c r="I487" s="1397"/>
      <c r="J487" s="1397"/>
      <c r="K487" s="1397"/>
      <c r="L487" s="1397"/>
      <c r="M487" s="1397"/>
      <c r="N487" s="200"/>
      <c r="O487" s="199"/>
      <c r="P487" s="24"/>
      <c r="Q487" s="24"/>
      <c r="R487" s="24"/>
      <c r="S487" s="24"/>
      <c r="T487" s="24"/>
      <c r="U487" s="24"/>
      <c r="V487" s="24"/>
      <c r="W487" s="24"/>
      <c r="X487" s="24"/>
      <c r="Y487" s="24"/>
      <c r="Z487" s="24"/>
      <c r="AA487" s="24"/>
      <c r="AB487" s="200"/>
    </row>
    <row r="488" spans="1:28" ht="4.95" customHeight="1">
      <c r="A488" s="199"/>
      <c r="B488" s="605"/>
      <c r="C488" s="605"/>
      <c r="D488" s="605"/>
      <c r="E488" s="605"/>
      <c r="F488" s="605"/>
      <c r="G488" s="605"/>
      <c r="H488" s="604"/>
      <c r="I488" s="604"/>
      <c r="J488" s="604"/>
      <c r="K488" s="604"/>
      <c r="L488" s="604"/>
      <c r="M488" s="604"/>
      <c r="N488" s="200"/>
      <c r="O488" s="199"/>
      <c r="P488" s="24"/>
      <c r="Q488" s="24"/>
      <c r="R488" s="24"/>
      <c r="S488" s="24"/>
      <c r="T488" s="24"/>
      <c r="U488" s="24"/>
      <c r="V488" s="24"/>
      <c r="W488" s="24"/>
      <c r="X488" s="24"/>
      <c r="Y488" s="24"/>
      <c r="Z488" s="24"/>
      <c r="AA488" s="24"/>
      <c r="AB488" s="200"/>
    </row>
    <row r="489" spans="1:28" ht="19.95" customHeight="1">
      <c r="A489" s="199"/>
      <c r="B489" s="601"/>
      <c r="C489" s="601"/>
      <c r="D489" s="601"/>
      <c r="E489" s="601"/>
      <c r="F489" s="601"/>
      <c r="G489" s="601"/>
      <c r="H489" s="601"/>
      <c r="I489" s="601"/>
      <c r="J489" s="601"/>
      <c r="K489" s="601"/>
      <c r="L489" s="601"/>
      <c r="M489" s="601"/>
      <c r="N489" s="200"/>
      <c r="O489" s="199"/>
      <c r="P489" s="24"/>
      <c r="Q489" s="24"/>
      <c r="R489" s="24"/>
      <c r="S489" s="24"/>
      <c r="T489" s="24"/>
      <c r="U489" s="24"/>
      <c r="V489" s="24"/>
      <c r="W489" s="24"/>
      <c r="X489" s="24"/>
      <c r="Y489" s="24"/>
      <c r="Z489" s="24"/>
      <c r="AA489" s="24"/>
      <c r="AB489" s="200"/>
    </row>
    <row r="490" spans="1:28" ht="19.95" customHeight="1">
      <c r="A490" s="199"/>
      <c r="B490" s="601"/>
      <c r="C490" s="601"/>
      <c r="D490" s="601"/>
      <c r="E490" s="601"/>
      <c r="F490" s="601"/>
      <c r="G490" s="601"/>
      <c r="H490" s="601"/>
      <c r="I490" s="601"/>
      <c r="J490" s="601"/>
      <c r="K490" s="601"/>
      <c r="L490" s="601"/>
      <c r="M490" s="601"/>
      <c r="N490" s="200"/>
      <c r="O490" s="199"/>
      <c r="P490" s="24"/>
      <c r="Q490" s="24"/>
      <c r="R490" s="24"/>
      <c r="S490" s="24"/>
      <c r="T490" s="24"/>
      <c r="U490" s="24"/>
      <c r="V490" s="24"/>
      <c r="W490" s="24"/>
      <c r="X490" s="24"/>
      <c r="Y490" s="24"/>
      <c r="Z490" s="24"/>
      <c r="AA490" s="24"/>
      <c r="AB490" s="200"/>
    </row>
    <row r="491" spans="1:28" ht="19.95" customHeight="1">
      <c r="A491" s="199"/>
      <c r="B491" s="601"/>
      <c r="C491" s="601"/>
      <c r="D491" s="601"/>
      <c r="E491" s="601"/>
      <c r="F491" s="601"/>
      <c r="G491" s="601"/>
      <c r="H491" s="601"/>
      <c r="I491" s="601"/>
      <c r="J491" s="601"/>
      <c r="K491" s="601"/>
      <c r="L491" s="601"/>
      <c r="M491" s="601"/>
      <c r="N491" s="200"/>
      <c r="O491" s="199"/>
      <c r="P491" s="24"/>
      <c r="Q491" s="24"/>
      <c r="R491" s="24"/>
      <c r="S491" s="24"/>
      <c r="T491" s="24"/>
      <c r="U491" s="24"/>
      <c r="V491" s="24"/>
      <c r="W491" s="24"/>
      <c r="X491" s="24"/>
      <c r="Y491" s="24"/>
      <c r="Z491" s="24"/>
      <c r="AA491" s="24"/>
      <c r="AB491" s="200"/>
    </row>
    <row r="492" spans="1:28">
      <c r="A492" s="201"/>
      <c r="B492" s="202"/>
      <c r="C492" s="202"/>
      <c r="D492" s="202"/>
      <c r="E492" s="202"/>
      <c r="F492" s="202"/>
      <c r="G492" s="202"/>
      <c r="H492" s="202"/>
      <c r="I492" s="202"/>
      <c r="J492" s="202"/>
      <c r="K492" s="202"/>
      <c r="L492" s="202"/>
      <c r="M492" s="202"/>
      <c r="N492" s="200"/>
      <c r="O492" s="199"/>
      <c r="P492" s="202"/>
      <c r="Q492" s="202"/>
      <c r="R492" s="202"/>
      <c r="S492" s="202"/>
      <c r="T492" s="202"/>
      <c r="U492" s="202"/>
      <c r="V492" s="202"/>
      <c r="W492" s="202"/>
      <c r="X492" s="202"/>
      <c r="Y492" s="202"/>
      <c r="Z492" s="202"/>
      <c r="AA492" s="202"/>
      <c r="AB492" s="203"/>
    </row>
    <row r="493" spans="1:28" ht="30" customHeight="1">
      <c r="A493" s="210" t="s">
        <v>1148</v>
      </c>
      <c r="B493" s="399" t="s">
        <v>3157</v>
      </c>
      <c r="C493" s="399"/>
      <c r="D493" s="399"/>
      <c r="E493" s="399"/>
      <c r="F493" s="399"/>
      <c r="G493" s="399"/>
      <c r="H493" s="399"/>
      <c r="I493" s="399"/>
      <c r="J493" s="399"/>
      <c r="K493" s="399"/>
      <c r="L493" s="399"/>
      <c r="M493" s="399"/>
      <c r="N493" s="211" t="s">
        <v>1149</v>
      </c>
      <c r="O493" s="210"/>
      <c r="P493" s="887"/>
      <c r="Q493" s="198"/>
      <c r="R493" s="198"/>
      <c r="S493" s="198"/>
      <c r="T493" s="198"/>
      <c r="U493" s="198"/>
      <c r="V493" s="198"/>
      <c r="W493" s="198"/>
      <c r="X493" s="198"/>
      <c r="Y493" s="198"/>
      <c r="Z493" s="198"/>
      <c r="AA493" s="198"/>
      <c r="AB493" s="211" t="s">
        <v>1149</v>
      </c>
    </row>
    <row r="494" spans="1:28" ht="10.050000000000001" customHeight="1">
      <c r="A494" s="199"/>
      <c r="B494" s="24"/>
      <c r="C494" s="24"/>
      <c r="D494" s="24"/>
      <c r="E494" s="24"/>
      <c r="F494" s="24"/>
      <c r="G494" s="24"/>
      <c r="H494" s="24"/>
      <c r="I494" s="24"/>
      <c r="J494" s="24"/>
      <c r="K494" s="24"/>
      <c r="L494" s="24"/>
      <c r="M494" s="24"/>
      <c r="N494" s="200"/>
      <c r="O494" s="199"/>
      <c r="P494" s="24"/>
      <c r="Q494" s="24"/>
      <c r="R494" s="24"/>
      <c r="S494" s="24"/>
      <c r="T494" s="24"/>
      <c r="U494" s="24"/>
      <c r="V494" s="24"/>
      <c r="W494" s="24"/>
      <c r="X494" s="24"/>
      <c r="Y494" s="24"/>
      <c r="Z494" s="24"/>
      <c r="AA494" s="24"/>
      <c r="AB494" s="200"/>
    </row>
    <row r="495" spans="1:28" ht="19.95" customHeight="1">
      <c r="A495" s="199"/>
      <c r="B495" s="690" t="s">
        <v>2552</v>
      </c>
      <c r="C495" s="397"/>
      <c r="D495" s="397"/>
      <c r="E495" s="397"/>
      <c r="F495" s="397"/>
      <c r="G495" s="397"/>
      <c r="H495" s="397"/>
      <c r="I495" s="397"/>
      <c r="J495" s="397"/>
      <c r="K495" s="397"/>
      <c r="L495" s="397"/>
      <c r="M495" s="397"/>
      <c r="N495" s="200"/>
      <c r="O495" s="199"/>
      <c r="P495" s="602"/>
      <c r="Q495" s="24"/>
      <c r="R495" s="24"/>
      <c r="S495" s="24"/>
      <c r="T495" s="24"/>
      <c r="U495" s="24"/>
      <c r="V495" s="24"/>
      <c r="W495" s="24"/>
      <c r="X495" s="24"/>
      <c r="Y495" s="24"/>
      <c r="Z495" s="24"/>
      <c r="AA495" s="24"/>
      <c r="AB495" s="200"/>
    </row>
    <row r="496" spans="1:28" ht="10.050000000000001" customHeight="1">
      <c r="A496" s="199"/>
      <c r="B496" s="397"/>
      <c r="C496" s="397"/>
      <c r="D496" s="397"/>
      <c r="E496" s="397"/>
      <c r="F496" s="397"/>
      <c r="G496" s="397"/>
      <c r="H496" s="397"/>
      <c r="I496" s="397"/>
      <c r="J496" s="397"/>
      <c r="K496" s="397"/>
      <c r="L496" s="397"/>
      <c r="M496" s="397"/>
      <c r="N496" s="200"/>
      <c r="O496" s="199"/>
      <c r="P496" s="24"/>
      <c r="Q496" s="24"/>
      <c r="R496" s="24"/>
      <c r="S496" s="24"/>
      <c r="T496" s="24"/>
      <c r="U496" s="24"/>
      <c r="V496" s="24"/>
      <c r="W496" s="24"/>
      <c r="X496" s="24"/>
      <c r="Y496" s="24"/>
      <c r="Z496" s="24"/>
      <c r="AA496" s="24"/>
      <c r="AB496" s="200"/>
    </row>
    <row r="497" spans="1:28" ht="19.95" customHeight="1">
      <c r="A497" s="199"/>
      <c r="B497" s="601"/>
      <c r="C497" s="601"/>
      <c r="D497" s="601"/>
      <c r="E497" s="601"/>
      <c r="F497" s="601"/>
      <c r="G497" s="601"/>
      <c r="H497" s="601"/>
      <c r="I497" s="601"/>
      <c r="J497" s="601"/>
      <c r="K497" s="601"/>
      <c r="L497" s="601"/>
      <c r="M497" s="601"/>
      <c r="N497" s="200"/>
      <c r="O497" s="199"/>
      <c r="P497" s="24"/>
      <c r="Q497" s="24"/>
      <c r="R497" s="24"/>
      <c r="S497" s="24"/>
      <c r="T497" s="24"/>
      <c r="U497" s="24"/>
      <c r="V497" s="24"/>
      <c r="W497" s="24"/>
      <c r="X497" s="24"/>
      <c r="Y497" s="24"/>
      <c r="Z497" s="24"/>
      <c r="AA497" s="24"/>
      <c r="AB497" s="200"/>
    </row>
    <row r="498" spans="1:28" ht="19.95" customHeight="1">
      <c r="A498" s="199"/>
      <c r="B498" s="601"/>
      <c r="C498" s="601"/>
      <c r="D498" s="601"/>
      <c r="E498" s="601"/>
      <c r="F498" s="601"/>
      <c r="G498" s="601"/>
      <c r="H498" s="601"/>
      <c r="I498" s="601"/>
      <c r="J498" s="601"/>
      <c r="K498" s="601"/>
      <c r="L498" s="601"/>
      <c r="M498" s="601"/>
      <c r="N498" s="200"/>
      <c r="O498" s="199"/>
      <c r="P498" s="24"/>
      <c r="Q498" s="24"/>
      <c r="R498" s="24"/>
      <c r="S498" s="24"/>
      <c r="T498" s="24"/>
      <c r="U498" s="24"/>
      <c r="V498" s="24"/>
      <c r="W498" s="24"/>
      <c r="X498" s="24"/>
      <c r="Y498" s="24"/>
      <c r="Z498" s="24"/>
      <c r="AA498" s="24"/>
      <c r="AB498" s="200"/>
    </row>
    <row r="499" spans="1:28" ht="19.95" customHeight="1">
      <c r="A499" s="199"/>
      <c r="B499" s="601"/>
      <c r="C499" s="601"/>
      <c r="D499" s="601"/>
      <c r="E499" s="601"/>
      <c r="F499" s="601"/>
      <c r="G499" s="601"/>
      <c r="H499" s="601"/>
      <c r="I499" s="601"/>
      <c r="J499" s="601"/>
      <c r="K499" s="601"/>
      <c r="L499" s="601"/>
      <c r="M499" s="601"/>
      <c r="N499" s="200"/>
      <c r="O499" s="199"/>
      <c r="P499" s="24"/>
      <c r="Q499" s="24"/>
      <c r="R499" s="24"/>
      <c r="S499" s="24"/>
      <c r="T499" s="24"/>
      <c r="U499" s="24"/>
      <c r="V499" s="24"/>
      <c r="W499" s="24"/>
      <c r="X499" s="24"/>
      <c r="Y499" s="24"/>
      <c r="Z499" s="24"/>
      <c r="AA499" s="24"/>
      <c r="AB499" s="200"/>
    </row>
    <row r="500" spans="1:28" ht="19.95" customHeight="1">
      <c r="A500" s="199"/>
      <c r="B500" s="601"/>
      <c r="C500" s="601"/>
      <c r="D500" s="601"/>
      <c r="E500" s="601"/>
      <c r="F500" s="601"/>
      <c r="G500" s="601"/>
      <c r="H500" s="601"/>
      <c r="I500" s="601"/>
      <c r="J500" s="601"/>
      <c r="K500" s="601"/>
      <c r="L500" s="601"/>
      <c r="M500" s="601"/>
      <c r="N500" s="200"/>
      <c r="O500" s="199"/>
      <c r="P500" s="24"/>
      <c r="Q500" s="24"/>
      <c r="R500" s="24"/>
      <c r="S500" s="24"/>
      <c r="T500" s="24"/>
      <c r="U500" s="24"/>
      <c r="V500" s="24"/>
      <c r="W500" s="24"/>
      <c r="X500" s="24"/>
      <c r="Y500" s="24"/>
      <c r="Z500" s="24"/>
      <c r="AA500" s="24"/>
      <c r="AB500" s="200"/>
    </row>
    <row r="501" spans="1:28" ht="4.95" customHeight="1">
      <c r="A501" s="199"/>
      <c r="B501" s="24"/>
      <c r="C501" s="24"/>
      <c r="D501" s="24"/>
      <c r="E501" s="24"/>
      <c r="F501" s="24"/>
      <c r="G501" s="24"/>
      <c r="H501" s="24"/>
      <c r="I501" s="24"/>
      <c r="J501" s="24"/>
      <c r="K501" s="24"/>
      <c r="L501" s="24"/>
      <c r="M501" s="24"/>
      <c r="N501" s="200"/>
      <c r="O501" s="199"/>
      <c r="P501" s="24"/>
      <c r="Q501" s="24"/>
      <c r="R501" s="24"/>
      <c r="S501" s="24"/>
      <c r="T501" s="24"/>
      <c r="U501" s="24"/>
      <c r="V501" s="24"/>
      <c r="W501" s="24"/>
      <c r="X501" s="24"/>
      <c r="Y501" s="24"/>
      <c r="Z501" s="24"/>
      <c r="AA501" s="24"/>
      <c r="AB501" s="200"/>
    </row>
    <row r="502" spans="1:28" ht="19.95" customHeight="1">
      <c r="A502" s="199"/>
      <c r="B502" s="601"/>
      <c r="C502" s="601"/>
      <c r="D502" s="601"/>
      <c r="E502" s="601"/>
      <c r="F502" s="601"/>
      <c r="G502" s="601"/>
      <c r="H502" s="601"/>
      <c r="I502" s="601"/>
      <c r="J502" s="601"/>
      <c r="K502" s="601"/>
      <c r="L502" s="601"/>
      <c r="M502" s="601"/>
      <c r="N502" s="200"/>
      <c r="O502" s="199"/>
      <c r="P502" s="24"/>
      <c r="Q502" s="24"/>
      <c r="R502" s="24"/>
      <c r="S502" s="24"/>
      <c r="T502" s="24"/>
      <c r="U502" s="24"/>
      <c r="V502" s="24"/>
      <c r="W502" s="24"/>
      <c r="X502" s="24"/>
      <c r="Y502" s="24"/>
      <c r="Z502" s="24"/>
      <c r="AA502" s="24"/>
      <c r="AB502" s="200"/>
    </row>
    <row r="503" spans="1:28" ht="19.95" customHeight="1">
      <c r="A503" s="199"/>
      <c r="B503" s="601"/>
      <c r="C503" s="601"/>
      <c r="D503" s="601"/>
      <c r="E503" s="601"/>
      <c r="F503" s="601"/>
      <c r="G503" s="601"/>
      <c r="H503" s="601"/>
      <c r="I503" s="601"/>
      <c r="J503" s="601"/>
      <c r="K503" s="601"/>
      <c r="L503" s="601"/>
      <c r="M503" s="601"/>
      <c r="N503" s="200"/>
      <c r="O503" s="199"/>
      <c r="P503" s="24"/>
      <c r="Q503" s="24"/>
      <c r="R503" s="24"/>
      <c r="S503" s="24"/>
      <c r="T503" s="24"/>
      <c r="U503" s="24"/>
      <c r="V503" s="24"/>
      <c r="W503" s="24"/>
      <c r="X503" s="24"/>
      <c r="Y503" s="24"/>
      <c r="Z503" s="24"/>
      <c r="AA503" s="24"/>
      <c r="AB503" s="200"/>
    </row>
    <row r="504" spans="1:28" ht="19.95" customHeight="1">
      <c r="A504" s="199"/>
      <c r="B504" s="601"/>
      <c r="C504" s="601"/>
      <c r="D504" s="601"/>
      <c r="E504" s="601"/>
      <c r="F504" s="601"/>
      <c r="G504" s="601"/>
      <c r="H504" s="601"/>
      <c r="I504" s="601"/>
      <c r="J504" s="601"/>
      <c r="K504" s="601"/>
      <c r="L504" s="601"/>
      <c r="M504" s="601"/>
      <c r="N504" s="200"/>
      <c r="O504" s="199"/>
      <c r="P504" s="24"/>
      <c r="Q504" s="24"/>
      <c r="R504" s="24"/>
      <c r="S504" s="24"/>
      <c r="T504" s="24"/>
      <c r="U504" s="24"/>
      <c r="V504" s="24"/>
      <c r="W504" s="24"/>
      <c r="X504" s="24"/>
      <c r="Y504" s="24"/>
      <c r="Z504" s="24"/>
      <c r="AA504" s="24"/>
      <c r="AB504" s="200"/>
    </row>
    <row r="505" spans="1:28" ht="19.95" customHeight="1">
      <c r="A505" s="199"/>
      <c r="B505" s="601"/>
      <c r="C505" s="601"/>
      <c r="D505" s="601"/>
      <c r="E505" s="601"/>
      <c r="F505" s="601"/>
      <c r="G505" s="601"/>
      <c r="H505" s="601"/>
      <c r="I505" s="601"/>
      <c r="J505" s="601"/>
      <c r="K505" s="601"/>
      <c r="L505" s="601"/>
      <c r="M505" s="601"/>
      <c r="N505" s="200"/>
      <c r="O505" s="199"/>
      <c r="P505" s="24"/>
      <c r="Q505" s="24"/>
      <c r="R505" s="24"/>
      <c r="S505" s="24"/>
      <c r="T505" s="24"/>
      <c r="U505" s="24"/>
      <c r="V505" s="24"/>
      <c r="W505" s="24"/>
      <c r="X505" s="24"/>
      <c r="Y505" s="24"/>
      <c r="Z505" s="24"/>
      <c r="AA505" s="24"/>
      <c r="AB505" s="200"/>
    </row>
    <row r="506" spans="1:28" ht="19.95" customHeight="1">
      <c r="A506" s="199"/>
      <c r="B506" s="601"/>
      <c r="C506" s="601"/>
      <c r="D506" s="601"/>
      <c r="E506" s="601"/>
      <c r="F506" s="601"/>
      <c r="G506" s="601"/>
      <c r="H506" s="601"/>
      <c r="I506" s="601"/>
      <c r="J506" s="601"/>
      <c r="K506" s="601"/>
      <c r="L506" s="601"/>
      <c r="M506" s="601"/>
      <c r="N506" s="200"/>
      <c r="O506" s="199"/>
      <c r="P506" s="24"/>
      <c r="Q506" s="24"/>
      <c r="R506" s="24"/>
      <c r="S506" s="24"/>
      <c r="T506" s="24"/>
      <c r="U506" s="24"/>
      <c r="V506" s="24"/>
      <c r="W506" s="24"/>
      <c r="X506" s="24"/>
      <c r="Y506" s="24"/>
      <c r="Z506" s="24"/>
      <c r="AA506" s="24"/>
      <c r="AB506" s="200"/>
    </row>
    <row r="507" spans="1:28" ht="19.95" customHeight="1">
      <c r="A507" s="199"/>
      <c r="B507" s="601"/>
      <c r="C507" s="601"/>
      <c r="D507" s="601"/>
      <c r="E507" s="601"/>
      <c r="F507" s="601"/>
      <c r="G507" s="601"/>
      <c r="H507" s="601"/>
      <c r="I507" s="601"/>
      <c r="J507" s="601"/>
      <c r="K507" s="601"/>
      <c r="L507" s="601"/>
      <c r="M507" s="601"/>
      <c r="N507" s="200"/>
      <c r="O507" s="199"/>
      <c r="P507" s="24"/>
      <c r="Q507" s="24"/>
      <c r="R507" s="24"/>
      <c r="S507" s="24"/>
      <c r="T507" s="24"/>
      <c r="U507" s="24"/>
      <c r="V507" s="24"/>
      <c r="W507" s="24"/>
      <c r="X507" s="24"/>
      <c r="Y507" s="24"/>
      <c r="Z507" s="24"/>
      <c r="AA507" s="24"/>
      <c r="AB507" s="200"/>
    </row>
    <row r="508" spans="1:28" ht="4.95" customHeight="1">
      <c r="A508" s="199"/>
      <c r="B508" s="24"/>
      <c r="C508" s="24"/>
      <c r="D508" s="24"/>
      <c r="E508" s="24"/>
      <c r="F508" s="24"/>
      <c r="G508" s="24"/>
      <c r="H508" s="24"/>
      <c r="I508" s="24"/>
      <c r="J508" s="24"/>
      <c r="K508" s="24"/>
      <c r="L508" s="24"/>
      <c r="M508" s="24"/>
      <c r="N508" s="200"/>
      <c r="O508" s="199"/>
      <c r="P508" s="24"/>
      <c r="Q508" s="24"/>
      <c r="R508" s="24"/>
      <c r="S508" s="24"/>
      <c r="T508" s="24"/>
      <c r="U508" s="24"/>
      <c r="V508" s="24"/>
      <c r="W508" s="24"/>
      <c r="X508" s="24"/>
      <c r="Y508" s="24"/>
      <c r="Z508" s="24"/>
      <c r="AA508" s="24"/>
      <c r="AB508" s="200"/>
    </row>
    <row r="509" spans="1:28" ht="19.95" customHeight="1">
      <c r="A509" s="199"/>
      <c r="B509" s="601"/>
      <c r="C509" s="601"/>
      <c r="D509" s="601"/>
      <c r="E509" s="601"/>
      <c r="F509" s="601"/>
      <c r="G509" s="601"/>
      <c r="H509" s="601"/>
      <c r="I509" s="601"/>
      <c r="J509" s="601"/>
      <c r="K509" s="601"/>
      <c r="L509" s="601"/>
      <c r="M509" s="601"/>
      <c r="N509" s="200"/>
      <c r="O509" s="199"/>
      <c r="P509" s="24"/>
      <c r="Q509" s="24"/>
      <c r="R509" s="24"/>
      <c r="S509" s="24"/>
      <c r="T509" s="24"/>
      <c r="U509" s="24"/>
      <c r="V509" s="24"/>
      <c r="W509" s="24"/>
      <c r="X509" s="24"/>
      <c r="Y509" s="24"/>
      <c r="Z509" s="24"/>
      <c r="AA509" s="24"/>
      <c r="AB509" s="200"/>
    </row>
    <row r="510" spans="1:28" ht="19.95" customHeight="1">
      <c r="A510" s="199"/>
      <c r="B510" s="601"/>
      <c r="C510" s="601"/>
      <c r="D510" s="601"/>
      <c r="E510" s="601"/>
      <c r="F510" s="601"/>
      <c r="G510" s="601"/>
      <c r="H510" s="601"/>
      <c r="I510" s="601"/>
      <c r="J510" s="601"/>
      <c r="K510" s="601"/>
      <c r="L510" s="601"/>
      <c r="M510" s="601"/>
      <c r="N510" s="200"/>
      <c r="O510" s="199"/>
      <c r="P510" s="24"/>
      <c r="Q510" s="24"/>
      <c r="R510" s="24"/>
      <c r="S510" s="24"/>
      <c r="T510" s="24"/>
      <c r="U510" s="24"/>
      <c r="V510" s="24"/>
      <c r="W510" s="24"/>
      <c r="X510" s="24"/>
      <c r="Y510" s="24"/>
      <c r="Z510" s="24"/>
      <c r="AA510" s="24"/>
      <c r="AB510" s="200"/>
    </row>
    <row r="511" spans="1:28" ht="19.95" customHeight="1">
      <c r="A511" s="199"/>
      <c r="B511" s="601"/>
      <c r="C511" s="601"/>
      <c r="D511" s="601"/>
      <c r="E511" s="601"/>
      <c r="F511" s="601"/>
      <c r="G511" s="601"/>
      <c r="H511" s="601"/>
      <c r="I511" s="601"/>
      <c r="J511" s="601"/>
      <c r="K511" s="601"/>
      <c r="L511" s="601"/>
      <c r="M511" s="601"/>
      <c r="N511" s="200"/>
      <c r="O511" s="199"/>
      <c r="P511" s="24"/>
      <c r="Q511" s="24"/>
      <c r="R511" s="24"/>
      <c r="S511" s="24"/>
      <c r="T511" s="24"/>
      <c r="U511" s="24"/>
      <c r="V511" s="24"/>
      <c r="W511" s="24"/>
      <c r="X511" s="24"/>
      <c r="Y511" s="24"/>
      <c r="Z511" s="24"/>
      <c r="AA511" s="24"/>
      <c r="AB511" s="200"/>
    </row>
    <row r="512" spans="1:28" ht="19.95" customHeight="1">
      <c r="A512" s="199"/>
      <c r="B512" s="601"/>
      <c r="C512" s="601"/>
      <c r="D512" s="601"/>
      <c r="E512" s="601"/>
      <c r="F512" s="601"/>
      <c r="G512" s="601"/>
      <c r="H512" s="601"/>
      <c r="I512" s="601"/>
      <c r="J512" s="601"/>
      <c r="K512" s="601"/>
      <c r="L512" s="601"/>
      <c r="M512" s="601"/>
      <c r="N512" s="200"/>
      <c r="O512" s="199"/>
      <c r="P512" s="24"/>
      <c r="Q512" s="24"/>
      <c r="R512" s="24"/>
      <c r="S512" s="24"/>
      <c r="T512" s="24"/>
      <c r="U512" s="24"/>
      <c r="V512" s="24"/>
      <c r="W512" s="24"/>
      <c r="X512" s="24"/>
      <c r="Y512" s="24"/>
      <c r="Z512" s="24"/>
      <c r="AA512" s="24"/>
      <c r="AB512" s="200"/>
    </row>
    <row r="513" spans="1:28" ht="19.95" customHeight="1">
      <c r="A513" s="199"/>
      <c r="B513" s="601"/>
      <c r="C513" s="601"/>
      <c r="D513" s="601"/>
      <c r="E513" s="601"/>
      <c r="F513" s="601"/>
      <c r="G513" s="601"/>
      <c r="H513" s="601"/>
      <c r="I513" s="601"/>
      <c r="J513" s="601"/>
      <c r="K513" s="601"/>
      <c r="L513" s="601"/>
      <c r="M513" s="601"/>
      <c r="N513" s="200"/>
      <c r="O513" s="199"/>
      <c r="P513" s="24"/>
      <c r="Q513" s="24"/>
      <c r="R513" s="24"/>
      <c r="S513" s="24"/>
      <c r="T513" s="24"/>
      <c r="U513" s="24"/>
      <c r="V513" s="24"/>
      <c r="W513" s="24"/>
      <c r="X513" s="24"/>
      <c r="Y513" s="24"/>
      <c r="Z513" s="24"/>
      <c r="AA513" s="24"/>
      <c r="AB513" s="200"/>
    </row>
    <row r="514" spans="1:28" ht="19.95" customHeight="1">
      <c r="A514" s="199"/>
      <c r="B514" s="601"/>
      <c r="C514" s="601"/>
      <c r="D514" s="601"/>
      <c r="E514" s="601"/>
      <c r="F514" s="601"/>
      <c r="G514" s="601"/>
      <c r="H514" s="601"/>
      <c r="I514" s="601"/>
      <c r="J514" s="601"/>
      <c r="K514" s="601"/>
      <c r="L514" s="601"/>
      <c r="M514" s="601"/>
      <c r="N514" s="200"/>
      <c r="O514" s="199"/>
      <c r="P514" s="24"/>
      <c r="Q514" s="24"/>
      <c r="R514" s="24"/>
      <c r="S514" s="24"/>
      <c r="T514" s="24"/>
      <c r="U514" s="24"/>
      <c r="V514" s="24"/>
      <c r="W514" s="24"/>
      <c r="X514" s="24"/>
      <c r="Y514" s="24"/>
      <c r="Z514" s="24"/>
      <c r="AA514" s="24"/>
      <c r="AB514" s="200"/>
    </row>
    <row r="515" spans="1:28" ht="19.95" customHeight="1">
      <c r="A515" s="199"/>
      <c r="B515" s="601"/>
      <c r="C515" s="601"/>
      <c r="D515" s="601"/>
      <c r="E515" s="601"/>
      <c r="F515" s="601"/>
      <c r="G515" s="601"/>
      <c r="H515" s="601"/>
      <c r="I515" s="601"/>
      <c r="J515" s="601"/>
      <c r="K515" s="601"/>
      <c r="L515" s="601"/>
      <c r="M515" s="601"/>
      <c r="N515" s="200"/>
      <c r="O515" s="199"/>
      <c r="P515" s="24"/>
      <c r="Q515" s="24"/>
      <c r="R515" s="24"/>
      <c r="S515" s="24"/>
      <c r="T515" s="24"/>
      <c r="U515" s="24"/>
      <c r="V515" s="24"/>
      <c r="W515" s="24"/>
      <c r="X515" s="24"/>
      <c r="Y515" s="24"/>
      <c r="Z515" s="24"/>
      <c r="AA515" s="24"/>
      <c r="AB515" s="200"/>
    </row>
    <row r="516" spans="1:28" ht="19.95" customHeight="1">
      <c r="A516" s="199"/>
      <c r="B516" s="601"/>
      <c r="C516" s="601"/>
      <c r="D516" s="601"/>
      <c r="E516" s="601"/>
      <c r="F516" s="601"/>
      <c r="G516" s="601"/>
      <c r="H516" s="601"/>
      <c r="I516" s="601"/>
      <c r="J516" s="601"/>
      <c r="K516" s="601"/>
      <c r="L516" s="601"/>
      <c r="M516" s="601"/>
      <c r="N516" s="200"/>
      <c r="O516" s="199"/>
      <c r="P516" s="24"/>
      <c r="Q516" s="24"/>
      <c r="R516" s="24"/>
      <c r="S516" s="24"/>
      <c r="T516" s="24"/>
      <c r="U516" s="24"/>
      <c r="V516" s="24"/>
      <c r="W516" s="24"/>
      <c r="X516" s="24"/>
      <c r="Y516" s="24"/>
      <c r="Z516" s="24"/>
      <c r="AA516" s="24"/>
      <c r="AB516" s="200"/>
    </row>
    <row r="517" spans="1:28" ht="19.95" customHeight="1">
      <c r="A517" s="199"/>
      <c r="B517" s="601"/>
      <c r="C517" s="601"/>
      <c r="D517" s="601"/>
      <c r="E517" s="601"/>
      <c r="F517" s="601"/>
      <c r="G517" s="601"/>
      <c r="H517" s="601"/>
      <c r="I517" s="601"/>
      <c r="J517" s="601"/>
      <c r="K517" s="601"/>
      <c r="L517" s="601"/>
      <c r="M517" s="601"/>
      <c r="N517" s="200"/>
      <c r="O517" s="199"/>
      <c r="P517" s="24"/>
      <c r="Q517" s="24"/>
      <c r="R517" s="24"/>
      <c r="S517" s="24"/>
      <c r="T517" s="24"/>
      <c r="U517" s="24"/>
      <c r="V517" s="24"/>
      <c r="W517" s="24"/>
      <c r="X517" s="24"/>
      <c r="Y517" s="24"/>
      <c r="Z517" s="24"/>
      <c r="AA517" s="24"/>
      <c r="AB517" s="200"/>
    </row>
    <row r="518" spans="1:28" ht="19.95" customHeight="1">
      <c r="A518" s="199"/>
      <c r="B518" s="601"/>
      <c r="C518" s="601"/>
      <c r="D518" s="601"/>
      <c r="E518" s="601"/>
      <c r="F518" s="601"/>
      <c r="G518" s="601"/>
      <c r="H518" s="601"/>
      <c r="I518" s="601"/>
      <c r="J518" s="601"/>
      <c r="K518" s="601"/>
      <c r="L518" s="601"/>
      <c r="M518" s="601"/>
      <c r="N518" s="200"/>
      <c r="O518" s="199"/>
      <c r="P518" s="24"/>
      <c r="Q518" s="24"/>
      <c r="R518" s="24"/>
      <c r="S518" s="24"/>
      <c r="T518" s="24"/>
      <c r="U518" s="24"/>
      <c r="V518" s="24"/>
      <c r="W518" s="24"/>
      <c r="X518" s="24"/>
      <c r="Y518" s="24"/>
      <c r="Z518" s="24"/>
      <c r="AA518" s="24"/>
      <c r="AB518" s="200"/>
    </row>
    <row r="519" spans="1:28" ht="19.95" customHeight="1">
      <c r="A519" s="199"/>
      <c r="B519" s="601"/>
      <c r="C519" s="601"/>
      <c r="D519" s="601"/>
      <c r="E519" s="601"/>
      <c r="F519" s="601"/>
      <c r="G519" s="601"/>
      <c r="H519" s="601"/>
      <c r="I519" s="601"/>
      <c r="J519" s="601"/>
      <c r="K519" s="601"/>
      <c r="L519" s="601"/>
      <c r="M519" s="601"/>
      <c r="N519" s="200"/>
      <c r="O519" s="199"/>
      <c r="P519" s="24"/>
      <c r="Q519" s="24"/>
      <c r="R519" s="24"/>
      <c r="S519" s="24"/>
      <c r="T519" s="24"/>
      <c r="U519" s="24"/>
      <c r="V519" s="24"/>
      <c r="W519" s="24"/>
      <c r="X519" s="24"/>
      <c r="Y519" s="24"/>
      <c r="Z519" s="24"/>
      <c r="AA519" s="24"/>
      <c r="AB519" s="200"/>
    </row>
    <row r="520" spans="1:28" ht="19.95" customHeight="1">
      <c r="A520" s="199"/>
      <c r="B520" s="601"/>
      <c r="C520" s="601"/>
      <c r="D520" s="601"/>
      <c r="E520" s="601"/>
      <c r="F520" s="601"/>
      <c r="G520" s="601"/>
      <c r="H520" s="601"/>
      <c r="I520" s="601"/>
      <c r="J520" s="601"/>
      <c r="K520" s="601"/>
      <c r="L520" s="601"/>
      <c r="M520" s="601"/>
      <c r="N520" s="200"/>
      <c r="O520" s="199"/>
      <c r="P520" s="24"/>
      <c r="Q520" s="24"/>
      <c r="R520" s="24"/>
      <c r="S520" s="24"/>
      <c r="T520" s="24"/>
      <c r="U520" s="24"/>
      <c r="V520" s="24"/>
      <c r="W520" s="24"/>
      <c r="X520" s="24"/>
      <c r="Y520" s="24"/>
      <c r="Z520" s="24"/>
      <c r="AA520" s="24"/>
      <c r="AB520" s="200"/>
    </row>
    <row r="521" spans="1:28" ht="19.95" customHeight="1">
      <c r="A521" s="199"/>
      <c r="B521" s="601"/>
      <c r="C521" s="601"/>
      <c r="D521" s="601"/>
      <c r="E521" s="601"/>
      <c r="F521" s="601"/>
      <c r="G521" s="601"/>
      <c r="H521" s="601"/>
      <c r="I521" s="601"/>
      <c r="J521" s="601"/>
      <c r="K521" s="601"/>
      <c r="L521" s="601"/>
      <c r="M521" s="601"/>
      <c r="N521" s="200"/>
      <c r="O521" s="199"/>
      <c r="P521" s="24"/>
      <c r="Q521" s="24"/>
      <c r="R521" s="24"/>
      <c r="S521" s="24"/>
      <c r="T521" s="24"/>
      <c r="U521" s="24"/>
      <c r="V521" s="24"/>
      <c r="W521" s="24"/>
      <c r="X521" s="24"/>
      <c r="Y521" s="24"/>
      <c r="Z521" s="24"/>
      <c r="AA521" s="24"/>
      <c r="AB521" s="200"/>
    </row>
    <row r="522" spans="1:28" ht="4.95" customHeight="1">
      <c r="A522" s="199"/>
      <c r="B522" s="24"/>
      <c r="C522" s="24"/>
      <c r="D522" s="24"/>
      <c r="E522" s="24"/>
      <c r="F522" s="24"/>
      <c r="G522" s="24"/>
      <c r="H522" s="24"/>
      <c r="I522" s="24"/>
      <c r="J522" s="24"/>
      <c r="K522" s="24"/>
      <c r="L522" s="24"/>
      <c r="M522" s="24"/>
      <c r="N522" s="200"/>
      <c r="O522" s="199"/>
      <c r="P522" s="24"/>
      <c r="Q522" s="24"/>
      <c r="R522" s="24"/>
      <c r="S522" s="24"/>
      <c r="T522" s="24"/>
      <c r="U522" s="24"/>
      <c r="V522" s="24"/>
      <c r="W522" s="24"/>
      <c r="X522" s="24"/>
      <c r="Y522" s="24"/>
      <c r="Z522" s="24"/>
      <c r="AA522" s="24"/>
      <c r="AB522" s="200"/>
    </row>
    <row r="523" spans="1:28" ht="19.95" customHeight="1">
      <c r="A523" s="199"/>
      <c r="B523" s="601"/>
      <c r="C523" s="601"/>
      <c r="D523" s="601"/>
      <c r="E523" s="601"/>
      <c r="F523" s="601"/>
      <c r="G523" s="601"/>
      <c r="H523" s="601"/>
      <c r="I523" s="601"/>
      <c r="J523" s="601"/>
      <c r="K523" s="601"/>
      <c r="L523" s="601"/>
      <c r="M523" s="601"/>
      <c r="N523" s="200"/>
      <c r="O523" s="199"/>
      <c r="P523" s="24"/>
      <c r="Q523" s="24"/>
      <c r="R523" s="24"/>
      <c r="S523" s="24"/>
      <c r="T523" s="24"/>
      <c r="U523" s="24"/>
      <c r="V523" s="24"/>
      <c r="W523" s="24"/>
      <c r="X523" s="24"/>
      <c r="Y523" s="24"/>
      <c r="Z523" s="24"/>
      <c r="AA523" s="24"/>
      <c r="AB523" s="200"/>
    </row>
    <row r="524" spans="1:28" ht="19.95" customHeight="1">
      <c r="A524" s="199"/>
      <c r="B524" s="601"/>
      <c r="C524" s="601"/>
      <c r="D524" s="601"/>
      <c r="E524" s="601"/>
      <c r="F524" s="601"/>
      <c r="G524" s="601"/>
      <c r="H524" s="601"/>
      <c r="I524" s="601"/>
      <c r="J524" s="601"/>
      <c r="K524" s="601"/>
      <c r="L524" s="601"/>
      <c r="M524" s="601"/>
      <c r="N524" s="200"/>
      <c r="O524" s="199"/>
      <c r="P524" s="24"/>
      <c r="Q524" s="24"/>
      <c r="R524" s="24"/>
      <c r="S524" s="24"/>
      <c r="T524" s="24"/>
      <c r="U524" s="24"/>
      <c r="V524" s="24"/>
      <c r="W524" s="24"/>
      <c r="X524" s="24"/>
      <c r="Y524" s="24"/>
      <c r="Z524" s="24"/>
      <c r="AA524" s="24"/>
      <c r="AB524" s="200"/>
    </row>
    <row r="525" spans="1:28" ht="19.95" customHeight="1">
      <c r="A525" s="199"/>
      <c r="B525" s="601"/>
      <c r="C525" s="601"/>
      <c r="D525" s="601"/>
      <c r="E525" s="601"/>
      <c r="F525" s="601"/>
      <c r="G525" s="601"/>
      <c r="H525" s="601"/>
      <c r="I525" s="601"/>
      <c r="J525" s="601"/>
      <c r="K525" s="601"/>
      <c r="L525" s="601"/>
      <c r="M525" s="601"/>
      <c r="N525" s="200"/>
      <c r="O525" s="199"/>
      <c r="P525" s="24"/>
      <c r="Q525" s="24"/>
      <c r="R525" s="24"/>
      <c r="S525" s="24"/>
      <c r="T525" s="24"/>
      <c r="U525" s="24"/>
      <c r="V525" s="24"/>
      <c r="W525" s="24"/>
      <c r="X525" s="24"/>
      <c r="Y525" s="24"/>
      <c r="Z525" s="24"/>
      <c r="AA525" s="24"/>
      <c r="AB525" s="200"/>
    </row>
    <row r="526" spans="1:28" ht="19.95" customHeight="1">
      <c r="A526" s="199"/>
      <c r="B526" s="601"/>
      <c r="C526" s="601"/>
      <c r="D526" s="601"/>
      <c r="E526" s="601"/>
      <c r="F526" s="601"/>
      <c r="G526" s="601"/>
      <c r="H526" s="601"/>
      <c r="I526" s="601"/>
      <c r="J526" s="601"/>
      <c r="K526" s="601"/>
      <c r="L526" s="601"/>
      <c r="M526" s="601"/>
      <c r="N526" s="200"/>
      <c r="O526" s="199"/>
      <c r="P526" s="24"/>
      <c r="Q526" s="24"/>
      <c r="R526" s="24"/>
      <c r="S526" s="24"/>
      <c r="T526" s="24"/>
      <c r="U526" s="24"/>
      <c r="V526" s="24"/>
      <c r="W526" s="24"/>
      <c r="X526" s="24"/>
      <c r="Y526" s="24"/>
      <c r="Z526" s="24"/>
      <c r="AA526" s="24"/>
      <c r="AB526" s="200"/>
    </row>
    <row r="527" spans="1:28" ht="19.95" customHeight="1">
      <c r="A527" s="199"/>
      <c r="B527" s="601"/>
      <c r="C527" s="601"/>
      <c r="D527" s="601"/>
      <c r="E527" s="601"/>
      <c r="F527" s="601"/>
      <c r="G527" s="601"/>
      <c r="H527" s="601"/>
      <c r="I527" s="601"/>
      <c r="J527" s="601"/>
      <c r="K527" s="601"/>
      <c r="L527" s="601"/>
      <c r="M527" s="601"/>
      <c r="N527" s="200"/>
      <c r="O527" s="199"/>
      <c r="P527" s="24"/>
      <c r="Q527" s="24"/>
      <c r="R527" s="24"/>
      <c r="S527" s="24"/>
      <c r="T527" s="24"/>
      <c r="U527" s="24"/>
      <c r="V527" s="24"/>
      <c r="W527" s="24"/>
      <c r="X527" s="24"/>
      <c r="Y527" s="24"/>
      <c r="Z527" s="24"/>
      <c r="AA527" s="24"/>
      <c r="AB527" s="200"/>
    </row>
    <row r="528" spans="1:28" ht="4.95" customHeight="1">
      <c r="A528" s="199"/>
      <c r="B528" s="24"/>
      <c r="C528" s="24"/>
      <c r="D528" s="24"/>
      <c r="E528" s="24"/>
      <c r="F528" s="24"/>
      <c r="G528" s="24"/>
      <c r="H528" s="24"/>
      <c r="I528" s="24"/>
      <c r="J528" s="24"/>
      <c r="K528" s="24"/>
      <c r="L528" s="24"/>
      <c r="M528" s="24"/>
      <c r="N528" s="200"/>
      <c r="O528" s="199"/>
      <c r="P528" s="24"/>
      <c r="Q528" s="24"/>
      <c r="R528" s="24"/>
      <c r="S528" s="24"/>
      <c r="T528" s="24"/>
      <c r="U528" s="24"/>
      <c r="V528" s="24"/>
      <c r="W528" s="24"/>
      <c r="X528" s="24"/>
      <c r="Y528" s="24"/>
      <c r="Z528" s="24"/>
      <c r="AA528" s="24"/>
      <c r="AB528" s="200"/>
    </row>
    <row r="529" spans="1:28" ht="13.8" customHeight="1">
      <c r="A529" s="201"/>
      <c r="B529" s="24"/>
      <c r="C529" s="24"/>
      <c r="D529" s="24"/>
      <c r="E529" s="24"/>
      <c r="F529" s="24"/>
      <c r="G529" s="24"/>
      <c r="H529" s="24"/>
      <c r="I529" s="24"/>
      <c r="J529" s="24"/>
      <c r="K529" s="24"/>
      <c r="L529" s="24"/>
      <c r="M529" s="24"/>
      <c r="N529" s="200"/>
      <c r="O529" s="199"/>
      <c r="P529" s="24"/>
      <c r="Q529" s="24"/>
      <c r="R529" s="24"/>
      <c r="S529" s="24"/>
      <c r="T529" s="24"/>
      <c r="U529" s="24"/>
      <c r="V529" s="24"/>
      <c r="W529" s="24"/>
      <c r="X529" s="24"/>
      <c r="Y529" s="24"/>
      <c r="Z529" s="24"/>
      <c r="AA529" s="24"/>
      <c r="AB529" s="203"/>
    </row>
    <row r="530" spans="1:28" ht="30" customHeight="1">
      <c r="A530" s="210" t="s">
        <v>1148</v>
      </c>
      <c r="B530" s="399" t="s">
        <v>2951</v>
      </c>
      <c r="C530" s="396"/>
      <c r="D530" s="396"/>
      <c r="E530" s="396"/>
      <c r="F530" s="396"/>
      <c r="G530" s="396"/>
      <c r="H530" s="396"/>
      <c r="I530" s="396"/>
      <c r="J530" s="396"/>
      <c r="K530" s="373"/>
      <c r="L530" s="373"/>
      <c r="M530" s="373"/>
      <c r="N530" s="211" t="s">
        <v>1149</v>
      </c>
      <c r="O530" s="372"/>
      <c r="P530" s="374"/>
      <c r="Q530" s="373"/>
      <c r="R530" s="373"/>
      <c r="S530" s="373"/>
      <c r="T530" s="373"/>
      <c r="U530" s="373"/>
      <c r="V530" s="373"/>
      <c r="W530" s="373"/>
      <c r="X530" s="373"/>
      <c r="Y530" s="373"/>
      <c r="Z530" s="373"/>
      <c r="AA530" s="373"/>
      <c r="AB530" s="211" t="s">
        <v>1149</v>
      </c>
    </row>
    <row r="531" spans="1:28" ht="10.050000000000001" customHeight="1">
      <c r="A531" s="199"/>
      <c r="B531" s="24"/>
      <c r="C531" s="24"/>
      <c r="D531" s="24"/>
      <c r="E531" s="24"/>
      <c r="F531" s="24"/>
      <c r="G531" s="24"/>
      <c r="H531" s="24"/>
      <c r="I531" s="24"/>
      <c r="J531" s="24"/>
      <c r="K531" s="24"/>
      <c r="L531" s="24"/>
      <c r="M531" s="24"/>
      <c r="N531" s="200"/>
      <c r="O531" s="199"/>
      <c r="P531" s="24"/>
      <c r="Q531" s="24"/>
      <c r="R531" s="24"/>
      <c r="S531" s="24"/>
      <c r="T531" s="24"/>
      <c r="U531" s="24"/>
      <c r="V531" s="24"/>
      <c r="W531" s="24"/>
      <c r="X531" s="24"/>
      <c r="Y531" s="24"/>
      <c r="Z531" s="24"/>
      <c r="AA531" s="24"/>
      <c r="AB531" s="200"/>
    </row>
    <row r="532" spans="1:28" ht="19.95" customHeight="1">
      <c r="A532" s="199"/>
      <c r="B532" s="394" t="s">
        <v>2672</v>
      </c>
      <c r="C532" s="24"/>
      <c r="D532" s="24"/>
      <c r="E532" s="24"/>
      <c r="F532" s="24"/>
      <c r="G532" s="24"/>
      <c r="H532" s="24"/>
      <c r="I532" s="24"/>
      <c r="J532" s="24"/>
      <c r="K532" s="24"/>
      <c r="L532" s="24"/>
      <c r="M532" s="24"/>
      <c r="N532" s="200"/>
      <c r="O532" s="199"/>
      <c r="P532" s="24"/>
      <c r="Q532" s="24"/>
      <c r="R532" s="398"/>
      <c r="S532" s="398"/>
      <c r="T532" s="398"/>
      <c r="U532" s="398"/>
      <c r="V532" s="398"/>
      <c r="W532" s="398"/>
      <c r="X532" s="398"/>
      <c r="Y532" s="398"/>
      <c r="Z532" s="398"/>
      <c r="AA532" s="398"/>
      <c r="AB532" s="200"/>
    </row>
    <row r="533" spans="1:28" ht="30" customHeight="1">
      <c r="A533" s="199"/>
      <c r="B533" s="393" t="s">
        <v>2617</v>
      </c>
      <c r="C533" s="393"/>
      <c r="D533" s="393"/>
      <c r="E533" s="393"/>
      <c r="F533" s="393"/>
      <c r="G533" s="393"/>
      <c r="H533" s="393"/>
      <c r="I533" s="393"/>
      <c r="J533" s="393"/>
      <c r="K533" s="393"/>
      <c r="L533" s="393"/>
      <c r="M533" s="393"/>
      <c r="N533" s="200"/>
      <c r="O533" s="199"/>
      <c r="P533" s="24"/>
      <c r="Q533" s="24"/>
      <c r="R533" s="398"/>
      <c r="S533" s="398"/>
      <c r="T533" s="398"/>
      <c r="U533" s="398"/>
      <c r="V533" s="398"/>
      <c r="W533" s="398"/>
      <c r="X533" s="398"/>
      <c r="Y533" s="398"/>
      <c r="Z533" s="398"/>
      <c r="AA533" s="398"/>
      <c r="AB533" s="200"/>
    </row>
    <row r="534" spans="1:28" ht="19.95" customHeight="1">
      <c r="A534" s="199"/>
      <c r="B534" s="601"/>
      <c r="C534" s="601"/>
      <c r="D534" s="601"/>
      <c r="E534" s="601"/>
      <c r="F534" s="601"/>
      <c r="G534" s="601"/>
      <c r="H534" s="601"/>
      <c r="I534" s="601"/>
      <c r="J534" s="601"/>
      <c r="K534" s="601"/>
      <c r="L534" s="601"/>
      <c r="M534" s="601"/>
      <c r="N534" s="200"/>
      <c r="O534" s="199"/>
      <c r="P534" s="24"/>
      <c r="Q534" s="24"/>
      <c r="R534" s="398"/>
      <c r="S534" s="398"/>
      <c r="T534" s="398"/>
      <c r="U534" s="398"/>
      <c r="V534" s="398"/>
      <c r="W534" s="398"/>
      <c r="X534" s="398"/>
      <c r="Y534" s="398"/>
      <c r="Z534" s="398"/>
      <c r="AA534" s="398"/>
      <c r="AB534" s="200"/>
    </row>
    <row r="535" spans="1:28" ht="19.95" customHeight="1">
      <c r="A535" s="199"/>
      <c r="B535" s="601"/>
      <c r="C535" s="601"/>
      <c r="D535" s="601"/>
      <c r="E535" s="601"/>
      <c r="F535" s="601"/>
      <c r="G535" s="601"/>
      <c r="H535" s="601"/>
      <c r="I535" s="601"/>
      <c r="J535" s="601"/>
      <c r="K535" s="601"/>
      <c r="L535" s="601"/>
      <c r="M535" s="601"/>
      <c r="N535" s="200"/>
      <c r="O535" s="199"/>
      <c r="P535" s="24"/>
      <c r="Q535" s="24"/>
      <c r="R535" s="398"/>
      <c r="S535" s="398"/>
      <c r="T535" s="398"/>
      <c r="U535" s="398"/>
      <c r="V535" s="398"/>
      <c r="W535" s="398"/>
      <c r="X535" s="398"/>
      <c r="Y535" s="398"/>
      <c r="Z535" s="398"/>
      <c r="AA535" s="398"/>
      <c r="AB535" s="200"/>
    </row>
    <row r="536" spans="1:28" ht="19.95" customHeight="1">
      <c r="A536" s="199"/>
      <c r="B536" s="601"/>
      <c r="C536" s="601"/>
      <c r="D536" s="601"/>
      <c r="E536" s="601"/>
      <c r="F536" s="601"/>
      <c r="G536" s="601"/>
      <c r="H536" s="601"/>
      <c r="I536" s="601"/>
      <c r="J536" s="601"/>
      <c r="K536" s="601"/>
      <c r="L536" s="601"/>
      <c r="M536" s="601"/>
      <c r="N536" s="200"/>
      <c r="O536" s="199"/>
      <c r="P536" s="24"/>
      <c r="Q536" s="24"/>
      <c r="R536" s="398"/>
      <c r="S536" s="398"/>
      <c r="T536" s="398"/>
      <c r="U536" s="398"/>
      <c r="V536" s="398"/>
      <c r="W536" s="398"/>
      <c r="X536" s="398"/>
      <c r="Y536" s="398"/>
      <c r="Z536" s="398"/>
      <c r="AA536" s="398"/>
      <c r="AB536" s="200"/>
    </row>
    <row r="537" spans="1:28" ht="19.95" customHeight="1">
      <c r="A537" s="199"/>
      <c r="B537" s="601"/>
      <c r="C537" s="601"/>
      <c r="D537" s="601"/>
      <c r="E537" s="601"/>
      <c r="F537" s="601"/>
      <c r="G537" s="601"/>
      <c r="H537" s="601"/>
      <c r="I537" s="601"/>
      <c r="J537" s="601"/>
      <c r="K537" s="601"/>
      <c r="L537" s="601"/>
      <c r="M537" s="601"/>
      <c r="N537" s="200"/>
      <c r="O537" s="199"/>
      <c r="P537" s="24"/>
      <c r="Q537" s="24"/>
      <c r="R537" s="398"/>
      <c r="S537" s="398"/>
      <c r="T537" s="398"/>
      <c r="U537" s="398"/>
      <c r="V537" s="398"/>
      <c r="W537" s="398"/>
      <c r="X537" s="398"/>
      <c r="Y537" s="398"/>
      <c r="Z537" s="398"/>
      <c r="AA537" s="398"/>
      <c r="AB537" s="200"/>
    </row>
    <row r="538" spans="1:28" ht="19.95" customHeight="1">
      <c r="A538" s="199"/>
      <c r="B538" s="601"/>
      <c r="C538" s="601"/>
      <c r="D538" s="601"/>
      <c r="E538" s="601"/>
      <c r="F538" s="601"/>
      <c r="G538" s="601"/>
      <c r="H538" s="601"/>
      <c r="I538" s="24"/>
      <c r="J538" s="24"/>
      <c r="K538" s="24"/>
      <c r="L538" s="24"/>
      <c r="M538" s="24"/>
      <c r="N538" s="200"/>
      <c r="O538" s="199"/>
      <c r="P538" s="24"/>
      <c r="Q538" s="24"/>
      <c r="R538" s="398"/>
      <c r="S538" s="398"/>
      <c r="T538" s="398"/>
      <c r="U538" s="398"/>
      <c r="V538" s="398"/>
      <c r="W538" s="398"/>
      <c r="X538" s="398"/>
      <c r="Y538" s="398"/>
      <c r="Z538" s="398"/>
      <c r="AA538" s="398"/>
      <c r="AB538" s="200"/>
    </row>
    <row r="539" spans="1:28" ht="19.95" customHeight="1">
      <c r="A539" s="199"/>
      <c r="B539" s="601"/>
      <c r="C539" s="601"/>
      <c r="D539" s="601"/>
      <c r="E539" s="601"/>
      <c r="F539" s="601"/>
      <c r="G539" s="601"/>
      <c r="H539" s="601"/>
      <c r="I539" s="601"/>
      <c r="J539" s="601"/>
      <c r="K539" s="601"/>
      <c r="L539" s="601"/>
      <c r="M539" s="601"/>
      <c r="N539" s="200"/>
      <c r="O539" s="199"/>
      <c r="P539" s="24"/>
      <c r="Q539" s="24"/>
      <c r="R539" s="398"/>
      <c r="S539" s="398"/>
      <c r="T539" s="398"/>
      <c r="U539" s="398"/>
      <c r="V539" s="398"/>
      <c r="W539" s="398"/>
      <c r="X539" s="398"/>
      <c r="Y539" s="398"/>
      <c r="Z539" s="398"/>
      <c r="AA539" s="398"/>
      <c r="AB539" s="200"/>
    </row>
    <row r="540" spans="1:28" ht="19.95" customHeight="1">
      <c r="A540" s="199"/>
      <c r="B540" s="601"/>
      <c r="C540" s="601"/>
      <c r="D540" s="601"/>
      <c r="E540" s="601"/>
      <c r="F540" s="601"/>
      <c r="G540" s="601"/>
      <c r="H540" s="601"/>
      <c r="I540" s="601"/>
      <c r="J540" s="601"/>
      <c r="K540" s="601"/>
      <c r="L540" s="601"/>
      <c r="M540" s="601"/>
      <c r="N540" s="200"/>
      <c r="O540" s="199"/>
      <c r="P540" s="24"/>
      <c r="Q540" s="24"/>
      <c r="R540" s="398"/>
      <c r="S540" s="398"/>
      <c r="T540" s="398"/>
      <c r="U540" s="398"/>
      <c r="V540" s="398"/>
      <c r="W540" s="398"/>
      <c r="X540" s="398"/>
      <c r="Y540" s="398"/>
      <c r="Z540" s="398"/>
      <c r="AA540" s="398"/>
      <c r="AB540" s="200"/>
    </row>
    <row r="541" spans="1:28" ht="19.95" customHeight="1">
      <c r="A541" s="199"/>
      <c r="B541" s="601"/>
      <c r="C541" s="601"/>
      <c r="D541" s="601"/>
      <c r="E541" s="601"/>
      <c r="F541" s="601"/>
      <c r="G541" s="601"/>
      <c r="H541" s="601"/>
      <c r="I541" s="601"/>
      <c r="J541" s="601"/>
      <c r="K541" s="601"/>
      <c r="L541" s="601"/>
      <c r="M541" s="601"/>
      <c r="N541" s="200"/>
      <c r="O541" s="199"/>
      <c r="P541" s="24"/>
      <c r="Q541" s="24"/>
      <c r="R541" s="398"/>
      <c r="S541" s="398"/>
      <c r="T541" s="398"/>
      <c r="U541" s="398"/>
      <c r="V541" s="398"/>
      <c r="W541" s="398"/>
      <c r="X541" s="398"/>
      <c r="Y541" s="398"/>
      <c r="Z541" s="398"/>
      <c r="AA541" s="398"/>
      <c r="AB541" s="200"/>
    </row>
    <row r="542" spans="1:28" ht="19.95" customHeight="1">
      <c r="A542" s="199"/>
      <c r="B542" s="601"/>
      <c r="C542" s="601"/>
      <c r="D542" s="601"/>
      <c r="E542" s="601"/>
      <c r="F542" s="601"/>
      <c r="G542" s="601"/>
      <c r="H542" s="601"/>
      <c r="I542" s="601"/>
      <c r="J542" s="601"/>
      <c r="K542" s="601"/>
      <c r="L542" s="601"/>
      <c r="M542" s="601"/>
      <c r="N542" s="200"/>
      <c r="O542" s="199"/>
      <c r="P542" s="601"/>
      <c r="Q542" s="24"/>
      <c r="R542" s="398"/>
      <c r="S542" s="398"/>
      <c r="T542" s="398"/>
      <c r="U542" s="398"/>
      <c r="V542" s="398"/>
      <c r="W542" s="398"/>
      <c r="X542" s="398"/>
      <c r="Y542" s="398"/>
      <c r="Z542" s="398"/>
      <c r="AA542" s="398"/>
      <c r="AB542" s="200"/>
    </row>
    <row r="543" spans="1:28" ht="19.95" customHeight="1">
      <c r="A543" s="199"/>
      <c r="B543" s="601"/>
      <c r="C543" s="601"/>
      <c r="D543" s="601"/>
      <c r="E543" s="601"/>
      <c r="F543" s="601"/>
      <c r="G543" s="601"/>
      <c r="H543" s="601"/>
      <c r="I543" s="601"/>
      <c r="J543" s="601"/>
      <c r="K543" s="601"/>
      <c r="L543" s="601"/>
      <c r="M543" s="601"/>
      <c r="N543" s="200"/>
      <c r="O543" s="199"/>
      <c r="P543" s="24"/>
      <c r="Q543" s="24"/>
      <c r="R543" s="398"/>
      <c r="S543" s="398"/>
      <c r="T543" s="398"/>
      <c r="U543" s="398"/>
      <c r="V543" s="398"/>
      <c r="W543" s="398"/>
      <c r="X543" s="398"/>
      <c r="Y543" s="398"/>
      <c r="Z543" s="398"/>
      <c r="AA543" s="398"/>
      <c r="AB543" s="200"/>
    </row>
    <row r="544" spans="1:28" ht="19.95" customHeight="1">
      <c r="A544" s="199"/>
      <c r="B544" s="601"/>
      <c r="C544" s="24"/>
      <c r="D544" s="24"/>
      <c r="E544" s="24"/>
      <c r="F544" s="24"/>
      <c r="G544" s="24"/>
      <c r="H544" s="24"/>
      <c r="I544" s="24"/>
      <c r="J544" s="24"/>
      <c r="K544" s="24"/>
      <c r="L544" s="24"/>
      <c r="M544" s="24"/>
      <c r="N544" s="200"/>
      <c r="O544" s="199"/>
      <c r="P544" s="24"/>
      <c r="Q544" s="24"/>
      <c r="R544" s="398"/>
      <c r="S544" s="398"/>
      <c r="T544" s="398"/>
      <c r="U544" s="398"/>
      <c r="V544" s="398"/>
      <c r="W544" s="398"/>
      <c r="X544" s="398"/>
      <c r="Y544" s="398"/>
      <c r="Z544" s="398"/>
      <c r="AA544" s="398"/>
      <c r="AB544" s="200"/>
    </row>
    <row r="545" spans="1:28" ht="19.95" customHeight="1">
      <c r="A545" s="199"/>
      <c r="B545" s="601"/>
      <c r="C545" s="601"/>
      <c r="D545" s="601"/>
      <c r="E545" s="601"/>
      <c r="F545" s="601"/>
      <c r="G545" s="601"/>
      <c r="H545" s="601"/>
      <c r="I545" s="601"/>
      <c r="J545" s="601"/>
      <c r="K545" s="601"/>
      <c r="L545" s="601"/>
      <c r="M545" s="601"/>
      <c r="N545" s="200"/>
      <c r="O545" s="199"/>
      <c r="P545" s="24"/>
      <c r="Q545" s="24"/>
      <c r="R545" s="398"/>
      <c r="S545" s="398"/>
      <c r="T545" s="398"/>
      <c r="U545" s="398"/>
      <c r="V545" s="398"/>
      <c r="W545" s="398"/>
      <c r="X545" s="398"/>
      <c r="Y545" s="398"/>
      <c r="Z545" s="398"/>
      <c r="AA545" s="398"/>
      <c r="AB545" s="200"/>
    </row>
    <row r="546" spans="1:28" ht="19.95" customHeight="1">
      <c r="A546" s="199"/>
      <c r="B546" s="601"/>
      <c r="C546" s="601"/>
      <c r="D546" s="601"/>
      <c r="E546" s="601"/>
      <c r="F546" s="601"/>
      <c r="G546" s="601"/>
      <c r="H546" s="601"/>
      <c r="I546" s="601"/>
      <c r="J546" s="601"/>
      <c r="K546" s="601"/>
      <c r="L546" s="601"/>
      <c r="M546" s="601"/>
      <c r="N546" s="200"/>
      <c r="O546" s="199"/>
      <c r="P546" s="24"/>
      <c r="Q546" s="24"/>
      <c r="R546" s="398"/>
      <c r="S546" s="398"/>
      <c r="T546" s="398"/>
      <c r="U546" s="398"/>
      <c r="V546" s="398"/>
      <c r="W546" s="398"/>
      <c r="X546" s="398"/>
      <c r="Y546" s="398"/>
      <c r="Z546" s="398"/>
      <c r="AA546" s="398"/>
      <c r="AB546" s="200"/>
    </row>
    <row r="547" spans="1:28" ht="19.95" customHeight="1">
      <c r="A547" s="199"/>
      <c r="B547" s="601"/>
      <c r="C547" s="601"/>
      <c r="D547" s="601"/>
      <c r="E547" s="601"/>
      <c r="F547" s="601"/>
      <c r="G547" s="601"/>
      <c r="H547" s="601"/>
      <c r="I547" s="601"/>
      <c r="J547" s="601"/>
      <c r="K547" s="601"/>
      <c r="L547" s="601"/>
      <c r="M547" s="601"/>
      <c r="N547" s="200"/>
      <c r="O547" s="199"/>
      <c r="P547" s="24"/>
      <c r="Q547" s="24"/>
      <c r="R547" s="398"/>
      <c r="S547" s="398"/>
      <c r="T547" s="398"/>
      <c r="U547" s="398"/>
      <c r="V547" s="398"/>
      <c r="W547" s="398"/>
      <c r="X547" s="398"/>
      <c r="Y547" s="398"/>
      <c r="Z547" s="398"/>
      <c r="AA547" s="398"/>
      <c r="AB547" s="200"/>
    </row>
    <row r="548" spans="1:28" ht="19.95" customHeight="1">
      <c r="A548" s="199"/>
      <c r="B548" s="659"/>
      <c r="C548" s="601"/>
      <c r="D548" s="601"/>
      <c r="E548" s="601"/>
      <c r="F548" s="601"/>
      <c r="G548" s="601"/>
      <c r="H548" s="601"/>
      <c r="I548" s="601"/>
      <c r="J548" s="601"/>
      <c r="K548" s="601"/>
      <c r="L548" s="601"/>
      <c r="M548" s="601"/>
      <c r="N548" s="200"/>
      <c r="O548" s="199"/>
      <c r="P548" s="24"/>
      <c r="Q548" s="24"/>
      <c r="R548" s="398"/>
      <c r="S548" s="398"/>
      <c r="T548" s="398"/>
      <c r="U548" s="398"/>
      <c r="V548" s="398"/>
      <c r="W548" s="398"/>
      <c r="X548" s="398"/>
      <c r="Y548" s="398"/>
      <c r="Z548" s="398"/>
      <c r="AA548" s="398"/>
      <c r="AB548" s="200"/>
    </row>
    <row r="549" spans="1:28" ht="19.95" customHeight="1">
      <c r="A549" s="199"/>
      <c r="B549" s="659"/>
      <c r="C549" s="601"/>
      <c r="D549" s="601"/>
      <c r="E549" s="601"/>
      <c r="F549" s="601"/>
      <c r="G549" s="601"/>
      <c r="H549" s="601"/>
      <c r="I549" s="601"/>
      <c r="J549" s="601"/>
      <c r="K549" s="601"/>
      <c r="L549" s="601"/>
      <c r="M549" s="601"/>
      <c r="N549" s="200"/>
      <c r="O549" s="199"/>
      <c r="P549" s="24"/>
      <c r="Q549" s="24"/>
      <c r="R549" s="398"/>
      <c r="S549" s="398"/>
      <c r="T549" s="398"/>
      <c r="U549" s="398"/>
      <c r="V549" s="398"/>
      <c r="W549" s="398"/>
      <c r="X549" s="398"/>
      <c r="Y549" s="398"/>
      <c r="Z549" s="398"/>
      <c r="AA549" s="398"/>
      <c r="AB549" s="200"/>
    </row>
    <row r="550" spans="1:28" ht="4.95" customHeight="1" thickBot="1">
      <c r="A550" s="199"/>
      <c r="B550" s="659"/>
      <c r="C550" s="601"/>
      <c r="D550" s="601"/>
      <c r="E550" s="601"/>
      <c r="F550" s="601"/>
      <c r="G550" s="601"/>
      <c r="H550" s="601"/>
      <c r="I550" s="601"/>
      <c r="J550" s="601"/>
      <c r="K550" s="601"/>
      <c r="L550" s="601"/>
      <c r="M550" s="601"/>
      <c r="N550" s="200"/>
      <c r="O550" s="199"/>
      <c r="P550" s="24"/>
      <c r="Q550" s="24"/>
      <c r="R550" s="398"/>
      <c r="S550" s="398"/>
      <c r="T550" s="398"/>
      <c r="U550" s="398"/>
      <c r="V550" s="398"/>
      <c r="W550" s="398"/>
      <c r="X550" s="398"/>
      <c r="Y550" s="398"/>
      <c r="Z550" s="398"/>
      <c r="AA550" s="398"/>
      <c r="AB550" s="200"/>
    </row>
    <row r="551" spans="1:28" ht="19.95" customHeight="1" thickBot="1">
      <c r="A551" s="199"/>
      <c r="B551" s="712" t="s">
        <v>2618</v>
      </c>
      <c r="C551" s="601"/>
      <c r="D551" s="601"/>
      <c r="E551" s="1382"/>
      <c r="F551" s="1383"/>
      <c r="G551" s="1383"/>
      <c r="H551" s="1383"/>
      <c r="I551" s="1383"/>
      <c r="J551" s="1383"/>
      <c r="K551" s="1383"/>
      <c r="L551" s="1383"/>
      <c r="M551" s="1384"/>
      <c r="N551" s="200"/>
      <c r="O551" s="199"/>
      <c r="P551" s="24"/>
      <c r="Q551" s="24"/>
      <c r="R551" s="398"/>
      <c r="S551" s="398"/>
      <c r="T551" s="398"/>
      <c r="U551" s="398"/>
      <c r="V551" s="398"/>
      <c r="W551" s="398"/>
      <c r="X551" s="398"/>
      <c r="Y551" s="398"/>
      <c r="Z551" s="398"/>
      <c r="AA551" s="398"/>
      <c r="AB551" s="200"/>
    </row>
    <row r="552" spans="1:28" ht="4.95" customHeight="1" thickBot="1">
      <c r="A552" s="199"/>
      <c r="B552" s="480"/>
      <c r="C552" s="391"/>
      <c r="D552" s="391"/>
      <c r="E552" s="391"/>
      <c r="F552" s="391"/>
      <c r="G552" s="391"/>
      <c r="H552" s="391"/>
      <c r="I552" s="391"/>
      <c r="J552" s="391"/>
      <c r="K552" s="391"/>
      <c r="L552" s="391"/>
      <c r="M552" s="391"/>
      <c r="N552" s="200"/>
      <c r="O552" s="199"/>
      <c r="P552" s="24"/>
      <c r="Q552" s="24"/>
      <c r="R552" s="398"/>
      <c r="S552" s="398"/>
      <c r="T552" s="398"/>
      <c r="U552" s="398"/>
      <c r="V552" s="398"/>
      <c r="W552" s="398"/>
      <c r="X552" s="398"/>
      <c r="Y552" s="398"/>
      <c r="Z552" s="398"/>
      <c r="AA552" s="24"/>
      <c r="AB552" s="200"/>
    </row>
    <row r="553" spans="1:28" ht="19.95" customHeight="1" thickBot="1">
      <c r="A553" s="199"/>
      <c r="B553" s="712" t="s">
        <v>2622</v>
      </c>
      <c r="C553" s="392"/>
      <c r="D553" s="392"/>
      <c r="E553" s="1382"/>
      <c r="F553" s="1383"/>
      <c r="G553" s="1383"/>
      <c r="H553" s="1383"/>
      <c r="I553" s="1383"/>
      <c r="J553" s="1383"/>
      <c r="K553" s="1383"/>
      <c r="L553" s="1383"/>
      <c r="M553" s="1384"/>
      <c r="N553" s="200"/>
      <c r="O553" s="199"/>
      <c r="P553" s="24"/>
      <c r="Q553" s="24"/>
      <c r="R553" s="398"/>
      <c r="S553" s="398"/>
      <c r="T553" s="398"/>
      <c r="U553" s="398"/>
      <c r="V553" s="398"/>
      <c r="W553" s="398"/>
      <c r="X553" s="398"/>
      <c r="Y553" s="398"/>
      <c r="Z553" s="398"/>
      <c r="AA553" s="398"/>
      <c r="AB553" s="200"/>
    </row>
    <row r="554" spans="1:28" ht="4.95" customHeight="1" thickBot="1">
      <c r="A554" s="199"/>
      <c r="B554" s="712"/>
      <c r="C554" s="392"/>
      <c r="D554" s="392"/>
      <c r="E554" s="392"/>
      <c r="F554" s="392"/>
      <c r="G554" s="392"/>
      <c r="H554" s="392"/>
      <c r="I554" s="392"/>
      <c r="J554" s="392"/>
      <c r="K554" s="392"/>
      <c r="L554" s="392"/>
      <c r="M554" s="392"/>
      <c r="N554" s="392"/>
      <c r="O554" s="199"/>
      <c r="P554" s="24"/>
      <c r="Q554" s="24"/>
      <c r="R554" s="398"/>
      <c r="S554" s="398"/>
      <c r="T554" s="398"/>
      <c r="U554" s="398"/>
      <c r="V554" s="398"/>
      <c r="W554" s="398"/>
      <c r="X554" s="398"/>
      <c r="Y554" s="398"/>
      <c r="Z554" s="398"/>
      <c r="AA554" s="398"/>
      <c r="AB554" s="200"/>
    </row>
    <row r="555" spans="1:28" ht="19.95" customHeight="1" thickBot="1">
      <c r="A555" s="199"/>
      <c r="B555" s="712" t="s">
        <v>2619</v>
      </c>
      <c r="C555" s="392"/>
      <c r="D555" s="392"/>
      <c r="E555" s="1382"/>
      <c r="F555" s="1383"/>
      <c r="G555" s="1383"/>
      <c r="H555" s="1383"/>
      <c r="I555" s="1383"/>
      <c r="J555" s="1383"/>
      <c r="K555" s="1383"/>
      <c r="L555" s="1383"/>
      <c r="M555" s="1384"/>
      <c r="N555" s="200"/>
      <c r="O555" s="199"/>
      <c r="P555" s="24"/>
      <c r="Q555" s="24"/>
      <c r="R555" s="398"/>
      <c r="S555" s="398"/>
      <c r="T555" s="398"/>
      <c r="U555" s="398"/>
      <c r="V555" s="398"/>
      <c r="W555" s="398"/>
      <c r="X555" s="398"/>
      <c r="Y555" s="398"/>
      <c r="Z555" s="398"/>
      <c r="AA555" s="398"/>
      <c r="AB555" s="200"/>
    </row>
    <row r="556" spans="1:28" ht="4.95" customHeight="1" thickBot="1">
      <c r="A556" s="199"/>
      <c r="B556" s="712"/>
      <c r="C556" s="392"/>
      <c r="D556" s="392"/>
      <c r="E556" s="392"/>
      <c r="F556" s="392"/>
      <c r="G556" s="392"/>
      <c r="H556" s="392"/>
      <c r="I556" s="392"/>
      <c r="J556" s="392"/>
      <c r="K556" s="392"/>
      <c r="L556" s="392"/>
      <c r="M556" s="392"/>
      <c r="N556" s="392"/>
      <c r="O556" s="199"/>
      <c r="P556" s="24"/>
      <c r="Q556" s="24"/>
      <c r="R556" s="398"/>
      <c r="S556" s="398"/>
      <c r="T556" s="398"/>
      <c r="U556" s="398"/>
      <c r="V556" s="398"/>
      <c r="W556" s="398"/>
      <c r="X556" s="398"/>
      <c r="Y556" s="398"/>
      <c r="Z556" s="398"/>
      <c r="AA556" s="398"/>
      <c r="AB556" s="200"/>
    </row>
    <row r="557" spans="1:28" ht="19.95" customHeight="1" thickBot="1">
      <c r="A557" s="199"/>
      <c r="B557" s="712" t="s">
        <v>2620</v>
      </c>
      <c r="C557" s="392"/>
      <c r="D557" s="392"/>
      <c r="E557" s="1382"/>
      <c r="F557" s="1383"/>
      <c r="G557" s="1383"/>
      <c r="H557" s="1383"/>
      <c r="I557" s="1383"/>
      <c r="J557" s="1383"/>
      <c r="K557" s="1383"/>
      <c r="L557" s="1383"/>
      <c r="M557" s="1384"/>
      <c r="N557" s="200"/>
      <c r="O557" s="199"/>
      <c r="P557" s="24"/>
      <c r="Q557" s="24"/>
      <c r="R557" s="398"/>
      <c r="S557" s="398"/>
      <c r="T557" s="398"/>
      <c r="U557" s="398"/>
      <c r="V557" s="398"/>
      <c r="W557" s="398"/>
      <c r="X557" s="398"/>
      <c r="Y557" s="398"/>
      <c r="Z557" s="398"/>
      <c r="AA557" s="398"/>
      <c r="AB557" s="200"/>
    </row>
    <row r="558" spans="1:28" ht="4.95" customHeight="1" thickBot="1">
      <c r="A558" s="199"/>
      <c r="B558" s="713"/>
      <c r="C558" s="24"/>
      <c r="D558" s="24"/>
      <c r="E558" s="24"/>
      <c r="F558" s="24"/>
      <c r="G558" s="24"/>
      <c r="H558" s="24"/>
      <c r="I558" s="24"/>
      <c r="J558" s="24"/>
      <c r="K558" s="24"/>
      <c r="L558" s="24"/>
      <c r="M558" s="24"/>
      <c r="N558" s="200"/>
      <c r="O558" s="199"/>
      <c r="P558" s="24"/>
      <c r="Q558" s="24"/>
      <c r="R558" s="398"/>
      <c r="S558" s="398"/>
      <c r="T558" s="398"/>
      <c r="U558" s="398"/>
      <c r="V558" s="398"/>
      <c r="W558" s="398"/>
      <c r="X558" s="398"/>
      <c r="Y558" s="398"/>
      <c r="Z558" s="398"/>
      <c r="AA558" s="398"/>
      <c r="AB558" s="200"/>
    </row>
    <row r="559" spans="1:28" ht="19.95" customHeight="1" thickBot="1">
      <c r="A559" s="199"/>
      <c r="B559" s="712" t="s">
        <v>2621</v>
      </c>
      <c r="C559" s="601"/>
      <c r="D559" s="601"/>
      <c r="E559" s="1382"/>
      <c r="F559" s="1383"/>
      <c r="G559" s="1383"/>
      <c r="H559" s="1383"/>
      <c r="I559" s="1383"/>
      <c r="J559" s="1383"/>
      <c r="K559" s="1383"/>
      <c r="L559" s="1383"/>
      <c r="M559" s="1384"/>
      <c r="N559" s="200"/>
      <c r="O559" s="199"/>
      <c r="P559" s="24"/>
      <c r="Q559" s="24"/>
      <c r="R559" s="398"/>
      <c r="S559" s="398"/>
      <c r="T559" s="398"/>
      <c r="U559" s="398"/>
      <c r="V559" s="398"/>
      <c r="W559" s="398"/>
      <c r="X559" s="398"/>
      <c r="Y559" s="398"/>
      <c r="Z559" s="398"/>
      <c r="AA559" s="398"/>
      <c r="AB559" s="200"/>
    </row>
    <row r="560" spans="1:28" ht="10.050000000000001" customHeight="1">
      <c r="A560" s="199"/>
      <c r="B560" s="601"/>
      <c r="C560" s="601"/>
      <c r="D560" s="601"/>
      <c r="E560" s="601"/>
      <c r="F560" s="601"/>
      <c r="G560" s="601"/>
      <c r="H560" s="601"/>
      <c r="I560" s="601"/>
      <c r="J560" s="601"/>
      <c r="K560" s="601"/>
      <c r="L560" s="601"/>
      <c r="M560" s="601"/>
      <c r="N560" s="200"/>
      <c r="O560" s="199"/>
      <c r="P560" s="24"/>
      <c r="Q560" s="24"/>
      <c r="R560" s="398"/>
      <c r="S560" s="398"/>
      <c r="T560" s="398"/>
      <c r="U560" s="398"/>
      <c r="V560" s="398"/>
      <c r="W560" s="398"/>
      <c r="X560" s="398"/>
      <c r="Y560" s="398"/>
      <c r="Z560" s="398"/>
      <c r="AA560" s="398"/>
      <c r="AB560" s="200"/>
    </row>
    <row r="561" spans="1:41" ht="19.95" customHeight="1">
      <c r="A561" s="199"/>
      <c r="B561" s="1277" t="str">
        <f>AI562</f>
        <v>Select the best response to these five items to estimate your readiness for this journey. A low score is not necessarily a bad score. Power relations crashing in on your life could dampen your full readiness. But that's what this journey is for.</v>
      </c>
      <c r="C561" s="1277"/>
      <c r="D561" s="1277"/>
      <c r="E561" s="1277"/>
      <c r="F561" s="1277"/>
      <c r="G561" s="1277"/>
      <c r="H561" s="1277"/>
      <c r="I561" s="1277"/>
      <c r="J561" s="1277"/>
      <c r="K561" s="1277"/>
      <c r="L561" s="1277"/>
      <c r="M561" s="1277"/>
      <c r="N561" s="200"/>
      <c r="O561" s="199"/>
      <c r="P561" s="393"/>
      <c r="Q561" s="24"/>
      <c r="R561" s="24"/>
      <c r="S561" s="24"/>
      <c r="T561" s="24"/>
      <c r="U561" s="24"/>
      <c r="V561" s="24"/>
      <c r="W561" s="24"/>
      <c r="X561" s="398"/>
      <c r="Y561" s="398"/>
      <c r="Z561" s="398"/>
      <c r="AA561" s="398"/>
      <c r="AB561" s="200"/>
      <c r="AI561" s="459" t="str">
        <f>CONCATENATE(AK561,AL561,AM561,AN561,AO561,AP561,AQ561,AR561)</f>
        <v xml:space="preserve">Your responses suggest . This is based on an average score between -1 and 1, and your responses put you at . Other qualifications may apply, and these could raise or lower your readiness score. </v>
      </c>
      <c r="AK561" s="409" t="s">
        <v>2668</v>
      </c>
      <c r="AL561" s="2" t="str">
        <f>$U$1334</f>
        <v/>
      </c>
      <c r="AM561" s="409" t="s">
        <v>2669</v>
      </c>
      <c r="AN561" s="138" t="str">
        <f>$U$1335</f>
        <v/>
      </c>
      <c r="AO561" s="409" t="s">
        <v>2671</v>
      </c>
    </row>
    <row r="562" spans="1:41" ht="19.95" customHeight="1">
      <c r="A562" s="199"/>
      <c r="B562" s="1277"/>
      <c r="C562" s="1277"/>
      <c r="D562" s="1277"/>
      <c r="E562" s="1277"/>
      <c r="F562" s="1277"/>
      <c r="G562" s="1277"/>
      <c r="H562" s="1277"/>
      <c r="I562" s="1277"/>
      <c r="J562" s="1277"/>
      <c r="K562" s="1277"/>
      <c r="L562" s="1277"/>
      <c r="M562" s="1277"/>
      <c r="N562" s="200"/>
      <c r="O562" s="199"/>
      <c r="P562" s="393"/>
      <c r="Q562" s="24"/>
      <c r="R562" s="24"/>
      <c r="S562" s="24"/>
      <c r="T562" s="24"/>
      <c r="U562" s="24"/>
      <c r="V562" s="24"/>
      <c r="W562" s="24"/>
      <c r="X562" s="398"/>
      <c r="Y562" s="398"/>
      <c r="Z562" s="398"/>
      <c r="AA562" s="398"/>
      <c r="AB562" s="200"/>
      <c r="AI562" s="2" t="str">
        <f>IF(U1334="",AK562,AI561)</f>
        <v>Select the best response to these five items to estimate your readiness for this journey. A low score is not necessarily a bad score. Power relations crashing in on your life could dampen your full readiness. But that's what this journey is for.</v>
      </c>
      <c r="AK562" s="2" t="s">
        <v>2670</v>
      </c>
    </row>
    <row r="563" spans="1:41" ht="19.95" customHeight="1">
      <c r="A563" s="199"/>
      <c r="B563" s="1277"/>
      <c r="C563" s="1277"/>
      <c r="D563" s="1277"/>
      <c r="E563" s="1277"/>
      <c r="F563" s="1277"/>
      <c r="G563" s="1277"/>
      <c r="H563" s="1277"/>
      <c r="I563" s="1277"/>
      <c r="J563" s="1277"/>
      <c r="K563" s="1277"/>
      <c r="L563" s="1277"/>
      <c r="M563" s="1277"/>
      <c r="N563" s="200"/>
      <c r="O563" s="199"/>
      <c r="P563" s="596"/>
      <c r="Q563" s="393"/>
      <c r="R563" s="24"/>
      <c r="S563" s="24"/>
      <c r="T563" s="470"/>
      <c r="U563" s="24"/>
      <c r="V563" s="24"/>
      <c r="W563" s="24"/>
      <c r="X563" s="398"/>
      <c r="Y563" s="398"/>
      <c r="Z563" s="398"/>
      <c r="AA563" s="398"/>
      <c r="AB563" s="200"/>
    </row>
    <row r="564" spans="1:41" ht="19.95" customHeight="1">
      <c r="A564" s="199"/>
      <c r="B564" s="391"/>
      <c r="C564" s="391"/>
      <c r="D564" s="391"/>
      <c r="E564" s="391"/>
      <c r="F564" s="391"/>
      <c r="G564" s="391"/>
      <c r="H564" s="391"/>
      <c r="I564" s="391"/>
      <c r="J564" s="391"/>
      <c r="K564" s="391"/>
      <c r="L564" s="391"/>
      <c r="M564" s="391"/>
      <c r="N564" s="200"/>
      <c r="O564" s="199"/>
      <c r="P564" s="596"/>
      <c r="Q564" s="393"/>
      <c r="R564" s="24"/>
      <c r="S564" s="24"/>
      <c r="T564" s="470"/>
      <c r="U564" s="24"/>
      <c r="V564" s="24"/>
      <c r="W564" s="24"/>
      <c r="X564" s="398"/>
      <c r="Y564" s="398"/>
      <c r="Z564" s="398"/>
      <c r="AA564" s="398"/>
      <c r="AB564" s="200"/>
    </row>
    <row r="565" spans="1:41" ht="19.95" customHeight="1">
      <c r="A565" s="199"/>
      <c r="B565" s="601"/>
      <c r="C565" s="601"/>
      <c r="D565" s="601"/>
      <c r="E565" s="601"/>
      <c r="F565" s="601"/>
      <c r="G565" s="601"/>
      <c r="H565" s="601"/>
      <c r="I565" s="601"/>
      <c r="J565" s="601"/>
      <c r="K565" s="24"/>
      <c r="L565" s="24"/>
      <c r="M565" s="24"/>
      <c r="N565" s="200"/>
      <c r="O565" s="199"/>
      <c r="P565" s="596"/>
      <c r="Q565" s="393"/>
      <c r="R565" s="24"/>
      <c r="S565" s="24"/>
      <c r="T565" s="470"/>
      <c r="U565" s="24"/>
      <c r="V565" s="24"/>
      <c r="W565" s="24"/>
      <c r="X565" s="398"/>
      <c r="Y565" s="398"/>
      <c r="Z565" s="398"/>
      <c r="AA565" s="398"/>
      <c r="AB565" s="200"/>
    </row>
    <row r="566" spans="1:41" ht="19.95" customHeight="1">
      <c r="A566" s="199"/>
      <c r="B566" s="601"/>
      <c r="C566" s="601"/>
      <c r="D566" s="601"/>
      <c r="E566" s="601"/>
      <c r="F566" s="601"/>
      <c r="G566" s="601"/>
      <c r="H566" s="601"/>
      <c r="I566" s="601"/>
      <c r="J566" s="601"/>
      <c r="K566" s="24"/>
      <c r="L566" s="24"/>
      <c r="M566" s="24"/>
      <c r="N566" s="200"/>
      <c r="O566" s="199"/>
      <c r="P566" s="24"/>
      <c r="Q566" s="24"/>
      <c r="R566" s="398"/>
      <c r="S566" s="398"/>
      <c r="T566" s="398"/>
      <c r="U566" s="398"/>
      <c r="V566" s="398"/>
      <c r="W566" s="398"/>
      <c r="X566" s="398"/>
      <c r="Y566" s="398"/>
      <c r="Z566" s="398"/>
      <c r="AA566" s="398"/>
      <c r="AB566" s="200"/>
    </row>
    <row r="567" spans="1:41" ht="15" customHeight="1">
      <c r="A567" s="199"/>
      <c r="B567" s="24"/>
      <c r="C567" s="24"/>
      <c r="D567" s="24"/>
      <c r="E567" s="24"/>
      <c r="F567" s="24"/>
      <c r="G567" s="24"/>
      <c r="H567" s="24"/>
      <c r="I567" s="24"/>
      <c r="J567" s="24"/>
      <c r="K567" s="24"/>
      <c r="L567" s="24"/>
      <c r="M567" s="24"/>
      <c r="N567" s="200"/>
      <c r="O567" s="199"/>
      <c r="P567" s="24"/>
      <c r="Q567" s="24"/>
      <c r="R567" s="398"/>
      <c r="S567" s="398"/>
      <c r="T567" s="398"/>
      <c r="U567" s="398"/>
      <c r="V567" s="398"/>
      <c r="W567" s="398"/>
      <c r="X567" s="398"/>
      <c r="Y567" s="398"/>
      <c r="Z567" s="398"/>
      <c r="AA567" s="398"/>
      <c r="AB567" s="203"/>
    </row>
    <row r="568" spans="1:41" ht="30" customHeight="1">
      <c r="A568" s="210" t="s">
        <v>1148</v>
      </c>
      <c r="B568" s="399" t="s">
        <v>2952</v>
      </c>
      <c r="C568" s="396"/>
      <c r="D568" s="396"/>
      <c r="E568" s="396"/>
      <c r="F568" s="396"/>
      <c r="G568" s="396"/>
      <c r="H568" s="396"/>
      <c r="I568" s="396"/>
      <c r="J568" s="396"/>
      <c r="K568" s="373"/>
      <c r="L568" s="373"/>
      <c r="M568" s="373"/>
      <c r="N568" s="211" t="s">
        <v>1149</v>
      </c>
      <c r="O568" s="372"/>
      <c r="P568" s="374"/>
      <c r="Q568" s="373"/>
      <c r="R568" s="373"/>
      <c r="S568" s="373"/>
      <c r="T568" s="373"/>
      <c r="U568" s="373"/>
      <c r="V568" s="373"/>
      <c r="W568" s="373"/>
      <c r="X568" s="373"/>
      <c r="Y568" s="373"/>
      <c r="Z568" s="373"/>
      <c r="AA568" s="373"/>
      <c r="AB568" s="211" t="s">
        <v>1149</v>
      </c>
    </row>
    <row r="569" spans="1:41" ht="10.050000000000001" customHeight="1">
      <c r="A569" s="199"/>
      <c r="B569" s="24"/>
      <c r="C569" s="24"/>
      <c r="D569" s="24"/>
      <c r="E569" s="24"/>
      <c r="F569" s="24"/>
      <c r="G569" s="24"/>
      <c r="H569" s="24"/>
      <c r="I569" s="24"/>
      <c r="J569" s="24"/>
      <c r="K569" s="24"/>
      <c r="L569" s="24"/>
      <c r="M569" s="24"/>
      <c r="N569" s="200"/>
      <c r="O569" s="199"/>
      <c r="P569" s="24"/>
      <c r="Q569" s="24"/>
      <c r="R569" s="24"/>
      <c r="S569" s="24"/>
      <c r="T569" s="24"/>
      <c r="U569" s="24"/>
      <c r="V569" s="24"/>
      <c r="W569" s="24"/>
      <c r="X569" s="24"/>
      <c r="Y569" s="24"/>
      <c r="Z569" s="24"/>
      <c r="AA569" s="24"/>
      <c r="AB569" s="200"/>
    </row>
    <row r="570" spans="1:41" ht="19.95" customHeight="1">
      <c r="A570" s="608" t="s">
        <v>2673</v>
      </c>
      <c r="B570" s="394"/>
      <c r="C570" s="24"/>
      <c r="D570" s="24"/>
      <c r="E570" s="24"/>
      <c r="F570" s="24"/>
      <c r="G570" s="24"/>
      <c r="H570" s="24"/>
      <c r="I570" s="24"/>
      <c r="J570" s="24"/>
      <c r="K570" s="24"/>
      <c r="L570" s="24"/>
      <c r="M570" s="24"/>
      <c r="N570" s="200"/>
      <c r="O570" s="199"/>
      <c r="P570" s="24"/>
      <c r="Q570" s="24"/>
      <c r="R570" s="398"/>
      <c r="S570" s="398"/>
      <c r="T570" s="398"/>
      <c r="U570" s="398"/>
      <c r="V570" s="398"/>
      <c r="W570" s="398"/>
      <c r="X570" s="398"/>
      <c r="Y570" s="398"/>
      <c r="Z570" s="398"/>
      <c r="AA570" s="398"/>
      <c r="AB570" s="200"/>
    </row>
    <row r="571" spans="1:41" ht="19.95" customHeight="1">
      <c r="A571" s="199"/>
      <c r="B571" s="601"/>
      <c r="C571" s="601"/>
      <c r="D571" s="601"/>
      <c r="E571" s="601"/>
      <c r="F571" s="601"/>
      <c r="G571" s="601"/>
      <c r="H571" s="601"/>
      <c r="I571" s="601"/>
      <c r="J571" s="601"/>
      <c r="K571" s="601"/>
      <c r="L571" s="601"/>
      <c r="M571" s="601"/>
      <c r="N571" s="200"/>
      <c r="O571" s="199"/>
      <c r="P571" s="24"/>
      <c r="Q571" s="24"/>
      <c r="R571" s="398"/>
      <c r="S571" s="398"/>
      <c r="T571" s="398"/>
      <c r="U571" s="398"/>
      <c r="V571" s="398"/>
      <c r="W571" s="398"/>
      <c r="X571" s="398"/>
      <c r="Y571" s="398"/>
      <c r="Z571" s="398"/>
      <c r="AA571" s="398"/>
      <c r="AB571" s="200"/>
    </row>
    <row r="572" spans="1:41" ht="19.95" customHeight="1">
      <c r="A572" s="199"/>
      <c r="B572" s="601"/>
      <c r="C572" s="601"/>
      <c r="D572" s="601"/>
      <c r="E572" s="601"/>
      <c r="F572" s="601"/>
      <c r="G572" s="601"/>
      <c r="H572" s="601"/>
      <c r="I572" s="601"/>
      <c r="J572" s="601"/>
      <c r="K572" s="601"/>
      <c r="L572" s="601"/>
      <c r="M572" s="601"/>
      <c r="N572" s="200"/>
      <c r="O572" s="199"/>
      <c r="P572" s="24"/>
      <c r="Q572" s="24"/>
      <c r="R572" s="398"/>
      <c r="S572" s="398"/>
      <c r="T572" s="398"/>
      <c r="U572" s="398"/>
      <c r="V572" s="398"/>
      <c r="W572" s="398"/>
      <c r="X572" s="398"/>
      <c r="Y572" s="398"/>
      <c r="Z572" s="398"/>
      <c r="AA572" s="398"/>
      <c r="AB572" s="200"/>
    </row>
    <row r="573" spans="1:41" ht="19.95" customHeight="1">
      <c r="A573" s="199"/>
      <c r="B573" s="601"/>
      <c r="C573" s="601"/>
      <c r="D573" s="601"/>
      <c r="E573" s="601"/>
      <c r="F573" s="601"/>
      <c r="G573" s="601"/>
      <c r="H573" s="601"/>
      <c r="I573" s="601"/>
      <c r="J573" s="601"/>
      <c r="K573" s="601"/>
      <c r="L573" s="601"/>
      <c r="M573" s="601"/>
      <c r="N573" s="200"/>
      <c r="O573" s="199"/>
      <c r="P573" s="24"/>
      <c r="Q573" s="24"/>
      <c r="R573" s="398"/>
      <c r="S573" s="398"/>
      <c r="T573" s="398"/>
      <c r="U573" s="398"/>
      <c r="V573" s="398"/>
      <c r="W573" s="398"/>
      <c r="X573" s="398"/>
      <c r="Y573" s="398"/>
      <c r="Z573" s="398"/>
      <c r="AA573" s="398"/>
      <c r="AB573" s="200"/>
    </row>
    <row r="574" spans="1:41" ht="19.95" customHeight="1">
      <c r="A574" s="199"/>
      <c r="B574" s="601"/>
      <c r="C574" s="601"/>
      <c r="D574" s="601"/>
      <c r="E574" s="601"/>
      <c r="F574" s="601"/>
      <c r="G574" s="601"/>
      <c r="H574" s="601"/>
      <c r="I574" s="601"/>
      <c r="J574" s="601"/>
      <c r="K574" s="601"/>
      <c r="L574" s="601"/>
      <c r="M574" s="601"/>
      <c r="N574" s="200"/>
      <c r="O574" s="199"/>
      <c r="P574" s="24"/>
      <c r="Q574" s="24"/>
      <c r="R574" s="398"/>
      <c r="S574" s="398"/>
      <c r="T574" s="398"/>
      <c r="U574" s="398"/>
      <c r="V574" s="398"/>
      <c r="W574" s="398"/>
      <c r="X574" s="398"/>
      <c r="Y574" s="398"/>
      <c r="Z574" s="398"/>
      <c r="AA574" s="398"/>
      <c r="AB574" s="200"/>
    </row>
    <row r="575" spans="1:41" ht="19.95" customHeight="1">
      <c r="A575" s="199"/>
      <c r="B575" s="601"/>
      <c r="C575" s="601"/>
      <c r="D575" s="601"/>
      <c r="E575" s="601"/>
      <c r="F575" s="601"/>
      <c r="G575" s="601"/>
      <c r="H575" s="601"/>
      <c r="I575" s="601"/>
      <c r="J575" s="601"/>
      <c r="K575" s="601"/>
      <c r="L575" s="601"/>
      <c r="M575" s="601"/>
      <c r="N575" s="200"/>
      <c r="O575" s="199"/>
      <c r="P575" s="24"/>
      <c r="Q575" s="24"/>
      <c r="R575" s="398"/>
      <c r="S575" s="398"/>
      <c r="T575" s="398"/>
      <c r="U575" s="398"/>
      <c r="V575" s="398"/>
      <c r="W575" s="398"/>
      <c r="X575" s="398"/>
      <c r="Y575" s="398"/>
      <c r="Z575" s="398"/>
      <c r="AA575" s="398"/>
      <c r="AB575" s="200"/>
    </row>
    <row r="576" spans="1:41" ht="19.95" customHeight="1">
      <c r="A576" s="199"/>
      <c r="B576" s="601"/>
      <c r="C576" s="24"/>
      <c r="D576" s="24"/>
      <c r="E576" s="24"/>
      <c r="F576" s="24"/>
      <c r="G576" s="24"/>
      <c r="H576" s="24"/>
      <c r="I576" s="24"/>
      <c r="J576" s="24"/>
      <c r="K576" s="24"/>
      <c r="L576" s="24"/>
      <c r="M576" s="24"/>
      <c r="N576" s="200"/>
      <c r="O576" s="199"/>
      <c r="P576" s="394"/>
      <c r="Q576" s="24"/>
      <c r="R576" s="398"/>
      <c r="S576" s="398"/>
      <c r="T576" s="398"/>
      <c r="U576" s="398"/>
      <c r="V576" s="398"/>
      <c r="W576" s="398"/>
      <c r="X576" s="398"/>
      <c r="Y576" s="398"/>
      <c r="Z576" s="398"/>
      <c r="AA576" s="398"/>
      <c r="AB576" s="200"/>
    </row>
    <row r="577" spans="1:28" ht="19.95" customHeight="1">
      <c r="A577" s="199"/>
      <c r="B577" s="601"/>
      <c r="C577" s="601"/>
      <c r="D577" s="601"/>
      <c r="E577" s="601"/>
      <c r="F577" s="601"/>
      <c r="G577" s="601"/>
      <c r="H577" s="601"/>
      <c r="I577" s="601"/>
      <c r="J577" s="601"/>
      <c r="K577" s="601"/>
      <c r="L577" s="601"/>
      <c r="M577" s="601"/>
      <c r="N577" s="200"/>
      <c r="O577" s="199"/>
      <c r="P577" s="24"/>
      <c r="Q577" s="24"/>
      <c r="R577" s="398"/>
      <c r="S577" s="398"/>
      <c r="T577" s="398"/>
      <c r="U577" s="398"/>
      <c r="V577" s="398"/>
      <c r="W577" s="398"/>
      <c r="X577" s="398"/>
      <c r="Y577" s="398"/>
      <c r="Z577" s="398"/>
      <c r="AA577" s="398"/>
      <c r="AB577" s="200"/>
    </row>
    <row r="578" spans="1:28" ht="19.95" customHeight="1">
      <c r="A578" s="199"/>
      <c r="B578" s="601"/>
      <c r="C578" s="601"/>
      <c r="D578" s="601"/>
      <c r="E578" s="601"/>
      <c r="F578" s="601"/>
      <c r="G578" s="601"/>
      <c r="H578" s="601"/>
      <c r="I578" s="601"/>
      <c r="J578" s="601"/>
      <c r="K578" s="601"/>
      <c r="L578" s="601"/>
      <c r="M578" s="601"/>
      <c r="N578" s="200"/>
      <c r="O578" s="199"/>
      <c r="P578" s="24"/>
      <c r="Q578" s="24"/>
      <c r="R578" s="398"/>
      <c r="S578" s="398"/>
      <c r="T578" s="398"/>
      <c r="U578" s="398"/>
      <c r="V578" s="398"/>
      <c r="W578" s="398"/>
      <c r="X578" s="398"/>
      <c r="Y578" s="398"/>
      <c r="Z578" s="398"/>
      <c r="AA578" s="398"/>
      <c r="AB578" s="200"/>
    </row>
    <row r="579" spans="1:28" ht="19.95" customHeight="1">
      <c r="A579" s="199"/>
      <c r="B579" s="601"/>
      <c r="C579" s="601"/>
      <c r="D579" s="601"/>
      <c r="E579" s="601"/>
      <c r="F579" s="601"/>
      <c r="G579" s="601"/>
      <c r="H579" s="601"/>
      <c r="I579" s="601"/>
      <c r="J579" s="601"/>
      <c r="K579" s="601"/>
      <c r="L579" s="601"/>
      <c r="M579" s="601"/>
      <c r="N579" s="200"/>
      <c r="O579" s="199"/>
      <c r="P579" s="24"/>
      <c r="Q579" s="24"/>
      <c r="R579" s="398"/>
      <c r="S579" s="398"/>
      <c r="T579" s="398"/>
      <c r="U579" s="398"/>
      <c r="V579" s="398"/>
      <c r="W579" s="398"/>
      <c r="X579" s="398"/>
      <c r="Y579" s="398"/>
      <c r="Z579" s="398"/>
      <c r="AA579" s="398"/>
      <c r="AB579" s="200"/>
    </row>
    <row r="580" spans="1:28" ht="19.95" customHeight="1">
      <c r="A580" s="199"/>
      <c r="B580" s="601"/>
      <c r="C580" s="601"/>
      <c r="D580" s="601"/>
      <c r="E580" s="601"/>
      <c r="F580" s="601"/>
      <c r="G580" s="601"/>
      <c r="H580" s="601"/>
      <c r="I580" s="601"/>
      <c r="J580" s="601"/>
      <c r="K580" s="601"/>
      <c r="L580" s="601"/>
      <c r="M580" s="601"/>
      <c r="N580" s="200"/>
      <c r="O580" s="199"/>
      <c r="P580" s="24"/>
      <c r="Q580" s="24"/>
      <c r="R580" s="398"/>
      <c r="S580" s="398"/>
      <c r="T580" s="398"/>
      <c r="U580" s="398"/>
      <c r="V580" s="398"/>
      <c r="W580" s="398"/>
      <c r="X580" s="398"/>
      <c r="Y580" s="398"/>
      <c r="Z580" s="398"/>
      <c r="AA580" s="398"/>
      <c r="AB580" s="200"/>
    </row>
    <row r="581" spans="1:28" ht="19.95" customHeight="1">
      <c r="A581" s="199"/>
      <c r="B581" s="601"/>
      <c r="C581" s="601"/>
      <c r="D581" s="601"/>
      <c r="E581" s="601"/>
      <c r="F581" s="601"/>
      <c r="G581" s="601"/>
      <c r="H581" s="601"/>
      <c r="I581" s="601"/>
      <c r="J581" s="601"/>
      <c r="K581" s="601"/>
      <c r="L581" s="601"/>
      <c r="M581" s="601"/>
      <c r="N581" s="200"/>
      <c r="O581" s="199"/>
      <c r="P581" s="24"/>
      <c r="Q581" s="24"/>
      <c r="R581" s="398"/>
      <c r="S581" s="398"/>
      <c r="T581" s="398"/>
      <c r="U581" s="398"/>
      <c r="V581" s="398"/>
      <c r="W581" s="398"/>
      <c r="X581" s="398"/>
      <c r="Y581" s="398"/>
      <c r="Z581" s="398"/>
      <c r="AA581" s="398"/>
      <c r="AB581" s="200"/>
    </row>
    <row r="582" spans="1:28" ht="19.95" customHeight="1">
      <c r="A582" s="199"/>
      <c r="B582" s="601"/>
      <c r="C582" s="24"/>
      <c r="D582" s="24"/>
      <c r="E582" s="24"/>
      <c r="F582" s="24"/>
      <c r="G582" s="24"/>
      <c r="H582" s="24"/>
      <c r="I582" s="24"/>
      <c r="J582" s="24"/>
      <c r="K582" s="24"/>
      <c r="L582" s="24"/>
      <c r="M582" s="24"/>
      <c r="N582" s="200"/>
      <c r="O582" s="199"/>
      <c r="P582" s="394"/>
      <c r="Q582" s="24"/>
      <c r="R582" s="398"/>
      <c r="S582" s="398"/>
      <c r="T582" s="398"/>
      <c r="U582" s="398"/>
      <c r="V582" s="398"/>
      <c r="W582" s="398"/>
      <c r="X582" s="398"/>
      <c r="Y582" s="398"/>
      <c r="Z582" s="398"/>
      <c r="AA582" s="398"/>
      <c r="AB582" s="200"/>
    </row>
    <row r="583" spans="1:28" ht="19.95" customHeight="1">
      <c r="A583" s="199"/>
      <c r="B583" s="601"/>
      <c r="C583" s="24"/>
      <c r="D583" s="24"/>
      <c r="E583" s="24"/>
      <c r="F583" s="24"/>
      <c r="G583" s="24"/>
      <c r="H583" s="24"/>
      <c r="I583" s="24"/>
      <c r="J583" s="24"/>
      <c r="K583" s="24"/>
      <c r="L583" s="24"/>
      <c r="M583" s="24"/>
      <c r="N583" s="200"/>
      <c r="O583" s="199"/>
      <c r="P583" s="394"/>
      <c r="Q583" s="24"/>
      <c r="R583" s="398"/>
      <c r="S583" s="398"/>
      <c r="T583" s="398"/>
      <c r="U583" s="398"/>
      <c r="V583" s="398"/>
      <c r="W583" s="398"/>
      <c r="X583" s="398"/>
      <c r="Y583" s="398"/>
      <c r="Z583" s="398"/>
      <c r="AA583" s="398"/>
      <c r="AB583" s="200"/>
    </row>
    <row r="584" spans="1:28" ht="19.95" customHeight="1">
      <c r="A584" s="199"/>
      <c r="B584" s="601"/>
      <c r="C584" s="24"/>
      <c r="D584" s="24"/>
      <c r="E584" s="24"/>
      <c r="F584" s="24"/>
      <c r="G584" s="24"/>
      <c r="H584" s="24"/>
      <c r="I584" s="24"/>
      <c r="J584" s="24"/>
      <c r="K584" s="24"/>
      <c r="L584" s="24"/>
      <c r="M584" s="24"/>
      <c r="N584" s="200"/>
      <c r="O584" s="199"/>
      <c r="P584" s="394"/>
      <c r="Q584" s="24"/>
      <c r="R584" s="398"/>
      <c r="S584" s="398"/>
      <c r="T584" s="398"/>
      <c r="U584" s="398"/>
      <c r="V584" s="398"/>
      <c r="W584" s="398"/>
      <c r="X584" s="398"/>
      <c r="Y584" s="398"/>
      <c r="Z584" s="398"/>
      <c r="AA584" s="398"/>
      <c r="AB584" s="200"/>
    </row>
    <row r="585" spans="1:28" ht="19.95" customHeight="1">
      <c r="A585" s="199"/>
      <c r="B585" s="601"/>
      <c r="C585" s="24"/>
      <c r="D585" s="24"/>
      <c r="E585" s="24"/>
      <c r="F585" s="24"/>
      <c r="G585" s="24"/>
      <c r="H585" s="24"/>
      <c r="I585" s="24"/>
      <c r="J585" s="24"/>
      <c r="K585" s="24"/>
      <c r="L585" s="24"/>
      <c r="M585" s="24"/>
      <c r="N585" s="200"/>
      <c r="O585" s="199"/>
      <c r="P585" s="394"/>
      <c r="Q585" s="24"/>
      <c r="R585" s="398"/>
      <c r="S585" s="398"/>
      <c r="T585" s="398"/>
      <c r="U585" s="398"/>
      <c r="V585" s="398"/>
      <c r="W585" s="398"/>
      <c r="X585" s="398"/>
      <c r="Y585" s="398"/>
      <c r="Z585" s="398"/>
      <c r="AA585" s="398"/>
      <c r="AB585" s="200"/>
    </row>
    <row r="586" spans="1:28" ht="19.95" customHeight="1">
      <c r="A586" s="199"/>
      <c r="B586" s="601"/>
      <c r="C586" s="24"/>
      <c r="D586" s="24"/>
      <c r="E586" s="24"/>
      <c r="F586" s="24"/>
      <c r="G586" s="24"/>
      <c r="H586" s="24"/>
      <c r="I586" s="24"/>
      <c r="J586" s="24"/>
      <c r="K586" s="24"/>
      <c r="L586" s="24"/>
      <c r="M586" s="24"/>
      <c r="N586" s="200"/>
      <c r="O586" s="199"/>
      <c r="P586" s="394"/>
      <c r="Q586" s="24"/>
      <c r="R586" s="398"/>
      <c r="S586" s="398"/>
      <c r="T586" s="398"/>
      <c r="U586" s="398"/>
      <c r="V586" s="398"/>
      <c r="W586" s="398"/>
      <c r="X586" s="398"/>
      <c r="Y586" s="398"/>
      <c r="Z586" s="398"/>
      <c r="AA586" s="398"/>
      <c r="AB586" s="200"/>
    </row>
    <row r="587" spans="1:28" ht="19.95" customHeight="1">
      <c r="A587" s="199"/>
      <c r="B587" s="601"/>
      <c r="C587" s="24"/>
      <c r="D587" s="24"/>
      <c r="E587" s="24"/>
      <c r="F587" s="24"/>
      <c r="G587" s="24"/>
      <c r="H587" s="24"/>
      <c r="I587" s="24"/>
      <c r="J587" s="24"/>
      <c r="K587" s="24"/>
      <c r="L587" s="24"/>
      <c r="M587" s="24"/>
      <c r="N587" s="200"/>
      <c r="O587" s="199"/>
      <c r="P587" s="394"/>
      <c r="Q587" s="24"/>
      <c r="R587" s="398"/>
      <c r="S587" s="398"/>
      <c r="T587" s="398"/>
      <c r="U587" s="398"/>
      <c r="V587" s="398"/>
      <c r="W587" s="398"/>
      <c r="X587" s="398"/>
      <c r="Y587" s="398"/>
      <c r="Z587" s="398"/>
      <c r="AA587" s="398"/>
      <c r="AB587" s="200"/>
    </row>
    <row r="588" spans="1:28" ht="19.95" customHeight="1">
      <c r="A588" s="199"/>
      <c r="B588" s="601"/>
      <c r="C588" s="24"/>
      <c r="D588" s="24"/>
      <c r="E588" s="24"/>
      <c r="F588" s="24"/>
      <c r="G588" s="24"/>
      <c r="H588" s="24"/>
      <c r="I588" s="24"/>
      <c r="J588" s="24"/>
      <c r="K588" s="24"/>
      <c r="L588" s="24"/>
      <c r="M588" s="24"/>
      <c r="N588" s="200"/>
      <c r="O588" s="199"/>
      <c r="P588" s="394"/>
      <c r="Q588" s="24"/>
      <c r="R588" s="398"/>
      <c r="S588" s="398"/>
      <c r="T588" s="398"/>
      <c r="U588" s="398"/>
      <c r="V588" s="398"/>
      <c r="W588" s="398"/>
      <c r="X588" s="398"/>
      <c r="Y588" s="398"/>
      <c r="Z588" s="398"/>
      <c r="AA588" s="398"/>
      <c r="AB588" s="200"/>
    </row>
    <row r="589" spans="1:28" ht="19.95" customHeight="1">
      <c r="A589" s="199"/>
      <c r="B589" s="601"/>
      <c r="C589" s="601"/>
      <c r="D589" s="601"/>
      <c r="E589" s="601"/>
      <c r="F589" s="601"/>
      <c r="G589" s="601"/>
      <c r="H589" s="601"/>
      <c r="I589" s="601"/>
      <c r="J589" s="601"/>
      <c r="K589" s="601"/>
      <c r="L589" s="601"/>
      <c r="M589" s="601"/>
      <c r="N589" s="200"/>
      <c r="O589" s="199"/>
      <c r="P589" s="24"/>
      <c r="Q589" s="24"/>
      <c r="R589" s="398"/>
      <c r="S589" s="398"/>
      <c r="T589" s="398"/>
      <c r="U589" s="398"/>
      <c r="V589" s="398"/>
      <c r="W589" s="398"/>
      <c r="X589" s="398"/>
      <c r="Y589" s="398"/>
      <c r="Z589" s="398"/>
      <c r="AA589" s="398"/>
      <c r="AB589" s="200"/>
    </row>
    <row r="590" spans="1:28" ht="19.95" customHeight="1">
      <c r="A590" s="199"/>
      <c r="B590" s="393"/>
      <c r="C590" s="392"/>
      <c r="D590" s="392"/>
      <c r="E590" s="392"/>
      <c r="F590" s="392"/>
      <c r="G590" s="601"/>
      <c r="H590" s="601"/>
      <c r="I590" s="601"/>
      <c r="J590" s="601"/>
      <c r="K590" s="601"/>
      <c r="L590" s="601"/>
      <c r="M590" s="601"/>
      <c r="N590" s="392"/>
      <c r="O590" s="199"/>
      <c r="P590" s="24"/>
      <c r="Q590" s="24"/>
      <c r="R590" s="398"/>
      <c r="S590" s="398"/>
      <c r="T590" s="398"/>
      <c r="U590" s="398"/>
      <c r="V590" s="398"/>
      <c r="W590" s="398"/>
      <c r="X590" s="398"/>
      <c r="Y590" s="398"/>
      <c r="Z590" s="398"/>
      <c r="AA590" s="398"/>
      <c r="AB590" s="200"/>
    </row>
    <row r="591" spans="1:28" ht="19.95" customHeight="1">
      <c r="A591" s="199"/>
      <c r="B591" s="393"/>
      <c r="C591" s="392"/>
      <c r="D591" s="392"/>
      <c r="E591" s="392"/>
      <c r="F591" s="392"/>
      <c r="G591" s="601"/>
      <c r="H591" s="601"/>
      <c r="I591" s="601"/>
      <c r="J591" s="601"/>
      <c r="K591" s="601"/>
      <c r="L591" s="601"/>
      <c r="M591" s="601"/>
      <c r="N591" s="200"/>
      <c r="O591" s="199"/>
      <c r="P591" s="24"/>
      <c r="Q591" s="24"/>
      <c r="R591" s="398"/>
      <c r="S591" s="398"/>
      <c r="T591" s="398"/>
      <c r="U591" s="398"/>
      <c r="V591" s="398"/>
      <c r="W591" s="398"/>
      <c r="X591" s="398"/>
      <c r="Y591" s="398"/>
      <c r="Z591" s="398"/>
      <c r="AA591" s="398"/>
      <c r="AB591" s="200"/>
    </row>
    <row r="592" spans="1:28" ht="19.95" customHeight="1">
      <c r="A592" s="199"/>
      <c r="B592" s="393"/>
      <c r="C592" s="392"/>
      <c r="D592" s="392"/>
      <c r="E592" s="392"/>
      <c r="F592" s="392"/>
      <c r="G592" s="601"/>
      <c r="H592" s="601"/>
      <c r="I592" s="601"/>
      <c r="J592" s="601"/>
      <c r="K592" s="601"/>
      <c r="L592" s="601"/>
      <c r="M592" s="601"/>
      <c r="N592" s="392"/>
      <c r="O592" s="199"/>
      <c r="P592" s="24"/>
      <c r="Q592" s="24"/>
      <c r="R592" s="398"/>
      <c r="S592" s="398"/>
      <c r="T592" s="398"/>
      <c r="U592" s="398"/>
      <c r="V592" s="398"/>
      <c r="W592" s="398"/>
      <c r="X592" s="398"/>
      <c r="Y592" s="398"/>
      <c r="Z592" s="398"/>
      <c r="AA592" s="398"/>
      <c r="AB592" s="200"/>
    </row>
    <row r="593" spans="1:28" ht="19.95" customHeight="1">
      <c r="A593" s="199"/>
      <c r="B593" s="393"/>
      <c r="C593" s="392"/>
      <c r="D593" s="392"/>
      <c r="E593" s="392"/>
      <c r="F593" s="392"/>
      <c r="G593" s="601"/>
      <c r="H593" s="601"/>
      <c r="I593" s="601"/>
      <c r="J593" s="601"/>
      <c r="K593" s="601"/>
      <c r="L593" s="601"/>
      <c r="M593" s="601"/>
      <c r="N593" s="200"/>
      <c r="O593" s="199"/>
      <c r="P593" s="24"/>
      <c r="Q593" s="24"/>
      <c r="R593" s="398"/>
      <c r="S593" s="398"/>
      <c r="T593" s="398"/>
      <c r="U593" s="398"/>
      <c r="V593" s="398"/>
      <c r="W593" s="398"/>
      <c r="X593" s="398"/>
      <c r="Y593" s="398"/>
      <c r="Z593" s="398"/>
      <c r="AA593" s="398"/>
      <c r="AB593" s="200"/>
    </row>
    <row r="594" spans="1:28" ht="19.95" customHeight="1">
      <c r="A594" s="199"/>
      <c r="B594" s="24"/>
      <c r="C594" s="24"/>
      <c r="D594" s="24"/>
      <c r="E594" s="24"/>
      <c r="F594" s="24"/>
      <c r="G594" s="601"/>
      <c r="H594" s="601"/>
      <c r="I594" s="601"/>
      <c r="J594" s="601"/>
      <c r="K594" s="601"/>
      <c r="L594" s="601"/>
      <c r="M594" s="601"/>
      <c r="N594" s="200"/>
      <c r="O594" s="199"/>
      <c r="P594" s="24"/>
      <c r="Q594" s="24"/>
      <c r="R594" s="398"/>
      <c r="S594" s="398"/>
      <c r="T594" s="398"/>
      <c r="U594" s="398"/>
      <c r="V594" s="398"/>
      <c r="W594" s="398"/>
      <c r="X594" s="398"/>
      <c r="Y594" s="398"/>
      <c r="Z594" s="398"/>
      <c r="AA594" s="398"/>
      <c r="AB594" s="200"/>
    </row>
    <row r="595" spans="1:28" ht="19.95" customHeight="1">
      <c r="A595" s="199"/>
      <c r="B595" s="24"/>
      <c r="C595" s="24"/>
      <c r="D595" s="24"/>
      <c r="E595" s="24"/>
      <c r="F595" s="24"/>
      <c r="G595" s="24"/>
      <c r="H595" s="24"/>
      <c r="I595" s="24"/>
      <c r="J595" s="24"/>
      <c r="K595" s="24"/>
      <c r="L595" s="24"/>
      <c r="M595" s="24"/>
      <c r="N595" s="200"/>
      <c r="O595" s="199"/>
      <c r="P595" s="24"/>
      <c r="Q595" s="24"/>
      <c r="R595" s="398"/>
      <c r="S595" s="398"/>
      <c r="T595" s="398"/>
      <c r="U595" s="398"/>
      <c r="V595" s="398"/>
      <c r="W595" s="398"/>
      <c r="X595" s="398"/>
      <c r="Y595" s="398"/>
      <c r="Z595" s="398"/>
      <c r="AA595" s="398"/>
      <c r="AB595" s="200"/>
    </row>
    <row r="596" spans="1:28" ht="19.95" customHeight="1">
      <c r="A596" s="199"/>
      <c r="B596" s="24"/>
      <c r="C596" s="24"/>
      <c r="D596" s="24"/>
      <c r="E596" s="24"/>
      <c r="F596" s="24"/>
      <c r="G596" s="24"/>
      <c r="H596" s="24"/>
      <c r="I596" s="24"/>
      <c r="J596" s="24"/>
      <c r="K596" s="24"/>
      <c r="L596" s="24"/>
      <c r="M596" s="24"/>
      <c r="N596" s="200"/>
      <c r="O596" s="199"/>
      <c r="P596" s="899" t="s">
        <v>1704</v>
      </c>
      <c r="Q596" s="900"/>
      <c r="R596" s="900"/>
      <c r="S596" s="900"/>
      <c r="T596" s="900"/>
      <c r="U596" s="900"/>
      <c r="V596" s="901"/>
      <c r="W596" s="901"/>
      <c r="X596" s="901"/>
      <c r="Y596" s="901"/>
      <c r="Z596" s="901"/>
      <c r="AA596" s="398"/>
      <c r="AB596" s="200"/>
    </row>
    <row r="597" spans="1:28" ht="19.95" customHeight="1">
      <c r="A597" s="199"/>
      <c r="B597" s="601"/>
      <c r="C597" s="601"/>
      <c r="D597" s="601"/>
      <c r="E597" s="601"/>
      <c r="F597" s="601"/>
      <c r="G597" s="601"/>
      <c r="H597" s="601"/>
      <c r="I597" s="601"/>
      <c r="J597" s="601"/>
      <c r="K597" s="601"/>
      <c r="L597" s="601"/>
      <c r="M597" s="601"/>
      <c r="N597" s="200"/>
      <c r="O597" s="199"/>
      <c r="P597" s="902" t="s">
        <v>3203</v>
      </c>
      <c r="Q597" s="899"/>
      <c r="R597" s="900"/>
      <c r="S597" s="900"/>
      <c r="T597" s="903" t="s">
        <v>1709</v>
      </c>
      <c r="U597" s="900"/>
      <c r="V597" s="901"/>
      <c r="W597" s="901"/>
      <c r="X597" s="901"/>
      <c r="Y597" s="901"/>
      <c r="Z597" s="901"/>
      <c r="AA597" s="398"/>
      <c r="AB597" s="200"/>
    </row>
    <row r="598" spans="1:28" ht="19.95" customHeight="1">
      <c r="A598" s="199"/>
      <c r="B598" s="601"/>
      <c r="C598" s="601"/>
      <c r="D598" s="601"/>
      <c r="E598" s="601"/>
      <c r="F598" s="601"/>
      <c r="G598" s="601"/>
      <c r="H598" s="601"/>
      <c r="I598" s="601"/>
      <c r="J598" s="601"/>
      <c r="K598" s="601"/>
      <c r="L598" s="601"/>
      <c r="M598" s="601"/>
      <c r="N598" s="200"/>
      <c r="O598" s="199"/>
      <c r="P598" s="902" t="s">
        <v>3204</v>
      </c>
      <c r="Q598" s="899"/>
      <c r="R598" s="900"/>
      <c r="S598" s="900"/>
      <c r="T598" s="903" t="s">
        <v>1710</v>
      </c>
      <c r="U598" s="900"/>
      <c r="V598" s="901"/>
      <c r="W598" s="901"/>
      <c r="X598" s="901"/>
      <c r="Y598" s="901"/>
      <c r="Z598" s="901"/>
      <c r="AA598" s="398"/>
      <c r="AB598" s="200"/>
    </row>
    <row r="599" spans="1:28" ht="19.95" customHeight="1">
      <c r="A599" s="199"/>
      <c r="B599" s="601"/>
      <c r="C599" s="601"/>
      <c r="D599" s="601"/>
      <c r="E599" s="601"/>
      <c r="F599" s="601"/>
      <c r="G599" s="601"/>
      <c r="H599" s="601"/>
      <c r="I599" s="601"/>
      <c r="J599" s="601"/>
      <c r="K599" s="601"/>
      <c r="L599" s="601"/>
      <c r="M599" s="601"/>
      <c r="N599" s="200"/>
      <c r="O599" s="199"/>
      <c r="P599" s="902" t="s">
        <v>3205</v>
      </c>
      <c r="Q599" s="899"/>
      <c r="R599" s="900"/>
      <c r="S599" s="900"/>
      <c r="T599" s="903" t="s">
        <v>1711</v>
      </c>
      <c r="U599" s="900"/>
      <c r="V599" s="900"/>
      <c r="W599" s="900"/>
      <c r="X599" s="901"/>
      <c r="Y599" s="901"/>
      <c r="Z599" s="901"/>
      <c r="AA599" s="398"/>
      <c r="AB599" s="200"/>
    </row>
    <row r="600" spans="1:28" ht="19.95" customHeight="1">
      <c r="A600" s="199"/>
      <c r="B600" s="601"/>
      <c r="C600" s="601"/>
      <c r="D600" s="601"/>
      <c r="E600" s="601"/>
      <c r="F600" s="601"/>
      <c r="G600" s="601"/>
      <c r="H600" s="601"/>
      <c r="I600" s="601"/>
      <c r="J600" s="601"/>
      <c r="K600" s="24"/>
      <c r="L600" s="24"/>
      <c r="M600" s="24"/>
      <c r="N600" s="200"/>
      <c r="O600" s="199"/>
      <c r="P600" s="24"/>
      <c r="Q600" s="24"/>
      <c r="R600" s="398"/>
      <c r="S600" s="398"/>
      <c r="T600" s="398"/>
      <c r="U600" s="398"/>
      <c r="V600" s="398"/>
      <c r="W600" s="398"/>
      <c r="X600" s="398"/>
      <c r="Y600" s="398"/>
      <c r="Z600" s="398"/>
      <c r="AA600" s="398"/>
      <c r="AB600" s="200"/>
    </row>
    <row r="601" spans="1:28" ht="10.050000000000001" customHeight="1">
      <c r="A601" s="199"/>
      <c r="B601" s="24"/>
      <c r="C601" s="24"/>
      <c r="D601" s="24"/>
      <c r="E601" s="24"/>
      <c r="F601" s="24"/>
      <c r="G601" s="24"/>
      <c r="H601" s="24"/>
      <c r="I601" s="24"/>
      <c r="J601" s="24"/>
      <c r="K601" s="24"/>
      <c r="L601" s="24"/>
      <c r="M601" s="24"/>
      <c r="N601" s="200"/>
      <c r="O601" s="199"/>
      <c r="P601" s="24"/>
      <c r="Q601" s="24"/>
      <c r="R601" s="398"/>
      <c r="S601" s="398"/>
      <c r="T601" s="398"/>
      <c r="U601" s="398"/>
      <c r="V601" s="398"/>
      <c r="W601" s="398"/>
      <c r="X601" s="398"/>
      <c r="Y601" s="398"/>
      <c r="Z601" s="398"/>
      <c r="AA601" s="398"/>
      <c r="AB601" s="203"/>
    </row>
    <row r="602" spans="1:28" ht="30" customHeight="1">
      <c r="A602" s="210" t="s">
        <v>1148</v>
      </c>
      <c r="B602" s="399" t="s">
        <v>2953</v>
      </c>
      <c r="C602" s="396"/>
      <c r="D602" s="396"/>
      <c r="E602" s="396"/>
      <c r="F602" s="396"/>
      <c r="G602" s="396"/>
      <c r="H602" s="396"/>
      <c r="I602" s="396"/>
      <c r="J602" s="396"/>
      <c r="K602" s="373"/>
      <c r="L602" s="373"/>
      <c r="M602" s="373"/>
      <c r="N602" s="211" t="s">
        <v>1149</v>
      </c>
      <c r="O602" s="372"/>
      <c r="P602" s="374"/>
      <c r="Q602" s="373"/>
      <c r="R602" s="373"/>
      <c r="S602" s="373"/>
      <c r="T602" s="373"/>
      <c r="U602" s="373"/>
      <c r="V602" s="373"/>
      <c r="W602" s="373"/>
      <c r="X602" s="373"/>
      <c r="Y602" s="373"/>
      <c r="Z602" s="373"/>
      <c r="AA602" s="373"/>
      <c r="AB602" s="211" t="s">
        <v>1149</v>
      </c>
    </row>
    <row r="603" spans="1:28" ht="10.050000000000001" customHeight="1">
      <c r="A603" s="199"/>
      <c r="B603" s="24"/>
      <c r="C603" s="24"/>
      <c r="D603" s="24"/>
      <c r="E603" s="24"/>
      <c r="F603" s="24"/>
      <c r="G603" s="24"/>
      <c r="H603" s="24"/>
      <c r="I603" s="24"/>
      <c r="J603" s="24"/>
      <c r="K603" s="24"/>
      <c r="L603" s="24"/>
      <c r="M603" s="24"/>
      <c r="N603" s="200"/>
      <c r="O603" s="199"/>
      <c r="P603" s="24"/>
      <c r="Q603" s="24"/>
      <c r="R603" s="24"/>
      <c r="S603" s="24"/>
      <c r="T603" s="24"/>
      <c r="U603" s="24"/>
      <c r="V603" s="24"/>
      <c r="W603" s="24"/>
      <c r="X603" s="24"/>
      <c r="Y603" s="24"/>
      <c r="Z603" s="24"/>
      <c r="AA603" s="24"/>
      <c r="AB603" s="200"/>
    </row>
    <row r="604" spans="1:28" ht="19.95" customHeight="1">
      <c r="A604" s="199"/>
      <c r="B604" s="394"/>
      <c r="C604" s="24"/>
      <c r="D604" s="24"/>
      <c r="E604" s="24"/>
      <c r="F604" s="24"/>
      <c r="G604" s="24"/>
      <c r="H604" s="24"/>
      <c r="I604" s="24"/>
      <c r="J604" s="24"/>
      <c r="K604" s="24"/>
      <c r="L604" s="24"/>
      <c r="M604" s="24"/>
      <c r="N604" s="200"/>
      <c r="O604" s="199"/>
      <c r="P604" s="24"/>
      <c r="Q604" s="24"/>
      <c r="R604" s="398"/>
      <c r="S604" s="398"/>
      <c r="T604" s="398"/>
      <c r="U604" s="398"/>
      <c r="V604" s="398"/>
      <c r="W604" s="398"/>
      <c r="X604" s="398"/>
      <c r="Y604" s="398"/>
      <c r="Z604" s="398"/>
      <c r="AA604" s="398"/>
      <c r="AB604" s="200"/>
    </row>
    <row r="605" spans="1:28" ht="19.95" customHeight="1">
      <c r="A605" s="199"/>
      <c r="B605" s="601"/>
      <c r="C605" s="601"/>
      <c r="D605" s="601"/>
      <c r="E605" s="601"/>
      <c r="F605" s="601"/>
      <c r="G605" s="601"/>
      <c r="H605" s="601"/>
      <c r="I605" s="601"/>
      <c r="J605" s="601"/>
      <c r="K605" s="601"/>
      <c r="L605" s="601"/>
      <c r="M605" s="601"/>
      <c r="N605" s="200"/>
      <c r="O605" s="199"/>
      <c r="P605" s="24"/>
      <c r="Q605" s="24"/>
      <c r="R605" s="398"/>
      <c r="S605" s="398"/>
      <c r="T605" s="398"/>
      <c r="U605" s="398"/>
      <c r="V605" s="398"/>
      <c r="W605" s="398"/>
      <c r="X605" s="398"/>
      <c r="Y605" s="398"/>
      <c r="Z605" s="398"/>
      <c r="AA605" s="398"/>
      <c r="AB605" s="200"/>
    </row>
    <row r="606" spans="1:28" ht="19.95" customHeight="1">
      <c r="A606" s="199"/>
      <c r="B606" s="601"/>
      <c r="C606" s="601"/>
      <c r="D606" s="601"/>
      <c r="E606" s="601"/>
      <c r="F606" s="601"/>
      <c r="G606" s="601"/>
      <c r="H606" s="601"/>
      <c r="I606" s="601"/>
      <c r="J606" s="601"/>
      <c r="K606" s="601"/>
      <c r="L606" s="601"/>
      <c r="M606" s="601"/>
      <c r="N606" s="200"/>
      <c r="O606" s="199"/>
      <c r="P606" s="24"/>
      <c r="Q606" s="24"/>
      <c r="R606" s="398"/>
      <c r="S606" s="398"/>
      <c r="T606" s="398"/>
      <c r="U606" s="398"/>
      <c r="V606" s="398"/>
      <c r="W606" s="398"/>
      <c r="X606" s="398"/>
      <c r="Y606" s="398"/>
      <c r="Z606" s="398"/>
      <c r="AA606" s="398"/>
      <c r="AB606" s="200"/>
    </row>
    <row r="607" spans="1:28" ht="19.95" customHeight="1">
      <c r="A607" s="199"/>
      <c r="B607" s="601"/>
      <c r="C607" s="601"/>
      <c r="D607" s="601"/>
      <c r="E607" s="601"/>
      <c r="F607" s="601"/>
      <c r="G607" s="601"/>
      <c r="H607" s="601"/>
      <c r="I607" s="601"/>
      <c r="J607" s="601"/>
      <c r="K607" s="601"/>
      <c r="L607" s="601"/>
      <c r="M607" s="601"/>
      <c r="N607" s="200"/>
      <c r="O607" s="199"/>
      <c r="P607" s="24"/>
      <c r="Q607" s="24"/>
      <c r="R607" s="398"/>
      <c r="S607" s="398"/>
      <c r="T607" s="398"/>
      <c r="U607" s="398"/>
      <c r="V607" s="398"/>
      <c r="W607" s="398"/>
      <c r="X607" s="398"/>
      <c r="Y607" s="398"/>
      <c r="Z607" s="398"/>
      <c r="AA607" s="398"/>
      <c r="AB607" s="200"/>
    </row>
    <row r="608" spans="1:28" ht="19.95" customHeight="1">
      <c r="A608" s="199"/>
      <c r="B608" s="601"/>
      <c r="C608" s="601"/>
      <c r="D608" s="601"/>
      <c r="E608" s="601"/>
      <c r="F608" s="601"/>
      <c r="G608" s="601"/>
      <c r="H608" s="601"/>
      <c r="I608" s="601"/>
      <c r="J608" s="601"/>
      <c r="K608" s="601"/>
      <c r="L608" s="601"/>
      <c r="M608" s="601"/>
      <c r="N608" s="200"/>
      <c r="O608" s="199"/>
      <c r="P608" s="24"/>
      <c r="Q608" s="24"/>
      <c r="R608" s="398"/>
      <c r="S608" s="398"/>
      <c r="T608" s="398"/>
      <c r="U608" s="398"/>
      <c r="V608" s="398"/>
      <c r="W608" s="398"/>
      <c r="X608" s="398"/>
      <c r="Y608" s="398"/>
      <c r="Z608" s="398"/>
      <c r="AA608" s="398"/>
      <c r="AB608" s="200"/>
    </row>
    <row r="609" spans="1:46" ht="19.95" customHeight="1">
      <c r="A609" s="199"/>
      <c r="B609" s="601"/>
      <c r="C609" s="601"/>
      <c r="D609" s="601"/>
      <c r="E609" s="601"/>
      <c r="F609" s="601"/>
      <c r="G609" s="601"/>
      <c r="H609" s="601"/>
      <c r="I609" s="601"/>
      <c r="J609" s="601"/>
      <c r="K609" s="601"/>
      <c r="L609" s="601"/>
      <c r="M609" s="601"/>
      <c r="N609" s="200"/>
      <c r="O609" s="199"/>
      <c r="P609" s="24"/>
      <c r="Q609" s="24"/>
      <c r="R609" s="398"/>
      <c r="S609" s="398"/>
      <c r="T609" s="398"/>
      <c r="U609" s="398"/>
      <c r="V609" s="398"/>
      <c r="W609" s="398"/>
      <c r="X609" s="398"/>
      <c r="Y609" s="398"/>
      <c r="Z609" s="398"/>
      <c r="AA609" s="398"/>
      <c r="AB609" s="200"/>
    </row>
    <row r="610" spans="1:46" ht="19.95" customHeight="1">
      <c r="A610" s="199"/>
      <c r="B610" s="394"/>
      <c r="C610" s="24"/>
      <c r="D610" s="24"/>
      <c r="E610" s="24"/>
      <c r="F610" s="24"/>
      <c r="G610" s="24"/>
      <c r="H610" s="24"/>
      <c r="I610" s="24"/>
      <c r="J610" s="24"/>
      <c r="K610" s="24"/>
      <c r="L610" s="24"/>
      <c r="M610" s="24"/>
      <c r="N610" s="200"/>
      <c r="O610" s="199"/>
      <c r="P610" s="394"/>
      <c r="Q610" s="24"/>
      <c r="R610" s="398"/>
      <c r="S610" s="398"/>
      <c r="T610" s="398"/>
      <c r="U610" s="398"/>
      <c r="V610" s="398"/>
      <c r="W610" s="398"/>
      <c r="X610" s="398"/>
      <c r="Y610" s="398"/>
      <c r="Z610" s="398"/>
      <c r="AA610" s="398"/>
      <c r="AB610" s="200"/>
    </row>
    <row r="611" spans="1:46" ht="19.95" customHeight="1">
      <c r="A611" s="199"/>
      <c r="B611" s="621"/>
      <c r="C611" s="601"/>
      <c r="D611" s="601"/>
      <c r="E611" s="601"/>
      <c r="F611" s="601"/>
      <c r="G611" s="601"/>
      <c r="H611" s="601"/>
      <c r="I611" s="601"/>
      <c r="J611" s="601"/>
      <c r="K611" s="601"/>
      <c r="L611" s="601"/>
      <c r="M611" s="601"/>
      <c r="N611" s="200"/>
      <c r="O611" s="199"/>
      <c r="P611" s="24"/>
      <c r="Q611" s="24"/>
      <c r="R611" s="398"/>
      <c r="S611" s="398"/>
      <c r="T611" s="398"/>
      <c r="U611" s="398"/>
      <c r="V611" s="398"/>
      <c r="W611" s="398"/>
      <c r="X611" s="398"/>
      <c r="Y611" s="398"/>
      <c r="Z611" s="398"/>
      <c r="AA611" s="398"/>
      <c r="AB611" s="200"/>
    </row>
    <row r="612" spans="1:46" ht="19.95" customHeight="1">
      <c r="A612" s="199"/>
      <c r="B612" s="601"/>
      <c r="C612" s="601"/>
      <c r="D612" s="601"/>
      <c r="E612" s="601"/>
      <c r="F612" s="601"/>
      <c r="G612" s="601"/>
      <c r="H612" s="601"/>
      <c r="I612" s="601"/>
      <c r="J612" s="601"/>
      <c r="K612" s="601"/>
      <c r="L612" s="601"/>
      <c r="M612" s="601"/>
      <c r="N612" s="200"/>
      <c r="O612" s="199"/>
      <c r="P612" s="24"/>
      <c r="Q612" s="24"/>
      <c r="R612" s="398"/>
      <c r="S612" s="398"/>
      <c r="T612" s="398"/>
      <c r="U612" s="398"/>
      <c r="V612" s="398"/>
      <c r="W612" s="398"/>
      <c r="X612" s="398"/>
      <c r="Y612" s="398"/>
      <c r="Z612" s="398"/>
      <c r="AA612" s="398"/>
      <c r="AB612" s="200"/>
    </row>
    <row r="613" spans="1:46" ht="19.95" customHeight="1">
      <c r="A613" s="199"/>
      <c r="B613" s="601"/>
      <c r="C613" s="601"/>
      <c r="D613" s="601"/>
      <c r="E613" s="601"/>
      <c r="F613" s="601"/>
      <c r="G613" s="601"/>
      <c r="H613" s="601"/>
      <c r="I613" s="601"/>
      <c r="J613" s="601"/>
      <c r="K613" s="601"/>
      <c r="L613" s="601"/>
      <c r="M613" s="601"/>
      <c r="N613" s="200"/>
      <c r="O613" s="199"/>
      <c r="P613" s="24"/>
      <c r="Q613" s="24"/>
      <c r="R613" s="398"/>
      <c r="S613" s="398"/>
      <c r="T613" s="398"/>
      <c r="U613" s="398"/>
      <c r="V613" s="398"/>
      <c r="W613" s="398"/>
      <c r="X613" s="398"/>
      <c r="Y613" s="398"/>
      <c r="Z613" s="398"/>
      <c r="AA613" s="398"/>
      <c r="AB613" s="200"/>
    </row>
    <row r="614" spans="1:46" ht="19.95" customHeight="1">
      <c r="A614" s="199"/>
      <c r="B614" s="601"/>
      <c r="C614" s="601"/>
      <c r="D614" s="601"/>
      <c r="E614" s="601"/>
      <c r="F614" s="601"/>
      <c r="G614" s="601"/>
      <c r="H614" s="601"/>
      <c r="I614" s="601"/>
      <c r="J614" s="601"/>
      <c r="K614" s="601"/>
      <c r="L614" s="601"/>
      <c r="M614" s="601"/>
      <c r="N614" s="200"/>
      <c r="O614" s="199"/>
      <c r="P614" s="24"/>
      <c r="Q614" s="24"/>
      <c r="R614" s="398"/>
      <c r="S614" s="398"/>
      <c r="T614" s="398"/>
      <c r="U614" s="398"/>
      <c r="V614" s="398"/>
      <c r="W614" s="398"/>
      <c r="X614" s="398"/>
      <c r="Y614" s="398"/>
      <c r="Z614" s="398"/>
      <c r="AA614" s="398"/>
      <c r="AB614" s="200"/>
    </row>
    <row r="615" spans="1:46" ht="19.95" customHeight="1">
      <c r="A615" s="199"/>
      <c r="B615" s="601"/>
      <c r="C615" s="601"/>
      <c r="D615" s="601"/>
      <c r="E615" s="601"/>
      <c r="F615" s="601"/>
      <c r="G615" s="601"/>
      <c r="H615" s="601"/>
      <c r="I615" s="601"/>
      <c r="J615" s="601"/>
      <c r="K615" s="601"/>
      <c r="L615" s="601"/>
      <c r="M615" s="601"/>
      <c r="N615" s="200"/>
      <c r="O615" s="199"/>
      <c r="P615" s="24"/>
      <c r="Q615" s="24"/>
      <c r="R615" s="398"/>
      <c r="S615" s="398"/>
      <c r="T615" s="398"/>
      <c r="U615" s="398"/>
      <c r="V615" s="398"/>
      <c r="W615" s="398"/>
      <c r="X615" s="398"/>
      <c r="Y615" s="398"/>
      <c r="Z615" s="398"/>
      <c r="AA615" s="398"/>
      <c r="AB615" s="200"/>
    </row>
    <row r="616" spans="1:46" ht="19.95" customHeight="1">
      <c r="A616" s="199"/>
      <c r="B616" s="621"/>
      <c r="C616" s="24"/>
      <c r="D616" s="24"/>
      <c r="E616" s="24"/>
      <c r="F616" s="24"/>
      <c r="G616" s="24"/>
      <c r="H616" s="24"/>
      <c r="I616" s="24"/>
      <c r="J616" s="24"/>
      <c r="K616" s="24"/>
      <c r="L616" s="24"/>
      <c r="M616" s="24"/>
      <c r="N616" s="200"/>
      <c r="O616" s="199"/>
      <c r="P616" s="394"/>
      <c r="Q616" s="24"/>
      <c r="R616" s="398"/>
      <c r="S616" s="398"/>
      <c r="T616" s="398"/>
      <c r="U616" s="398"/>
      <c r="V616" s="398"/>
      <c r="W616" s="398"/>
      <c r="X616" s="398"/>
      <c r="Y616" s="398"/>
      <c r="Z616" s="398"/>
      <c r="AA616" s="398"/>
      <c r="AB616" s="200"/>
    </row>
    <row r="617" spans="1:46" ht="19.95" customHeight="1">
      <c r="A617" s="199"/>
      <c r="B617" s="601"/>
      <c r="C617" s="601"/>
      <c r="D617" s="601"/>
      <c r="E617" s="601"/>
      <c r="F617" s="601"/>
      <c r="G617" s="601"/>
      <c r="H617" s="601"/>
      <c r="I617" s="601"/>
      <c r="J617" s="601"/>
      <c r="K617" s="601"/>
      <c r="L617" s="601"/>
      <c r="M617" s="601"/>
      <c r="N617" s="200"/>
      <c r="O617" s="199"/>
      <c r="P617" s="24"/>
      <c r="Q617" s="24"/>
      <c r="R617" s="398"/>
      <c r="S617" s="398"/>
      <c r="T617" s="398"/>
      <c r="U617" s="398"/>
      <c r="V617" s="398"/>
      <c r="W617" s="398"/>
      <c r="X617" s="398"/>
      <c r="Y617" s="398"/>
      <c r="Z617" s="398"/>
      <c r="AA617" s="398"/>
      <c r="AB617" s="200"/>
    </row>
    <row r="618" spans="1:46" ht="19.95" customHeight="1">
      <c r="A618" s="199"/>
      <c r="B618" s="601"/>
      <c r="C618" s="601"/>
      <c r="D618" s="601"/>
      <c r="E618" s="601"/>
      <c r="F618" s="601"/>
      <c r="G618" s="601"/>
      <c r="H618" s="601"/>
      <c r="I618" s="601"/>
      <c r="J618" s="601"/>
      <c r="K618" s="601"/>
      <c r="L618" s="601"/>
      <c r="M618" s="601"/>
      <c r="N618" s="200"/>
      <c r="O618" s="199"/>
      <c r="P618" s="24"/>
      <c r="Q618" s="24"/>
      <c r="R618" s="398"/>
      <c r="S618" s="398"/>
      <c r="T618" s="398"/>
      <c r="U618" s="398"/>
      <c r="V618" s="398"/>
      <c r="W618" s="398"/>
      <c r="X618" s="398"/>
      <c r="Y618" s="398"/>
      <c r="Z618" s="398"/>
      <c r="AA618" s="398"/>
      <c r="AB618" s="200"/>
    </row>
    <row r="619" spans="1:46" ht="19.95" customHeight="1">
      <c r="A619" s="199"/>
      <c r="B619" s="601"/>
      <c r="C619" s="601"/>
      <c r="D619" s="601"/>
      <c r="E619" s="601"/>
      <c r="F619" s="601"/>
      <c r="G619" s="601"/>
      <c r="H619" s="601"/>
      <c r="I619" s="601"/>
      <c r="J619" s="601"/>
      <c r="K619" s="601"/>
      <c r="L619" s="601"/>
      <c r="M619" s="601"/>
      <c r="N619" s="200"/>
      <c r="O619" s="199"/>
      <c r="P619" s="24"/>
      <c r="Q619" s="24"/>
      <c r="R619" s="398"/>
      <c r="S619" s="398"/>
      <c r="T619" s="398"/>
      <c r="U619" s="398"/>
      <c r="V619" s="398"/>
      <c r="W619" s="398"/>
      <c r="X619" s="398"/>
      <c r="Y619" s="398"/>
      <c r="Z619" s="398"/>
      <c r="AA619" s="398"/>
      <c r="AB619" s="200"/>
      <c r="AH619" s="910">
        <v>1</v>
      </c>
      <c r="AI619" s="2" t="str">
        <f>B630</f>
        <v>Name</v>
      </c>
      <c r="AK619" s="2">
        <f>IF(F630=$AK$630,$AJ$630,IF(F630=$AK$631,$AJ$631,IF(F630=$AK$632,$AJ$632,0)))</f>
        <v>0.5</v>
      </c>
      <c r="AM619" s="2">
        <f>IF(H630=$AM$630,$AJ$630,IF(H630=$AM$631,$AJ$631,IF(H630=$AM$632,$AJ$632,0)))</f>
        <v>1</v>
      </c>
      <c r="AO619" s="2">
        <f>IF(J630=$AO$630,$AJ$630,IF(J630=$AO$631,$AJ$631,IF(J630=$AO$632,$AJ$632,0)))</f>
        <v>1</v>
      </c>
      <c r="AQ619" s="2">
        <f>IF(L630=$AQ$630,$AS$630,IF(L630=$AQ$631,$AS$631,IF(L630=$AQ$632,$AS$632,IF(L630=$AQ$633,$AS$633,0))))</f>
        <v>0.33</v>
      </c>
      <c r="AS619" s="37">
        <f>AVERAGE(AK619,AM619,AO619,AQ619)</f>
        <v>0.70750000000000002</v>
      </c>
      <c r="AT619" s="721" t="str">
        <f>IF(AND(AS619&gt;AS$632,AS619&lt;=AS$633),"u",IF(AND(AS619&gt;AS$631,AS619&lt;=AS$632),"q",IF(AND(AS619&gt;AS$630,AS619&lt;=AS$631),"s","")))</f>
        <v>u</v>
      </c>
    </row>
    <row r="620" spans="1:46" ht="19.95" customHeight="1">
      <c r="A620" s="199"/>
      <c r="B620" s="659"/>
      <c r="C620" s="601"/>
      <c r="D620" s="601"/>
      <c r="E620" s="601"/>
      <c r="F620" s="601"/>
      <c r="G620" s="601"/>
      <c r="H620" s="601"/>
      <c r="I620" s="601"/>
      <c r="J620" s="601"/>
      <c r="K620" s="601"/>
      <c r="L620" s="601"/>
      <c r="M620" s="601"/>
      <c r="N620" s="200"/>
      <c r="O620" s="199"/>
      <c r="P620" s="24"/>
      <c r="Q620" s="24"/>
      <c r="R620" s="398"/>
      <c r="S620" s="398"/>
      <c r="T620" s="398"/>
      <c r="U620" s="398"/>
      <c r="V620" s="398"/>
      <c r="W620" s="398"/>
      <c r="X620" s="398"/>
      <c r="Y620" s="398"/>
      <c r="Z620" s="398"/>
      <c r="AA620" s="398"/>
      <c r="AB620" s="200"/>
      <c r="AH620" s="910">
        <v>2</v>
      </c>
      <c r="AI620" s="2" t="str">
        <f>B631</f>
        <v>Name</v>
      </c>
      <c r="AK620" s="2">
        <f>IF(F631=$AK$630,$AJ$630,IF(F631=$AK$631,$AJ$631,IF(F631=$AK$632,$AJ$632,0)))</f>
        <v>0</v>
      </c>
      <c r="AM620" s="2">
        <f>IF(H631=$AM$630,$AJ$630,IF(H631=$AM$631,$AJ$631,IF(H631=$AM$632,$AJ$632,0)))</f>
        <v>0</v>
      </c>
      <c r="AO620" s="2">
        <f>IF(J631=$AO$630,$AJ$630,IF(J631=$AO$631,$AJ$631,IF(J631=$AO$632,$AJ$632,0)))</f>
        <v>0</v>
      </c>
      <c r="AQ620" s="2">
        <f>IF(L631=$AQ$630,$AS$630,IF(L631=$AQ$631,$AS$631,IF(L631=$AQ$632,$AS$632,IF(L631=$AQ$633,$AS$633,0))))</f>
        <v>0</v>
      </c>
      <c r="AS620" s="37">
        <f>AVERAGE(AK620,AM620,AO620,AQ620)</f>
        <v>0</v>
      </c>
      <c r="AT620" s="721" t="str">
        <f>IF(AND(AS620&gt;AS$632,AS620&lt;=AS$633),"u",IF(AND(AS620&gt;AS$631,AS620&lt;=AS$632),"q",IF(AND(AS620&gt;AS$630,AS620&lt;=AS$631),"s","")))</f>
        <v/>
      </c>
    </row>
    <row r="621" spans="1:46" ht="19.95" customHeight="1">
      <c r="A621" s="199"/>
      <c r="B621" s="601"/>
      <c r="C621" s="601"/>
      <c r="D621" s="601"/>
      <c r="E621" s="601"/>
      <c r="F621" s="601"/>
      <c r="G621" s="601"/>
      <c r="H621" s="601"/>
      <c r="I621" s="601"/>
      <c r="J621" s="601"/>
      <c r="K621" s="601"/>
      <c r="L621" s="601"/>
      <c r="M621" s="601"/>
      <c r="N621" s="200"/>
      <c r="O621" s="199"/>
      <c r="P621" s="24"/>
      <c r="Q621" s="24"/>
      <c r="R621" s="398"/>
      <c r="S621" s="398"/>
      <c r="T621" s="398"/>
      <c r="U621" s="398"/>
      <c r="V621" s="398"/>
      <c r="W621" s="398"/>
      <c r="X621" s="398"/>
      <c r="Y621" s="398"/>
      <c r="Z621" s="398"/>
      <c r="AA621" s="398"/>
      <c r="AB621" s="200"/>
      <c r="AH621" s="910">
        <v>3</v>
      </c>
      <c r="AI621" s="2" t="str">
        <f>B632</f>
        <v>Name</v>
      </c>
      <c r="AK621" s="2">
        <f>IF(F632=$AK$630,$AJ$630,IF(F632=$AK$631,$AJ$631,IF(F632=$AK$632,$AJ$632,0)))</f>
        <v>0</v>
      </c>
      <c r="AM621" s="2">
        <f>IF(H632=$AM$630,$AJ$630,IF(H632=$AM$631,$AJ$631,IF(H632=$AM$632,$AJ$632,0)))</f>
        <v>0</v>
      </c>
      <c r="AO621" s="2">
        <f>IF(J632=$AO$630,$AJ$630,IF(J632=$AO$631,$AJ$631,IF(J632=$AO$632,$AJ$632,0)))</f>
        <v>0</v>
      </c>
      <c r="AQ621" s="2">
        <f>IF(L632=$AQ$630,$AS$630,IF(L632=$AQ$631,$AS$631,IF(L632=$AQ$632,$AS$632,IF(L632=$AQ$633,$AS$633,0))))</f>
        <v>0</v>
      </c>
      <c r="AS621" s="37">
        <f>AVERAGE(AK621,AM621,AO621,AQ621)</f>
        <v>0</v>
      </c>
      <c r="AT621" s="721" t="str">
        <f>IF(AND(AS621&gt;AS$632,AS621&lt;=AS$633),"u",IF(AND(AS621&gt;AS$631,AS621&lt;=AS$632),"q",IF(AND(AS621&gt;AS$630,AS621&lt;=AS$631),"s","")))</f>
        <v/>
      </c>
    </row>
    <row r="622" spans="1:46" ht="19.95" customHeight="1">
      <c r="A622" s="199"/>
      <c r="B622" s="601"/>
      <c r="C622" s="391"/>
      <c r="D622" s="391"/>
      <c r="E622" s="391"/>
      <c r="F622" s="391"/>
      <c r="G622" s="601"/>
      <c r="H622" s="601"/>
      <c r="I622" s="601"/>
      <c r="J622" s="601"/>
      <c r="K622" s="601"/>
      <c r="L622" s="601"/>
      <c r="M622" s="601"/>
      <c r="N622" s="200"/>
      <c r="O622" s="199"/>
      <c r="P622" s="24"/>
      <c r="Q622" s="24"/>
      <c r="R622" s="398"/>
      <c r="S622" s="398"/>
      <c r="T622" s="398"/>
      <c r="U622" s="398"/>
      <c r="V622" s="398"/>
      <c r="W622" s="398"/>
      <c r="X622" s="398"/>
      <c r="Y622" s="398"/>
      <c r="Z622" s="398"/>
      <c r="AA622" s="24"/>
      <c r="AB622" s="200"/>
      <c r="AH622" s="910">
        <v>4</v>
      </c>
      <c r="AI622" s="2" t="str">
        <f>B633</f>
        <v>Name</v>
      </c>
      <c r="AK622" s="2">
        <f>IF(F633=$AK$630,$AJ$630,IF(F633=$AK$631,$AJ$631,IF(F633=$AK$632,$AJ$632,0)))</f>
        <v>0</v>
      </c>
      <c r="AM622" s="2">
        <f>IF(H633=$AM$630,$AJ$630,IF(H633=$AM$631,$AJ$631,IF(H633=$AM$632,$AJ$632,0)))</f>
        <v>0</v>
      </c>
      <c r="AO622" s="2">
        <f>IF(J633=$AO$630,$AJ$630,IF(J633=$AO$631,$AJ$631,IF(J633=$AO$632,$AJ$632,0)))</f>
        <v>0</v>
      </c>
      <c r="AQ622" s="2">
        <f>IF(L633=$AQ$630,$AS$630,IF(L633=$AQ$631,$AS$631,IF(L633=$AQ$632,$AS$632,IF(L633=$AQ$633,$AS$633,0))))</f>
        <v>0</v>
      </c>
      <c r="AS622" s="37">
        <f>AVERAGE(AK622,AM622,AO622,AQ622)</f>
        <v>0</v>
      </c>
      <c r="AT622" s="721" t="str">
        <f>IF(AND(AS622&gt;AS$632,AS622&lt;=AS$633),"u",IF(AND(AS622&gt;AS$631,AS622&lt;=AS$632),"q",IF(AND(AS622&gt;AS$630,AS622&lt;=AS$631),"s","")))</f>
        <v/>
      </c>
    </row>
    <row r="623" spans="1:46" ht="19.95" customHeight="1">
      <c r="A623" s="199"/>
      <c r="B623" s="601"/>
      <c r="C623" s="392"/>
      <c r="D623" s="392"/>
      <c r="E623" s="392"/>
      <c r="F623" s="392"/>
      <c r="G623" s="601"/>
      <c r="H623" s="601"/>
      <c r="I623" s="601"/>
      <c r="J623" s="601"/>
      <c r="K623" s="601"/>
      <c r="L623" s="601"/>
      <c r="M623" s="601"/>
      <c r="N623" s="200"/>
      <c r="O623" s="199"/>
      <c r="P623" s="24"/>
      <c r="Q623" s="24"/>
      <c r="R623" s="398"/>
      <c r="S623" s="398"/>
      <c r="T623" s="398"/>
      <c r="U623" s="398"/>
      <c r="V623" s="398"/>
      <c r="W623" s="398"/>
      <c r="X623" s="398"/>
      <c r="Y623" s="398"/>
      <c r="Z623" s="398"/>
      <c r="AA623" s="398"/>
      <c r="AB623" s="200"/>
      <c r="AH623" s="910">
        <v>5</v>
      </c>
      <c r="AI623" s="2" t="str">
        <f>B634</f>
        <v>Name</v>
      </c>
      <c r="AK623" s="2">
        <f>IF(F634=$AK$630,$AJ$630,IF(F634=$AK$631,$AJ$631,IF(F634=$AK$632,$AJ$632,0)))</f>
        <v>0</v>
      </c>
      <c r="AM623" s="2">
        <f>IF(H634=$AM$630,$AJ$630,IF(H634=$AM$631,$AJ$631,IF(H634=$AM$632,$AJ$632,0)))</f>
        <v>0</v>
      </c>
      <c r="AO623" s="2">
        <f>IF(J634=$AO$630,$AJ$630,IF(J634=$AO$631,$AJ$631,IF(J634=$AO$632,$AJ$632,0)))</f>
        <v>0</v>
      </c>
      <c r="AQ623" s="2">
        <f>IF(L634=$AQ$630,$AS$630,IF(L634=$AQ$631,$AS$631,IF(L634=$AQ$632,$AS$632,IF(L634=$AQ$633,$AS$633,0))))</f>
        <v>0</v>
      </c>
      <c r="AS623" s="37">
        <f>AVERAGE(AK623,AM623,AO623,AQ623)</f>
        <v>0</v>
      </c>
      <c r="AT623" s="721" t="str">
        <f>IF(AND(AS623&gt;AS$632,AS623&lt;=AS$633),"u",IF(AND(AS623&gt;AS$631,AS623&lt;=AS$632),"q",IF(AND(AS623&gt;AS$630,AS623&lt;=AS$631),"s","")))</f>
        <v/>
      </c>
    </row>
    <row r="624" spans="1:46" ht="19.95" customHeight="1">
      <c r="A624" s="199"/>
      <c r="B624" s="393"/>
      <c r="C624" s="392"/>
      <c r="D624" s="392"/>
      <c r="E624" s="392"/>
      <c r="F624" s="392"/>
      <c r="G624" s="601"/>
      <c r="H624" s="601"/>
      <c r="I624" s="601"/>
      <c r="J624" s="601"/>
      <c r="K624" s="601"/>
      <c r="L624" s="601"/>
      <c r="M624" s="601"/>
      <c r="N624" s="392"/>
      <c r="O624" s="199"/>
      <c r="P624" s="24"/>
      <c r="Q624" s="24"/>
      <c r="R624" s="398"/>
      <c r="S624" s="398"/>
      <c r="T624" s="398"/>
      <c r="U624" s="398"/>
      <c r="V624" s="398"/>
      <c r="W624" s="398"/>
      <c r="X624" s="398"/>
      <c r="Y624" s="398"/>
      <c r="Z624" s="398"/>
      <c r="AA624" s="398"/>
      <c r="AB624" s="200"/>
    </row>
    <row r="625" spans="1:45" ht="19.95" customHeight="1">
      <c r="A625" s="199"/>
      <c r="B625" s="393"/>
      <c r="C625" s="392"/>
      <c r="D625" s="392"/>
      <c r="E625" s="392"/>
      <c r="F625" s="392"/>
      <c r="G625" s="601"/>
      <c r="H625" s="601"/>
      <c r="I625" s="601"/>
      <c r="J625" s="601"/>
      <c r="K625" s="601"/>
      <c r="L625" s="601"/>
      <c r="M625" s="601"/>
      <c r="N625" s="200"/>
      <c r="O625" s="199"/>
      <c r="P625" s="24"/>
      <c r="Q625" s="24"/>
      <c r="R625" s="398"/>
      <c r="S625" s="398"/>
      <c r="T625" s="398"/>
      <c r="U625" s="398"/>
      <c r="V625" s="398"/>
      <c r="W625" s="398"/>
      <c r="X625" s="398"/>
      <c r="Y625" s="398"/>
      <c r="Z625" s="398"/>
      <c r="AA625" s="398"/>
      <c r="AB625" s="200"/>
    </row>
    <row r="626" spans="1:45" ht="19.95" customHeight="1">
      <c r="A626" s="199"/>
      <c r="B626" s="393"/>
      <c r="C626" s="392"/>
      <c r="D626" s="392"/>
      <c r="E626" s="392"/>
      <c r="F626" s="392"/>
      <c r="G626" s="601"/>
      <c r="H626" s="601"/>
      <c r="I626" s="601"/>
      <c r="J626" s="601"/>
      <c r="K626" s="601"/>
      <c r="L626" s="601"/>
      <c r="M626" s="601"/>
      <c r="N626" s="392"/>
      <c r="O626" s="199"/>
      <c r="P626" s="24"/>
      <c r="Q626" s="24"/>
      <c r="R626" s="398"/>
      <c r="S626" s="398"/>
      <c r="T626" s="398"/>
      <c r="U626" s="398"/>
      <c r="V626" s="398"/>
      <c r="W626" s="398"/>
      <c r="X626" s="398"/>
      <c r="Y626" s="398"/>
      <c r="Z626" s="398"/>
      <c r="AA626" s="398"/>
      <c r="AB626" s="200"/>
    </row>
    <row r="627" spans="1:45" ht="19.95" customHeight="1">
      <c r="A627" s="199"/>
      <c r="B627" s="393"/>
      <c r="C627" s="392"/>
      <c r="D627" s="392"/>
      <c r="E627" s="392"/>
      <c r="F627" s="392"/>
      <c r="G627" s="601"/>
      <c r="H627" s="601"/>
      <c r="I627" s="601"/>
      <c r="J627" s="601"/>
      <c r="K627" s="601"/>
      <c r="L627" s="601"/>
      <c r="M627" s="601"/>
      <c r="N627" s="200"/>
      <c r="O627" s="199"/>
      <c r="P627" s="24"/>
      <c r="Q627" s="24"/>
      <c r="R627" s="398"/>
      <c r="S627" s="398"/>
      <c r="T627" s="398"/>
      <c r="U627" s="398"/>
      <c r="V627" s="398"/>
      <c r="W627" s="398"/>
      <c r="X627" s="398"/>
      <c r="Y627" s="398"/>
      <c r="Z627" s="398"/>
      <c r="AA627" s="398"/>
      <c r="AB627" s="200"/>
    </row>
    <row r="628" spans="1:45" ht="25.05" customHeight="1">
      <c r="A628" s="199"/>
      <c r="B628" s="601"/>
      <c r="C628" s="601"/>
      <c r="D628" s="601"/>
      <c r="E628" s="601"/>
      <c r="F628" s="601"/>
      <c r="G628" s="601"/>
      <c r="H628" s="601"/>
      <c r="I628" s="601"/>
      <c r="J628" s="601"/>
      <c r="K628" s="601"/>
      <c r="L628" s="601"/>
      <c r="M628" s="601"/>
      <c r="N628" s="200"/>
      <c r="O628" s="199"/>
      <c r="P628" s="625"/>
      <c r="Q628" s="24"/>
      <c r="R628" s="398"/>
      <c r="S628" s="398"/>
      <c r="T628" s="398"/>
      <c r="U628" s="398"/>
      <c r="V628" s="398"/>
      <c r="W628" s="398"/>
      <c r="X628" s="398"/>
      <c r="Y628" s="398"/>
      <c r="Z628" s="398"/>
      <c r="AA628" s="398"/>
      <c r="AB628" s="200"/>
    </row>
    <row r="629" spans="1:45" ht="19.95" customHeight="1">
      <c r="A629" s="199"/>
      <c r="B629" s="692" t="s">
        <v>2543</v>
      </c>
      <c r="C629" s="693"/>
      <c r="D629" s="693"/>
      <c r="E629" s="694"/>
      <c r="F629" s="1399" t="s">
        <v>2556</v>
      </c>
      <c r="G629" s="1399"/>
      <c r="H629" s="1399" t="s">
        <v>2435</v>
      </c>
      <c r="I629" s="1399"/>
      <c r="J629" s="1399" t="s">
        <v>2433</v>
      </c>
      <c r="K629" s="1399"/>
      <c r="L629" s="1399" t="s">
        <v>2542</v>
      </c>
      <c r="M629" s="1400"/>
      <c r="N629" s="200"/>
      <c r="O629" s="199"/>
      <c r="P629" s="24"/>
      <c r="Q629" s="24"/>
      <c r="R629" s="398"/>
      <c r="S629" s="398"/>
      <c r="T629" s="398"/>
      <c r="U629" s="398"/>
      <c r="V629" s="398"/>
      <c r="W629" s="398"/>
      <c r="X629" s="398"/>
      <c r="Y629" s="398"/>
      <c r="Z629" s="398"/>
      <c r="AA629" s="398"/>
      <c r="AB629" s="200"/>
      <c r="AK629" s="1374" t="s">
        <v>2556</v>
      </c>
      <c r="AL629" s="1374"/>
      <c r="AM629" s="691" t="s">
        <v>2435</v>
      </c>
      <c r="AN629" s="691"/>
      <c r="AO629" s="691" t="s">
        <v>2433</v>
      </c>
      <c r="AP629" s="691"/>
      <c r="AQ629" s="691" t="s">
        <v>2542</v>
      </c>
      <c r="AR629" s="691"/>
    </row>
    <row r="630" spans="1:45" ht="19.95" customHeight="1">
      <c r="A630" s="695" t="str">
        <f>AT619</f>
        <v>u</v>
      </c>
      <c r="B630" s="1371" t="s">
        <v>2553</v>
      </c>
      <c r="C630" s="1372"/>
      <c r="D630" s="1372"/>
      <c r="E630" s="1373"/>
      <c r="F630" s="1361" t="s">
        <v>2554</v>
      </c>
      <c r="G630" s="1362"/>
      <c r="H630" s="1361" t="s">
        <v>2436</v>
      </c>
      <c r="I630" s="1362"/>
      <c r="J630" s="1361" t="s">
        <v>2558</v>
      </c>
      <c r="K630" s="1362"/>
      <c r="L630" s="1361" t="s">
        <v>2561</v>
      </c>
      <c r="M630" s="1362"/>
      <c r="N630" s="200"/>
      <c r="O630" s="199"/>
      <c r="P630" s="24"/>
      <c r="Q630" s="24"/>
      <c r="R630" s="398"/>
      <c r="S630" s="398"/>
      <c r="T630" s="398"/>
      <c r="U630" s="398"/>
      <c r="V630" s="398"/>
      <c r="W630" s="398"/>
      <c r="X630" s="398"/>
      <c r="Y630" s="398"/>
      <c r="Z630" s="398"/>
      <c r="AA630" s="398"/>
      <c r="AB630" s="200"/>
      <c r="AJ630" s="2">
        <v>1</v>
      </c>
      <c r="AK630" s="2" t="s">
        <v>2555</v>
      </c>
      <c r="AM630" s="2" t="s">
        <v>2436</v>
      </c>
      <c r="AO630" s="2" t="s">
        <v>2558</v>
      </c>
      <c r="AQ630" s="2" t="s">
        <v>2560</v>
      </c>
      <c r="AS630" s="2">
        <v>0</v>
      </c>
    </row>
    <row r="631" spans="1:45" ht="19.95" customHeight="1">
      <c r="A631" s="695" t="str">
        <f>AT620</f>
        <v/>
      </c>
      <c r="B631" s="1371" t="s">
        <v>2553</v>
      </c>
      <c r="C631" s="1372"/>
      <c r="D631" s="1372"/>
      <c r="E631" s="1373"/>
      <c r="F631" s="1361"/>
      <c r="G631" s="1362"/>
      <c r="H631" s="1361"/>
      <c r="I631" s="1362"/>
      <c r="J631" s="1361"/>
      <c r="K631" s="1362"/>
      <c r="L631" s="1361"/>
      <c r="M631" s="1362"/>
      <c r="N631" s="200"/>
      <c r="O631" s="199"/>
      <c r="P631" s="24"/>
      <c r="Q631" s="24"/>
      <c r="R631" s="398"/>
      <c r="S631" s="398"/>
      <c r="T631" s="398"/>
      <c r="U631" s="398"/>
      <c r="V631" s="398"/>
      <c r="W631" s="398"/>
      <c r="X631" s="398"/>
      <c r="Y631" s="398"/>
      <c r="Z631" s="398"/>
      <c r="AA631" s="398"/>
      <c r="AB631" s="200"/>
      <c r="AJ631" s="2">
        <v>0.5</v>
      </c>
      <c r="AK631" s="2" t="s">
        <v>2554</v>
      </c>
      <c r="AM631" s="2" t="s">
        <v>2956</v>
      </c>
      <c r="AO631" s="2" t="s">
        <v>2438</v>
      </c>
      <c r="AQ631" s="2" t="s">
        <v>2561</v>
      </c>
      <c r="AS631" s="2">
        <v>0.33</v>
      </c>
    </row>
    <row r="632" spans="1:45" ht="19.95" customHeight="1">
      <c r="A632" s="695" t="str">
        <f>AT621</f>
        <v/>
      </c>
      <c r="B632" s="1371" t="s">
        <v>2553</v>
      </c>
      <c r="C632" s="1372"/>
      <c r="D632" s="1372"/>
      <c r="E632" s="1373"/>
      <c r="F632" s="1361"/>
      <c r="G632" s="1362"/>
      <c r="H632" s="1361"/>
      <c r="I632" s="1362"/>
      <c r="J632" s="1361"/>
      <c r="K632" s="1362"/>
      <c r="L632" s="1361"/>
      <c r="M632" s="1362"/>
      <c r="N632" s="200"/>
      <c r="O632" s="199"/>
      <c r="P632" s="24"/>
      <c r="Q632" s="24"/>
      <c r="R632" s="398"/>
      <c r="S632" s="398"/>
      <c r="T632" s="398"/>
      <c r="U632" s="398"/>
      <c r="V632" s="398"/>
      <c r="W632" s="398"/>
      <c r="X632" s="398"/>
      <c r="Y632" s="398"/>
      <c r="Z632" s="398"/>
      <c r="AA632" s="398"/>
      <c r="AB632" s="200"/>
      <c r="AJ632" s="2">
        <v>0</v>
      </c>
      <c r="AK632" s="2" t="s">
        <v>2557</v>
      </c>
      <c r="AM632" s="2" t="s">
        <v>2437</v>
      </c>
      <c r="AO632" s="2" t="s">
        <v>2559</v>
      </c>
      <c r="AQ632" s="2" t="s">
        <v>2544</v>
      </c>
      <c r="AS632" s="2">
        <v>0.66</v>
      </c>
    </row>
    <row r="633" spans="1:45" ht="19.95" customHeight="1">
      <c r="A633" s="695" t="str">
        <f>AT622</f>
        <v/>
      </c>
      <c r="B633" s="1371" t="s">
        <v>2553</v>
      </c>
      <c r="C633" s="1372"/>
      <c r="D633" s="1372"/>
      <c r="E633" s="1373"/>
      <c r="F633" s="1361"/>
      <c r="G633" s="1362"/>
      <c r="H633" s="1361"/>
      <c r="I633" s="1362"/>
      <c r="J633" s="1361"/>
      <c r="K633" s="1362"/>
      <c r="L633" s="1361"/>
      <c r="M633" s="1362"/>
      <c r="N633" s="200"/>
      <c r="O633" s="199"/>
      <c r="P633" s="24"/>
      <c r="Q633" s="24"/>
      <c r="R633" s="398"/>
      <c r="S633" s="398"/>
      <c r="T633" s="398"/>
      <c r="U633" s="398"/>
      <c r="V633" s="398"/>
      <c r="W633" s="398"/>
      <c r="X633" s="398"/>
      <c r="Y633" s="398"/>
      <c r="Z633" s="398"/>
      <c r="AA633" s="398"/>
      <c r="AB633" s="200"/>
      <c r="AQ633" s="2" t="s">
        <v>2562</v>
      </c>
      <c r="AS633" s="2">
        <v>1</v>
      </c>
    </row>
    <row r="634" spans="1:45" ht="19.95" customHeight="1">
      <c r="A634" s="695" t="str">
        <f>AT623</f>
        <v/>
      </c>
      <c r="B634" s="1371" t="s">
        <v>2553</v>
      </c>
      <c r="C634" s="1372"/>
      <c r="D634" s="1372"/>
      <c r="E634" s="1373"/>
      <c r="F634" s="1361"/>
      <c r="G634" s="1362"/>
      <c r="H634" s="1361"/>
      <c r="I634" s="1362"/>
      <c r="J634" s="1361"/>
      <c r="K634" s="1362"/>
      <c r="L634" s="1361"/>
      <c r="M634" s="1362"/>
      <c r="N634" s="200"/>
      <c r="O634" s="199"/>
      <c r="P634" s="24"/>
      <c r="Q634" s="24"/>
      <c r="R634" s="398"/>
      <c r="S634" s="398"/>
      <c r="T634" s="398"/>
      <c r="U634" s="398"/>
      <c r="V634" s="398"/>
      <c r="W634" s="398"/>
      <c r="X634" s="398"/>
      <c r="Y634" s="398"/>
      <c r="Z634" s="398"/>
      <c r="AA634" s="398"/>
      <c r="AB634" s="200"/>
    </row>
    <row r="635" spans="1:45" ht="15" customHeight="1">
      <c r="A635" s="199"/>
      <c r="B635" s="24"/>
      <c r="C635" s="24"/>
      <c r="D635" s="24"/>
      <c r="E635" s="24"/>
      <c r="F635" s="24"/>
      <c r="G635" s="24"/>
      <c r="H635" s="24"/>
      <c r="I635" s="24"/>
      <c r="J635" s="24"/>
      <c r="K635" s="24"/>
      <c r="L635" s="24"/>
      <c r="M635" s="24"/>
      <c r="N635" s="200"/>
      <c r="O635" s="199"/>
      <c r="P635" s="24"/>
      <c r="Q635" s="24"/>
      <c r="R635" s="398"/>
      <c r="S635" s="398"/>
      <c r="T635" s="398"/>
      <c r="U635" s="398"/>
      <c r="V635" s="398"/>
      <c r="W635" s="398"/>
      <c r="X635" s="398"/>
      <c r="Y635" s="398"/>
      <c r="Z635" s="398"/>
      <c r="AA635" s="398"/>
      <c r="AB635" s="203"/>
    </row>
    <row r="636" spans="1:45" ht="30" customHeight="1">
      <c r="A636" s="210" t="s">
        <v>1148</v>
      </c>
      <c r="B636" s="1370" t="s">
        <v>2411</v>
      </c>
      <c r="C636" s="1370"/>
      <c r="D636" s="1370"/>
      <c r="E636" s="1370"/>
      <c r="F636" s="1370"/>
      <c r="G636" s="1370"/>
      <c r="H636" s="373"/>
      <c r="I636" s="373"/>
      <c r="J636" s="373"/>
      <c r="K636" s="373"/>
      <c r="L636" s="373"/>
      <c r="M636" s="373"/>
      <c r="N636" s="211" t="s">
        <v>1149</v>
      </c>
      <c r="O636" s="372"/>
      <c r="P636" s="628" t="s">
        <v>2411</v>
      </c>
      <c r="Q636" s="373"/>
      <c r="R636" s="373"/>
      <c r="S636" s="373"/>
      <c r="T636" s="373"/>
      <c r="U636" s="373"/>
      <c r="V636" s="373"/>
      <c r="W636" s="373"/>
      <c r="X636" s="373"/>
      <c r="Y636" s="373"/>
      <c r="Z636" s="373"/>
      <c r="AA636" s="373"/>
      <c r="AB636" s="211" t="s">
        <v>1149</v>
      </c>
    </row>
    <row r="637" spans="1:45" ht="10.050000000000001" customHeight="1">
      <c r="A637" s="199"/>
      <c r="B637" s="24"/>
      <c r="C637" s="24"/>
      <c r="D637" s="24"/>
      <c r="E637" s="24"/>
      <c r="F637" s="24"/>
      <c r="G637" s="24"/>
      <c r="H637" s="24"/>
      <c r="I637" s="24"/>
      <c r="J637" s="24"/>
      <c r="K637" s="24"/>
      <c r="L637" s="24"/>
      <c r="M637" s="24"/>
      <c r="N637" s="200"/>
      <c r="O637" s="199"/>
      <c r="P637" s="24"/>
      <c r="Q637" s="24"/>
      <c r="R637" s="398"/>
      <c r="S637" s="398"/>
      <c r="T637" s="398"/>
      <c r="U637" s="398"/>
      <c r="V637" s="398"/>
      <c r="W637" s="398"/>
      <c r="X637" s="398"/>
      <c r="Y637" s="398"/>
      <c r="Z637" s="398"/>
      <c r="AA637" s="398"/>
      <c r="AB637" s="200"/>
    </row>
    <row r="638" spans="1:45" ht="19.95" customHeight="1">
      <c r="A638" s="199"/>
      <c r="B638" s="719" t="s">
        <v>2733</v>
      </c>
      <c r="C638" s="24"/>
      <c r="D638" s="24"/>
      <c r="E638" s="24"/>
      <c r="F638" s="24"/>
      <c r="G638" s="24"/>
      <c r="H638" s="24"/>
      <c r="I638" s="24"/>
      <c r="J638" s="24"/>
      <c r="K638" s="24"/>
      <c r="L638" s="24"/>
      <c r="M638" s="24"/>
      <c r="N638" s="200"/>
      <c r="O638" s="199"/>
      <c r="P638" s="24"/>
      <c r="Q638" s="24"/>
      <c r="R638" s="398"/>
      <c r="S638" s="398"/>
      <c r="T638" s="398"/>
      <c r="U638" s="398"/>
      <c r="V638" s="398"/>
      <c r="W638" s="398"/>
      <c r="X638" s="398"/>
      <c r="Y638" s="398"/>
      <c r="Z638" s="398"/>
      <c r="AA638" s="398"/>
      <c r="AB638" s="200"/>
      <c r="AI638" s="459" t="str">
        <f>CONCATENATE(AK638,AL638,AM638,AN638,AO638,AP638,AQ638,AR638)</f>
        <v/>
      </c>
      <c r="AK638" s="409"/>
    </row>
    <row r="639" spans="1:45" ht="10.050000000000001" customHeight="1">
      <c r="A639" s="199"/>
      <c r="B639" s="24"/>
      <c r="C639" s="24"/>
      <c r="D639" s="24"/>
      <c r="E639" s="24"/>
      <c r="F639" s="24"/>
      <c r="G639" s="24"/>
      <c r="H639" s="24"/>
      <c r="I639" s="24"/>
      <c r="J639" s="24"/>
      <c r="K639" s="24"/>
      <c r="L639" s="24"/>
      <c r="M639" s="24"/>
      <c r="N639" s="200"/>
      <c r="O639" s="199"/>
      <c r="P639" s="24"/>
      <c r="Q639" s="24"/>
      <c r="R639" s="398"/>
      <c r="S639" s="398"/>
      <c r="T639" s="398"/>
      <c r="U639" s="398"/>
      <c r="V639" s="398"/>
      <c r="W639" s="398"/>
      <c r="X639" s="398"/>
      <c r="Y639" s="398"/>
      <c r="Z639" s="398"/>
      <c r="AA639" s="398"/>
      <c r="AB639" s="200"/>
    </row>
    <row r="640" spans="1:45" ht="25.05" customHeight="1" thickBot="1">
      <c r="A640" s="199"/>
      <c r="B640" s="619" t="s">
        <v>2950</v>
      </c>
      <c r="C640" s="601"/>
      <c r="D640" s="601"/>
      <c r="E640" s="601"/>
      <c r="F640" s="743"/>
      <c r="G640" s="736">
        <v>9</v>
      </c>
      <c r="H640" s="737">
        <f>G640*G642</f>
        <v>3.6</v>
      </c>
      <c r="I640" s="737">
        <f>G640*G643</f>
        <v>5.3999999999999995</v>
      </c>
      <c r="J640" s="665"/>
      <c r="K640" s="738" t="s">
        <v>2419</v>
      </c>
      <c r="L640" s="739"/>
      <c r="M640" s="740" t="s">
        <v>2418</v>
      </c>
      <c r="N640" s="200"/>
      <c r="O640" s="199"/>
      <c r="P640" s="24"/>
      <c r="Q640" s="24"/>
      <c r="R640" s="398"/>
      <c r="S640" s="398"/>
      <c r="T640" s="398"/>
      <c r="U640" s="398"/>
      <c r="V640" s="398"/>
      <c r="W640" s="398"/>
      <c r="X640" s="398"/>
      <c r="Y640" s="24" t="s">
        <v>2454</v>
      </c>
      <c r="Z640" s="398"/>
      <c r="AA640" s="398"/>
      <c r="AB640" s="200"/>
    </row>
    <row r="641" spans="1:28" ht="16.95" customHeight="1" thickBot="1">
      <c r="A641" s="199"/>
      <c r="B641" s="601" t="s">
        <v>2413</v>
      </c>
      <c r="C641" s="601"/>
      <c r="D641" s="601"/>
      <c r="E641" s="615">
        <v>10</v>
      </c>
      <c r="F641" s="743" t="s">
        <v>1149</v>
      </c>
      <c r="G641" s="616">
        <v>0.1</v>
      </c>
      <c r="H641" s="665" t="s">
        <v>2417</v>
      </c>
      <c r="I641" s="665"/>
      <c r="J641" s="665"/>
      <c r="K641" s="741">
        <f>D644*G641</f>
        <v>1</v>
      </c>
      <c r="L641" s="742"/>
      <c r="M641" s="741">
        <f>D644-K641</f>
        <v>9</v>
      </c>
      <c r="N641" s="200"/>
      <c r="O641" s="199"/>
      <c r="P641" s="24"/>
      <c r="Q641" s="24"/>
      <c r="R641" s="398"/>
      <c r="S641" s="398"/>
      <c r="T641" s="398"/>
      <c r="U641" s="398"/>
      <c r="V641" s="398"/>
      <c r="W641" s="398"/>
      <c r="X641" s="398"/>
      <c r="Y641" s="398"/>
      <c r="Z641" s="398"/>
      <c r="AA641" s="398"/>
      <c r="AB641" s="200"/>
    </row>
    <row r="642" spans="1:28" ht="16.95" customHeight="1">
      <c r="A642" s="199"/>
      <c r="B642" s="753">
        <v>0</v>
      </c>
      <c r="C642" s="393" t="s">
        <v>2414</v>
      </c>
      <c r="D642" s="601"/>
      <c r="E642" s="620">
        <f>B642*0</f>
        <v>0</v>
      </c>
      <c r="F642" s="601"/>
      <c r="G642" s="616">
        <v>0.4</v>
      </c>
      <c r="H642" s="665" t="s">
        <v>2932</v>
      </c>
      <c r="I642" s="665"/>
      <c r="J642" s="665"/>
      <c r="K642" s="741">
        <f>IF(D$644&lt;G$640,M641*G642,H$640)</f>
        <v>3.6</v>
      </c>
      <c r="L642" s="742"/>
      <c r="M642" s="741">
        <f>M641-K642</f>
        <v>5.4</v>
      </c>
      <c r="N642" s="200"/>
      <c r="O642" s="199"/>
      <c r="P642" s="24"/>
      <c r="Q642" s="24"/>
      <c r="R642" s="398"/>
      <c r="S642" s="398"/>
      <c r="T642" s="398"/>
      <c r="U642" s="398"/>
      <c r="V642" s="398"/>
      <c r="W642" s="398"/>
      <c r="X642" s="398"/>
      <c r="Y642" s="398"/>
      <c r="Z642" s="398"/>
      <c r="AA642" s="398"/>
      <c r="AB642" s="200"/>
    </row>
    <row r="643" spans="1:28" ht="16.95" customHeight="1">
      <c r="A643" s="199"/>
      <c r="B643" s="753">
        <v>0</v>
      </c>
      <c r="C643" s="393" t="s">
        <v>2415</v>
      </c>
      <c r="D643" s="601"/>
      <c r="E643" s="620">
        <f>B643*(E641/2)</f>
        <v>0</v>
      </c>
      <c r="F643" s="601"/>
      <c r="G643" s="616">
        <f>1-G642</f>
        <v>0.6</v>
      </c>
      <c r="H643" s="665" t="s">
        <v>2933</v>
      </c>
      <c r="I643" s="665"/>
      <c r="J643" s="665"/>
      <c r="K643" s="741">
        <f>IF(D$644&lt;G$640,(M641*G643)-K641,I$640)</f>
        <v>5.3999999999999995</v>
      </c>
      <c r="L643" s="665"/>
      <c r="M643" s="741">
        <f>M642-K643</f>
        <v>0</v>
      </c>
      <c r="N643" s="200"/>
      <c r="O643" s="199"/>
      <c r="P643" s="24"/>
      <c r="Q643" s="24"/>
      <c r="R643" s="398"/>
      <c r="S643" s="398"/>
      <c r="T643" s="398"/>
      <c r="U643" s="398"/>
      <c r="V643" s="398"/>
      <c r="W643" s="398"/>
      <c r="X643" s="398"/>
      <c r="Y643" s="398"/>
      <c r="Z643" s="398"/>
      <c r="AA643" s="398"/>
      <c r="AB643" s="200"/>
    </row>
    <row r="644" spans="1:28" ht="16.95" customHeight="1">
      <c r="A644" s="199"/>
      <c r="B644" s="601" t="s">
        <v>2416</v>
      </c>
      <c r="C644" s="601"/>
      <c r="D644" s="1369">
        <f>SUM(E639:E643)</f>
        <v>10</v>
      </c>
      <c r="E644" s="1369"/>
      <c r="F644" s="627" t="s">
        <v>2424</v>
      </c>
      <c r="G644" s="616"/>
      <c r="H644" s="665" t="s">
        <v>2420</v>
      </c>
      <c r="I644" s="476"/>
      <c r="J644" s="476"/>
      <c r="K644" s="741">
        <f>IF(M643&gt;0,M643,0)</f>
        <v>0</v>
      </c>
      <c r="L644" s="476"/>
      <c r="M644" s="741">
        <f>M643-K644</f>
        <v>0</v>
      </c>
      <c r="N644" s="200"/>
      <c r="O644" s="199"/>
      <c r="P644" s="24"/>
      <c r="Q644" s="24"/>
      <c r="R644" s="398"/>
      <c r="S644" s="398"/>
      <c r="T644" s="398"/>
      <c r="U644" s="398"/>
      <c r="V644" s="398"/>
      <c r="W644" s="398"/>
      <c r="X644" s="398"/>
      <c r="Y644" s="398"/>
      <c r="Z644" s="398"/>
      <c r="AA644" s="398"/>
      <c r="AB644" s="200"/>
    </row>
    <row r="645" spans="1:28" ht="10.050000000000001" customHeight="1">
      <c r="A645" s="199"/>
      <c r="B645" s="24"/>
      <c r="C645" s="24"/>
      <c r="D645" s="24"/>
      <c r="E645" s="24"/>
      <c r="F645" s="24"/>
      <c r="G645" s="24"/>
      <c r="H645" s="24"/>
      <c r="I645" s="24"/>
      <c r="J645" s="24"/>
      <c r="K645" s="24"/>
      <c r="L645" s="24"/>
      <c r="M645" s="24"/>
      <c r="N645" s="200"/>
      <c r="O645" s="199"/>
      <c r="P645" s="24"/>
      <c r="Q645" s="24"/>
      <c r="R645" s="398"/>
      <c r="S645" s="398"/>
      <c r="T645" s="398"/>
      <c r="U645" s="398"/>
      <c r="V645" s="398"/>
      <c r="W645" s="398"/>
      <c r="X645" s="398"/>
      <c r="Y645" s="398"/>
      <c r="Z645" s="398"/>
      <c r="AA645" s="398"/>
      <c r="AB645" s="200"/>
    </row>
    <row r="646" spans="1:28" ht="25.05" customHeight="1" thickBot="1">
      <c r="A646" s="199"/>
      <c r="B646" s="619" t="s">
        <v>2421</v>
      </c>
      <c r="C646" s="601"/>
      <c r="D646" s="601"/>
      <c r="E646" s="601"/>
      <c r="F646" s="743"/>
      <c r="G646" s="736">
        <v>45</v>
      </c>
      <c r="H646" s="737">
        <f>G646*G648</f>
        <v>18</v>
      </c>
      <c r="I646" s="737">
        <f>G646*G649</f>
        <v>27</v>
      </c>
      <c r="J646" s="665"/>
      <c r="K646" s="738" t="s">
        <v>2419</v>
      </c>
      <c r="L646" s="739"/>
      <c r="M646" s="740" t="s">
        <v>2418</v>
      </c>
      <c r="N646" s="200"/>
      <c r="O646" s="199"/>
      <c r="P646" s="24"/>
      <c r="Q646" s="24"/>
      <c r="R646" s="398"/>
      <c r="S646" s="398"/>
      <c r="T646" s="398"/>
      <c r="U646" s="398"/>
      <c r="V646" s="398"/>
      <c r="W646" s="398"/>
      <c r="X646" s="398"/>
      <c r="Y646" s="24" t="s">
        <v>2454</v>
      </c>
      <c r="Z646" s="398"/>
      <c r="AA646" s="398"/>
      <c r="AB646" s="200"/>
    </row>
    <row r="647" spans="1:28" ht="16.95" customHeight="1" thickBot="1">
      <c r="A647" s="199"/>
      <c r="B647" s="601" t="s">
        <v>2413</v>
      </c>
      <c r="C647" s="601"/>
      <c r="D647" s="601"/>
      <c r="E647" s="615">
        <v>10</v>
      </c>
      <c r="F647" s="743"/>
      <c r="G647" s="616">
        <v>0.1</v>
      </c>
      <c r="H647" s="665" t="s">
        <v>2417</v>
      </c>
      <c r="I647" s="665"/>
      <c r="J647" s="665"/>
      <c r="K647" s="741">
        <f>D650*G647</f>
        <v>3.5</v>
      </c>
      <c r="L647" s="742"/>
      <c r="M647" s="741">
        <f>D650-K647</f>
        <v>31.5</v>
      </c>
      <c r="N647" s="200"/>
      <c r="O647" s="199"/>
      <c r="P647" s="24"/>
      <c r="Q647" s="24"/>
      <c r="R647" s="398"/>
      <c r="S647" s="398"/>
      <c r="T647" s="398"/>
      <c r="U647" s="398"/>
      <c r="V647" s="398"/>
      <c r="W647" s="398"/>
      <c r="X647" s="398"/>
      <c r="Y647" s="398"/>
      <c r="Z647" s="398"/>
      <c r="AA647" s="398"/>
      <c r="AB647" s="200"/>
    </row>
    <row r="648" spans="1:28" ht="16.95" customHeight="1">
      <c r="A648" s="199"/>
      <c r="B648" s="617">
        <v>12</v>
      </c>
      <c r="C648" s="393" t="s">
        <v>2414</v>
      </c>
      <c r="D648" s="601"/>
      <c r="E648" s="620">
        <f>B648*0</f>
        <v>0</v>
      </c>
      <c r="F648" s="601"/>
      <c r="G648" s="616">
        <v>0.4</v>
      </c>
      <c r="H648" s="665" t="s">
        <v>2932</v>
      </c>
      <c r="I648" s="665"/>
      <c r="J648" s="665"/>
      <c r="K648" s="741">
        <f>IF(D$650&lt;G$646,D650*G648,H$646)</f>
        <v>14</v>
      </c>
      <c r="L648" s="742"/>
      <c r="M648" s="741">
        <f>M647-K648</f>
        <v>17.5</v>
      </c>
      <c r="N648" s="200"/>
      <c r="O648" s="199"/>
      <c r="P648" s="24"/>
      <c r="Q648" s="24"/>
      <c r="R648" s="398"/>
      <c r="S648" s="398"/>
      <c r="T648" s="398"/>
      <c r="U648" s="398"/>
      <c r="V648" s="398"/>
      <c r="W648" s="398"/>
      <c r="X648" s="398"/>
      <c r="Y648" s="398"/>
      <c r="Z648" s="398"/>
      <c r="AA648" s="398"/>
      <c r="AB648" s="200"/>
    </row>
    <row r="649" spans="1:28" ht="16.95" customHeight="1">
      <c r="A649" s="199"/>
      <c r="B649" s="617">
        <v>5</v>
      </c>
      <c r="C649" s="393" t="s">
        <v>2415</v>
      </c>
      <c r="D649" s="601"/>
      <c r="E649" s="620">
        <f>B649*(E647/2)</f>
        <v>25</v>
      </c>
      <c r="F649" s="601"/>
      <c r="G649" s="616">
        <f>1-G648</f>
        <v>0.6</v>
      </c>
      <c r="H649" s="665" t="s">
        <v>2933</v>
      </c>
      <c r="I649" s="665"/>
      <c r="J649" s="665"/>
      <c r="K649" s="741">
        <f>IF(D$650&lt;G$646,(D650*G649)-K647,I$646)</f>
        <v>17.5</v>
      </c>
      <c r="L649" s="665"/>
      <c r="M649" s="741">
        <f>M648-K649</f>
        <v>0</v>
      </c>
      <c r="N649" s="200"/>
      <c r="O649" s="199"/>
      <c r="P649" s="24"/>
      <c r="Q649" s="24"/>
      <c r="R649" s="398"/>
      <c r="S649" s="398"/>
      <c r="T649" s="398"/>
      <c r="U649" s="398"/>
      <c r="V649" s="398"/>
      <c r="W649" s="398"/>
      <c r="X649" s="398"/>
      <c r="Y649" s="398"/>
      <c r="Z649" s="398"/>
      <c r="AA649" s="398"/>
      <c r="AB649" s="200"/>
    </row>
    <row r="650" spans="1:28" ht="16.95" customHeight="1">
      <c r="A650" s="199"/>
      <c r="B650" s="601" t="s">
        <v>2416</v>
      </c>
      <c r="C650" s="601"/>
      <c r="D650" s="1369">
        <f>SUM(E645:E649)</f>
        <v>35</v>
      </c>
      <c r="E650" s="1369"/>
      <c r="F650" s="627" t="s">
        <v>2424</v>
      </c>
      <c r="G650" s="616"/>
      <c r="H650" s="665" t="s">
        <v>2420</v>
      </c>
      <c r="I650" s="476"/>
      <c r="J650" s="476"/>
      <c r="K650" s="741">
        <f>IF(M649&gt;0,M649,0)</f>
        <v>0</v>
      </c>
      <c r="L650" s="756" t="s">
        <v>2424</v>
      </c>
      <c r="M650" s="741">
        <f>M649-K650</f>
        <v>0</v>
      </c>
      <c r="N650" s="200"/>
      <c r="O650" s="199"/>
      <c r="P650" s="24"/>
      <c r="Q650" s="24"/>
      <c r="R650" s="398"/>
      <c r="S650" s="398"/>
      <c r="T650" s="398"/>
      <c r="U650" s="398"/>
      <c r="V650" s="398"/>
      <c r="W650" s="398"/>
      <c r="X650" s="398"/>
      <c r="Y650" s="398"/>
      <c r="Z650" s="398"/>
      <c r="AA650" s="398"/>
      <c r="AB650" s="200"/>
    </row>
    <row r="651" spans="1:28" ht="10.050000000000001" customHeight="1">
      <c r="A651" s="199"/>
      <c r="B651" s="601"/>
      <c r="C651" s="601"/>
      <c r="D651" s="601"/>
      <c r="E651" s="601"/>
      <c r="F651" s="601"/>
      <c r="G651" s="665"/>
      <c r="H651" s="665"/>
      <c r="I651" s="665"/>
      <c r="J651" s="665"/>
      <c r="K651" s="665"/>
      <c r="L651" s="665"/>
      <c r="M651" s="665"/>
      <c r="N651" s="200"/>
      <c r="O651" s="199"/>
      <c r="P651" s="24"/>
      <c r="Q651" s="24"/>
      <c r="R651" s="398"/>
      <c r="S651" s="398"/>
      <c r="T651" s="398"/>
      <c r="U651" s="398"/>
      <c r="V651" s="398"/>
      <c r="W651" s="398"/>
      <c r="X651" s="398"/>
      <c r="Y651" s="398"/>
      <c r="Z651" s="398"/>
      <c r="AA651" s="398"/>
      <c r="AB651" s="200"/>
    </row>
    <row r="652" spans="1:28" ht="19.95" customHeight="1" thickBot="1">
      <c r="A652" s="199"/>
      <c r="B652" s="619" t="s">
        <v>2412</v>
      </c>
      <c r="C652" s="601"/>
      <c r="D652" s="601"/>
      <c r="E652" s="601"/>
      <c r="F652" s="601"/>
      <c r="G652" s="736">
        <v>90</v>
      </c>
      <c r="H652" s="737">
        <f>G652*G654</f>
        <v>36</v>
      </c>
      <c r="I652" s="737">
        <f>G652*G655</f>
        <v>54</v>
      </c>
      <c r="J652" s="665"/>
      <c r="K652" s="738" t="s">
        <v>2419</v>
      </c>
      <c r="L652" s="739"/>
      <c r="M652" s="740" t="s">
        <v>2418</v>
      </c>
      <c r="N652" s="200"/>
      <c r="O652" s="199"/>
      <c r="P652" s="24"/>
      <c r="Q652" s="24"/>
      <c r="R652" s="398"/>
      <c r="S652" s="398"/>
      <c r="T652" s="398"/>
      <c r="U652" s="398"/>
      <c r="V652" s="398"/>
      <c r="W652" s="398"/>
      <c r="X652" s="398"/>
      <c r="Y652" s="398"/>
      <c r="Z652" s="398"/>
      <c r="AA652" s="398"/>
      <c r="AB652" s="200"/>
    </row>
    <row r="653" spans="1:28" ht="16.95" customHeight="1" thickBot="1">
      <c r="A653" s="199"/>
      <c r="B653" s="601" t="s">
        <v>2413</v>
      </c>
      <c r="C653" s="601"/>
      <c r="D653" s="601"/>
      <c r="E653" s="615">
        <v>10</v>
      </c>
      <c r="F653" s="601"/>
      <c r="G653" s="616">
        <v>0.1</v>
      </c>
      <c r="H653" s="665" t="str">
        <f>H641</f>
        <v>to platform</v>
      </c>
      <c r="I653" s="665"/>
      <c r="J653" s="665"/>
      <c r="K653" s="741">
        <f>D657*G653</f>
        <v>23</v>
      </c>
      <c r="L653" s="742"/>
      <c r="M653" s="741">
        <f>D657-K653</f>
        <v>207</v>
      </c>
      <c r="N653" s="200"/>
      <c r="O653" s="199"/>
      <c r="P653" s="24"/>
      <c r="Q653" s="24"/>
      <c r="R653" s="398"/>
      <c r="S653" s="398"/>
      <c r="T653" s="398"/>
      <c r="U653" s="398"/>
      <c r="V653" s="398"/>
      <c r="W653" s="398"/>
      <c r="X653" s="398"/>
      <c r="Y653" s="398"/>
      <c r="Z653" s="398"/>
      <c r="AA653" s="398"/>
      <c r="AB653" s="200"/>
    </row>
    <row r="654" spans="1:28" ht="16.95" customHeight="1">
      <c r="A654" s="199"/>
      <c r="B654" s="617">
        <v>50</v>
      </c>
      <c r="C654" s="393" t="s">
        <v>2414</v>
      </c>
      <c r="D654" s="601"/>
      <c r="E654" s="620">
        <f>B654*0</f>
        <v>0</v>
      </c>
      <c r="F654" s="601"/>
      <c r="G654" s="616">
        <v>0.4</v>
      </c>
      <c r="H654" s="665" t="str">
        <f>H642</f>
        <v>to advocate</v>
      </c>
      <c r="I654" s="665"/>
      <c r="J654" s="665"/>
      <c r="K654" s="741">
        <f>IF(D657&lt;G652,D657*G654,H652)</f>
        <v>36</v>
      </c>
      <c r="L654" s="742"/>
      <c r="M654" s="741">
        <f>M653-K654</f>
        <v>171</v>
      </c>
      <c r="N654" s="200"/>
      <c r="O654" s="199"/>
      <c r="P654" s="24"/>
      <c r="Q654" s="24"/>
      <c r="R654" s="398"/>
      <c r="S654" s="398"/>
      <c r="T654" s="398"/>
      <c r="U654" s="398"/>
      <c r="V654" s="398"/>
      <c r="W654" s="398"/>
      <c r="X654" s="398"/>
      <c r="Y654" s="398"/>
      <c r="Z654" s="398"/>
      <c r="AA654" s="398"/>
      <c r="AB654" s="200"/>
    </row>
    <row r="655" spans="1:28" ht="16.95" customHeight="1">
      <c r="A655" s="199"/>
      <c r="B655" s="617">
        <v>16</v>
      </c>
      <c r="C655" s="393" t="s">
        <v>2415</v>
      </c>
      <c r="D655" s="601"/>
      <c r="E655" s="620">
        <f>B655*E653</f>
        <v>160</v>
      </c>
      <c r="F655" s="601"/>
      <c r="G655" s="616">
        <f>1-G654</f>
        <v>0.6</v>
      </c>
      <c r="H655" s="665" t="str">
        <f>H643</f>
        <v>to guide</v>
      </c>
      <c r="I655" s="665"/>
      <c r="J655" s="665"/>
      <c r="K655" s="741">
        <f>IF(D657&lt;G652,(D657*G655)-K653,I652)</f>
        <v>54</v>
      </c>
      <c r="L655" s="665"/>
      <c r="M655" s="741">
        <f>M654-K655</f>
        <v>117</v>
      </c>
      <c r="N655" s="200"/>
      <c r="O655" s="199"/>
      <c r="P655" s="24"/>
      <c r="Q655" s="24"/>
      <c r="R655" s="398"/>
      <c r="S655" s="398"/>
      <c r="T655" s="398"/>
      <c r="U655" s="398"/>
      <c r="V655" s="398"/>
      <c r="W655" s="398"/>
      <c r="X655" s="398"/>
      <c r="Y655" s="398"/>
      <c r="Z655" s="398"/>
      <c r="AA655" s="398"/>
      <c r="AB655" s="200"/>
    </row>
    <row r="656" spans="1:28" ht="16.95" customHeight="1">
      <c r="A656" s="199"/>
      <c r="B656" s="617">
        <v>3</v>
      </c>
      <c r="C656" s="393" t="s">
        <v>2955</v>
      </c>
      <c r="D656" s="601"/>
      <c r="E656" s="620">
        <f>(E653*2)*B656</f>
        <v>60</v>
      </c>
      <c r="F656" s="601"/>
      <c r="G656" s="616"/>
      <c r="H656" s="665" t="str">
        <f>H644</f>
        <v>to campaign</v>
      </c>
      <c r="I656" s="476"/>
      <c r="J656" s="476"/>
      <c r="K656" s="741">
        <f>IF(M655&gt;0,M655,0)</f>
        <v>117</v>
      </c>
      <c r="L656" s="756" t="s">
        <v>2424</v>
      </c>
      <c r="M656" s="741">
        <f>M655-K656</f>
        <v>0</v>
      </c>
      <c r="N656" s="200"/>
      <c r="O656" s="199"/>
      <c r="P656" s="24"/>
      <c r="Q656" s="24"/>
      <c r="R656" s="398"/>
      <c r="S656" s="398"/>
      <c r="T656" s="398"/>
      <c r="U656" s="398"/>
      <c r="V656" s="398"/>
      <c r="W656" s="398"/>
      <c r="X656" s="398"/>
      <c r="Y656" s="398"/>
      <c r="Z656" s="398"/>
      <c r="AA656" s="398"/>
      <c r="AB656" s="200"/>
    </row>
    <row r="657" spans="1:41" ht="16.95" customHeight="1">
      <c r="A657" s="199"/>
      <c r="B657" s="601" t="s">
        <v>2416</v>
      </c>
      <c r="C657" s="601"/>
      <c r="D657" s="1369">
        <f>SUM(E652:E656)</f>
        <v>230</v>
      </c>
      <c r="E657" s="1369"/>
      <c r="F657" s="627" t="s">
        <v>2424</v>
      </c>
      <c r="G657" s="476"/>
      <c r="H657" s="476"/>
      <c r="I657" s="476"/>
      <c r="J657" s="476"/>
      <c r="K657" s="476"/>
      <c r="L657" s="476"/>
      <c r="M657" s="476"/>
      <c r="N657" s="200"/>
      <c r="O657" s="199"/>
      <c r="P657" s="24"/>
      <c r="Q657" s="24"/>
      <c r="R657" s="398"/>
      <c r="S657" s="398"/>
      <c r="T657" s="398"/>
      <c r="U657" s="398"/>
      <c r="V657" s="398"/>
      <c r="W657" s="398"/>
      <c r="X657" s="398"/>
      <c r="Y657" s="398"/>
      <c r="Z657" s="398"/>
      <c r="AA657" s="398"/>
      <c r="AB657" s="200"/>
    </row>
    <row r="658" spans="1:41" ht="10.050000000000001" customHeight="1">
      <c r="A658" s="199"/>
      <c r="B658" s="601"/>
      <c r="C658" s="601"/>
      <c r="D658" s="601"/>
      <c r="E658" s="24"/>
      <c r="F658" s="24"/>
      <c r="G658" s="476"/>
      <c r="H658" s="476"/>
      <c r="I658" s="476"/>
      <c r="J658" s="476"/>
      <c r="K658" s="476"/>
      <c r="L658" s="476"/>
      <c r="M658" s="476"/>
      <c r="N658" s="200"/>
      <c r="O658" s="199"/>
      <c r="P658" s="24"/>
      <c r="Q658" s="24"/>
      <c r="R658" s="398"/>
      <c r="S658" s="398"/>
      <c r="T658" s="398"/>
      <c r="U658" s="398"/>
      <c r="V658" s="398"/>
      <c r="W658" s="398"/>
      <c r="X658" s="398"/>
      <c r="Y658" s="398"/>
      <c r="Z658" s="398"/>
      <c r="AA658" s="398"/>
      <c r="AB658" s="200"/>
    </row>
    <row r="659" spans="1:41" ht="19.95" customHeight="1" thickBot="1">
      <c r="A659" s="199"/>
      <c r="B659" s="619" t="s">
        <v>2422</v>
      </c>
      <c r="C659" s="601"/>
      <c r="D659" s="601"/>
      <c r="E659" s="601"/>
      <c r="F659" s="601"/>
      <c r="G659" s="736">
        <v>180</v>
      </c>
      <c r="H659" s="737">
        <f>G659*G661</f>
        <v>62.999999999999993</v>
      </c>
      <c r="I659" s="737">
        <f>G659*G662</f>
        <v>117</v>
      </c>
      <c r="J659" s="665"/>
      <c r="K659" s="738" t="s">
        <v>2419</v>
      </c>
      <c r="L659" s="739"/>
      <c r="M659" s="740" t="s">
        <v>2418</v>
      </c>
      <c r="N659" s="200"/>
      <c r="O659" s="199"/>
      <c r="P659" s="24"/>
      <c r="Q659" s="24"/>
      <c r="R659" s="398"/>
      <c r="S659" s="398"/>
      <c r="T659" s="398"/>
      <c r="U659" s="398"/>
      <c r="V659" s="398"/>
      <c r="W659" s="398"/>
      <c r="X659" s="398"/>
      <c r="Y659" s="398"/>
      <c r="Z659" s="398"/>
      <c r="AA659" s="398"/>
      <c r="AB659" s="200"/>
    </row>
    <row r="660" spans="1:41" ht="16.95" customHeight="1" thickBot="1">
      <c r="A660" s="199"/>
      <c r="B660" s="601" t="s">
        <v>2413</v>
      </c>
      <c r="C660" s="601"/>
      <c r="D660" s="601"/>
      <c r="E660" s="615">
        <f>E653</f>
        <v>10</v>
      </c>
      <c r="F660" s="601"/>
      <c r="G660" s="616">
        <v>0.1</v>
      </c>
      <c r="H660" s="665" t="str">
        <f>H653</f>
        <v>to platform</v>
      </c>
      <c r="I660" s="665"/>
      <c r="J660" s="665"/>
      <c r="K660" s="741">
        <f>D665*G660</f>
        <v>27</v>
      </c>
      <c r="L660" s="742"/>
      <c r="M660" s="741">
        <f>D665-K660</f>
        <v>243</v>
      </c>
      <c r="N660" s="200"/>
      <c r="O660" s="199"/>
      <c r="P660" s="24"/>
      <c r="Q660" s="24"/>
      <c r="R660" s="398"/>
      <c r="S660" s="398"/>
      <c r="T660" s="398"/>
      <c r="U660" s="398"/>
      <c r="V660" s="398"/>
      <c r="W660" s="398"/>
      <c r="X660" s="398"/>
      <c r="Y660" s="398"/>
      <c r="Z660" s="398"/>
      <c r="AA660" s="398"/>
      <c r="AB660" s="200"/>
    </row>
    <row r="661" spans="1:41" ht="16.95" customHeight="1">
      <c r="A661" s="199"/>
      <c r="B661" s="617">
        <v>70</v>
      </c>
      <c r="C661" s="393" t="s">
        <v>2414</v>
      </c>
      <c r="D661" s="601"/>
      <c r="E661" s="620">
        <f>B661*0</f>
        <v>0</v>
      </c>
      <c r="F661" s="601"/>
      <c r="G661" s="616">
        <v>0.35</v>
      </c>
      <c r="H661" s="665" t="str">
        <f>H654</f>
        <v>to advocate</v>
      </c>
      <c r="I661" s="665"/>
      <c r="J661" s="665"/>
      <c r="K661" s="741">
        <f>IF(D665&lt;G659,D665*G661,H659)</f>
        <v>62.999999999999993</v>
      </c>
      <c r="L661" s="742"/>
      <c r="M661" s="741">
        <f>M660-K661</f>
        <v>180</v>
      </c>
      <c r="N661" s="200"/>
      <c r="O661" s="199"/>
      <c r="P661" s="24"/>
      <c r="Q661" s="24"/>
      <c r="R661" s="398"/>
      <c r="S661" s="398"/>
      <c r="T661" s="398"/>
      <c r="U661" s="398"/>
      <c r="V661" s="398"/>
      <c r="W661" s="398"/>
      <c r="X661" s="398"/>
      <c r="Y661" s="398"/>
      <c r="Z661" s="398"/>
      <c r="AA661" s="398"/>
      <c r="AB661" s="200"/>
    </row>
    <row r="662" spans="1:41" ht="16.95" customHeight="1">
      <c r="A662" s="199"/>
      <c r="B662" s="617">
        <v>12</v>
      </c>
      <c r="C662" s="393" t="s">
        <v>2415</v>
      </c>
      <c r="D662" s="601"/>
      <c r="E662" s="620">
        <f>B662*E660</f>
        <v>120</v>
      </c>
      <c r="F662" s="601"/>
      <c r="G662" s="616">
        <f>1-G661</f>
        <v>0.65</v>
      </c>
      <c r="H662" s="665" t="str">
        <f>H655</f>
        <v>to guide</v>
      </c>
      <c r="I662" s="665"/>
      <c r="J662" s="665"/>
      <c r="K662" s="741">
        <f>IF(D665&lt;G659,(D665*G662)-K660,I659)</f>
        <v>117</v>
      </c>
      <c r="L662" s="665"/>
      <c r="M662" s="741">
        <f>M661-K662</f>
        <v>63</v>
      </c>
      <c r="N662" s="200"/>
      <c r="O662" s="199"/>
      <c r="P662" s="24"/>
      <c r="Q662" s="24"/>
      <c r="R662" s="398"/>
      <c r="S662" s="398"/>
      <c r="T662" s="398"/>
      <c r="U662" s="398"/>
      <c r="V662" s="398"/>
      <c r="W662" s="398"/>
      <c r="X662" s="398"/>
      <c r="Y662" s="398"/>
      <c r="Z662" s="398"/>
      <c r="AA662" s="398"/>
      <c r="AB662" s="200"/>
    </row>
    <row r="663" spans="1:41" ht="16.95" customHeight="1">
      <c r="A663" s="199"/>
      <c r="B663" s="617">
        <v>3</v>
      </c>
      <c r="C663" s="393" t="s">
        <v>2955</v>
      </c>
      <c r="D663" s="601"/>
      <c r="E663" s="620">
        <f>(E660*2)*B663</f>
        <v>60</v>
      </c>
      <c r="F663" s="601"/>
      <c r="G663" s="616"/>
      <c r="H663" s="665" t="str">
        <f>H656</f>
        <v>to campaign</v>
      </c>
      <c r="I663" s="665"/>
      <c r="J663" s="665"/>
      <c r="K663" s="741">
        <f>IF(M662&gt;0,M662,0)</f>
        <v>63</v>
      </c>
      <c r="L663" s="756" t="s">
        <v>2424</v>
      </c>
      <c r="M663" s="741">
        <f>M662-K663</f>
        <v>0</v>
      </c>
      <c r="N663" s="200"/>
      <c r="O663" s="199"/>
      <c r="P663" s="24"/>
      <c r="Q663" s="24"/>
      <c r="R663" s="398"/>
      <c r="S663" s="398"/>
      <c r="T663" s="398"/>
      <c r="U663" s="398"/>
      <c r="V663" s="398"/>
      <c r="W663" s="398"/>
      <c r="X663" s="398"/>
      <c r="Y663" s="398"/>
      <c r="Z663" s="398"/>
      <c r="AA663" s="398"/>
      <c r="AB663" s="200"/>
    </row>
    <row r="664" spans="1:41" ht="16.95" customHeight="1">
      <c r="A664" s="199"/>
      <c r="B664" s="617">
        <v>2</v>
      </c>
      <c r="C664" s="393" t="s">
        <v>2954</v>
      </c>
      <c r="D664" s="601"/>
      <c r="E664" s="620">
        <f>(E660*4)*B664</f>
        <v>80</v>
      </c>
      <c r="F664" s="601"/>
      <c r="G664" s="476"/>
      <c r="H664" s="476"/>
      <c r="I664" s="476"/>
      <c r="J664" s="476"/>
      <c r="K664" s="476"/>
      <c r="L664" s="476"/>
      <c r="M664" s="476"/>
      <c r="N664" s="200"/>
      <c r="O664" s="199"/>
      <c r="P664" s="24"/>
      <c r="Q664" s="24"/>
      <c r="R664" s="398"/>
      <c r="S664" s="398"/>
      <c r="T664" s="398"/>
      <c r="U664" s="398"/>
      <c r="V664" s="398"/>
      <c r="W664" s="398"/>
      <c r="X664" s="398"/>
      <c r="Y664" s="398"/>
      <c r="Z664" s="398"/>
      <c r="AA664" s="398"/>
      <c r="AB664" s="200"/>
    </row>
    <row r="665" spans="1:41" ht="16.95" customHeight="1">
      <c r="A665" s="199"/>
      <c r="B665" s="601" t="s">
        <v>2416</v>
      </c>
      <c r="C665" s="601"/>
      <c r="D665" s="1369">
        <f>SUM(E660:E664)</f>
        <v>270</v>
      </c>
      <c r="E665" s="1369"/>
      <c r="F665" s="627" t="s">
        <v>2424</v>
      </c>
      <c r="G665" s="476"/>
      <c r="H665" s="476"/>
      <c r="I665" s="476"/>
      <c r="J665" s="476"/>
      <c r="K665" s="476"/>
      <c r="L665" s="476"/>
      <c r="M665" s="476"/>
      <c r="N665" s="200"/>
      <c r="O665" s="199"/>
      <c r="P665" s="24"/>
      <c r="Q665" s="24"/>
      <c r="R665" s="398"/>
      <c r="S665" s="398"/>
      <c r="T665" s="398"/>
      <c r="U665" s="398"/>
      <c r="V665" s="398"/>
      <c r="W665" s="398"/>
      <c r="X665" s="398"/>
      <c r="Y665" s="398"/>
      <c r="Z665" s="398"/>
      <c r="AA665" s="398"/>
      <c r="AB665" s="200"/>
      <c r="AI665" s="459">
        <f>IF(OR($I$1270=0,$B$1300=""),AK665,AI667)</f>
        <v>0</v>
      </c>
      <c r="AK665" s="465"/>
    </row>
    <row r="666" spans="1:41" ht="10.050000000000001" customHeight="1">
      <c r="A666" s="199"/>
      <c r="B666" s="601"/>
      <c r="C666" s="601"/>
      <c r="D666" s="601"/>
      <c r="E666" s="24"/>
      <c r="F666" s="24"/>
      <c r="G666" s="476"/>
      <c r="H666" s="476"/>
      <c r="I666" s="476"/>
      <c r="J666" s="476"/>
      <c r="K666" s="476"/>
      <c r="L666" s="476"/>
      <c r="M666" s="476"/>
      <c r="N666" s="200"/>
      <c r="O666" s="199"/>
      <c r="P666" s="24"/>
      <c r="Q666" s="24"/>
      <c r="R666" s="398"/>
      <c r="S666" s="398"/>
      <c r="T666" s="398"/>
      <c r="U666" s="398"/>
      <c r="V666" s="398"/>
      <c r="W666" s="398"/>
      <c r="X666" s="398"/>
      <c r="Y666" s="398"/>
      <c r="Z666" s="398"/>
      <c r="AA666" s="398"/>
      <c r="AB666" s="200"/>
    </row>
    <row r="667" spans="1:41" ht="19.95" customHeight="1" thickBot="1">
      <c r="A667" s="199"/>
      <c r="B667" s="619" t="s">
        <v>3001</v>
      </c>
      <c r="C667" s="601"/>
      <c r="D667" s="601"/>
      <c r="E667" s="601"/>
      <c r="F667" s="601"/>
      <c r="G667" s="736">
        <v>360</v>
      </c>
      <c r="H667" s="737">
        <f>G667*G669</f>
        <v>108</v>
      </c>
      <c r="I667" s="737">
        <f>G667*G670</f>
        <v>251.99999999999997</v>
      </c>
      <c r="J667" s="665"/>
      <c r="K667" s="738" t="s">
        <v>2419</v>
      </c>
      <c r="L667" s="739"/>
      <c r="M667" s="740" t="s">
        <v>2418</v>
      </c>
      <c r="N667" s="200"/>
      <c r="O667" s="199"/>
      <c r="P667" s="24"/>
      <c r="Q667" s="24"/>
      <c r="R667" s="398"/>
      <c r="S667" s="398"/>
      <c r="T667" s="398"/>
      <c r="U667" s="398"/>
      <c r="V667" s="398"/>
      <c r="W667" s="398"/>
      <c r="X667" s="398"/>
      <c r="Y667" s="398"/>
      <c r="Z667" s="398"/>
      <c r="AA667" s="398"/>
      <c r="AB667" s="200"/>
      <c r="AI667" s="459" t="str">
        <f>CONCATENATE(AK667,AL667,AM667,AN667,AO667,AP667,AQ667,AR667)</f>
        <v/>
      </c>
      <c r="AK667" s="409"/>
      <c r="AM667" s="409"/>
      <c r="AO667" s="409"/>
    </row>
    <row r="668" spans="1:41" ht="16.95" customHeight="1" thickBot="1">
      <c r="A668" s="199"/>
      <c r="B668" s="601" t="s">
        <v>2413</v>
      </c>
      <c r="C668" s="601"/>
      <c r="D668" s="601"/>
      <c r="E668" s="615">
        <v>10</v>
      </c>
      <c r="F668" s="601"/>
      <c r="G668" s="616">
        <v>0.1</v>
      </c>
      <c r="H668" s="665" t="str">
        <f>H660</f>
        <v>to platform</v>
      </c>
      <c r="I668" s="665"/>
      <c r="J668" s="665"/>
      <c r="K668" s="741">
        <f>D674*G668</f>
        <v>113</v>
      </c>
      <c r="L668" s="742"/>
      <c r="M668" s="741">
        <f>D674-K668</f>
        <v>1017</v>
      </c>
      <c r="N668" s="200"/>
      <c r="O668" s="199"/>
      <c r="P668" s="24"/>
      <c r="Q668" s="24"/>
      <c r="R668" s="398"/>
      <c r="S668" s="398"/>
      <c r="T668" s="398"/>
      <c r="U668" s="398"/>
      <c r="V668" s="398"/>
      <c r="W668" s="398"/>
      <c r="X668" s="398"/>
      <c r="Y668" s="398"/>
      <c r="Z668" s="398"/>
      <c r="AA668" s="398"/>
      <c r="AB668" s="200"/>
    </row>
    <row r="669" spans="1:41" ht="16.95" customHeight="1">
      <c r="A669" s="199"/>
      <c r="B669" s="617">
        <v>120</v>
      </c>
      <c r="C669" s="393" t="s">
        <v>2414</v>
      </c>
      <c r="D669" s="601"/>
      <c r="E669" s="620">
        <f>B669*0</f>
        <v>0</v>
      </c>
      <c r="F669" s="601"/>
      <c r="G669" s="616">
        <v>0.3</v>
      </c>
      <c r="H669" s="665" t="str">
        <f>H661</f>
        <v>to advocate</v>
      </c>
      <c r="I669" s="665"/>
      <c r="J669" s="665"/>
      <c r="K669" s="741">
        <f>IF(D674&lt;G667,D674*G669,H667)</f>
        <v>108</v>
      </c>
      <c r="L669" s="742"/>
      <c r="M669" s="741">
        <f>M668-K669</f>
        <v>909</v>
      </c>
      <c r="N669" s="200"/>
      <c r="O669" s="199"/>
      <c r="P669" s="24"/>
      <c r="Q669" s="24"/>
      <c r="R669" s="398"/>
      <c r="S669" s="398"/>
      <c r="T669" s="398"/>
      <c r="U669" s="398"/>
      <c r="V669" s="398"/>
      <c r="W669" s="398"/>
      <c r="X669" s="398"/>
      <c r="Y669" s="398"/>
      <c r="Z669" s="398"/>
      <c r="AA669" s="398"/>
      <c r="AB669" s="200"/>
    </row>
    <row r="670" spans="1:41" ht="16.95" customHeight="1">
      <c r="A670" s="199"/>
      <c r="B670" s="617">
        <v>36</v>
      </c>
      <c r="C670" s="393" t="s">
        <v>2415</v>
      </c>
      <c r="D670" s="601"/>
      <c r="E670" s="620">
        <f>B670*E668</f>
        <v>360</v>
      </c>
      <c r="F670" s="601"/>
      <c r="G670" s="616">
        <f>1-G669</f>
        <v>0.7</v>
      </c>
      <c r="H670" s="665" t="str">
        <f>H662</f>
        <v>to guide</v>
      </c>
      <c r="I670" s="665"/>
      <c r="J670" s="665"/>
      <c r="K670" s="741">
        <f>IF(D674&lt;G667,(D674*G670)-K668,I667)</f>
        <v>251.99999999999997</v>
      </c>
      <c r="L670" s="665"/>
      <c r="M670" s="741">
        <f>M669-K670</f>
        <v>657</v>
      </c>
      <c r="N670" s="200"/>
      <c r="O670" s="199"/>
      <c r="P670" s="24"/>
      <c r="Q670" s="24"/>
      <c r="R670" s="398"/>
      <c r="S670" s="398"/>
      <c r="T670" s="398"/>
      <c r="U670" s="398"/>
      <c r="V670" s="398"/>
      <c r="W670" s="398"/>
      <c r="X670" s="398"/>
      <c r="Y670" s="398"/>
      <c r="Z670" s="398"/>
      <c r="AA670" s="398"/>
      <c r="AB670" s="200"/>
    </row>
    <row r="671" spans="1:41" ht="16.95" customHeight="1">
      <c r="A671" s="199"/>
      <c r="B671" s="617">
        <v>3</v>
      </c>
      <c r="C671" s="393" t="s">
        <v>2955</v>
      </c>
      <c r="D671" s="601"/>
      <c r="E671" s="620">
        <f>(E668*2)*B671</f>
        <v>60</v>
      </c>
      <c r="F671" s="601"/>
      <c r="G671" s="616"/>
      <c r="H671" s="665" t="str">
        <f>H663</f>
        <v>to campaign</v>
      </c>
      <c r="I671" s="476"/>
      <c r="J671" s="665"/>
      <c r="K671" s="741">
        <f>IF(M670&gt;0,M670,0)</f>
        <v>657</v>
      </c>
      <c r="L671" s="756" t="s">
        <v>2424</v>
      </c>
      <c r="M671" s="741">
        <f>M670-K671</f>
        <v>0</v>
      </c>
      <c r="N671" s="200"/>
      <c r="O671" s="199"/>
      <c r="P671" s="24"/>
      <c r="Q671" s="24"/>
      <c r="R671" s="398"/>
      <c r="S671" s="398"/>
      <c r="T671" s="398"/>
      <c r="U671" s="398"/>
      <c r="V671" s="398"/>
      <c r="W671" s="398"/>
      <c r="X671" s="398"/>
      <c r="Y671" s="398"/>
      <c r="Z671" s="398"/>
      <c r="AA671" s="398"/>
      <c r="AB671" s="200"/>
    </row>
    <row r="672" spans="1:41" ht="16.95" customHeight="1">
      <c r="A672" s="199"/>
      <c r="B672" s="617">
        <v>4</v>
      </c>
      <c r="C672" s="393" t="s">
        <v>2954</v>
      </c>
      <c r="D672" s="601"/>
      <c r="E672" s="620">
        <f>(E668*4)*B672</f>
        <v>160</v>
      </c>
      <c r="F672" s="601"/>
      <c r="G672" s="616"/>
      <c r="H672" s="601"/>
      <c r="I672" s="24"/>
      <c r="J672" s="601"/>
      <c r="K672" s="618"/>
      <c r="L672" s="601"/>
      <c r="M672" s="618"/>
      <c r="N672" s="200"/>
      <c r="O672" s="199"/>
      <c r="P672" s="24"/>
      <c r="Q672" s="24"/>
      <c r="R672" s="398"/>
      <c r="S672" s="398"/>
      <c r="T672" s="398"/>
      <c r="U672" s="398"/>
      <c r="V672" s="398"/>
      <c r="W672" s="398"/>
      <c r="X672" s="398"/>
      <c r="Y672" s="398"/>
      <c r="Z672" s="398"/>
      <c r="AA672" s="398"/>
      <c r="AB672" s="200"/>
    </row>
    <row r="673" spans="1:38" ht="16.95" customHeight="1">
      <c r="A673" s="199"/>
      <c r="B673" s="617">
        <v>2</v>
      </c>
      <c r="C673" s="393" t="s">
        <v>2423</v>
      </c>
      <c r="D673" s="601"/>
      <c r="E673" s="620">
        <f>B673*D665</f>
        <v>540</v>
      </c>
      <c r="F673" s="601"/>
      <c r="G673" s="24"/>
      <c r="H673" s="24"/>
      <c r="I673" s="24"/>
      <c r="J673" s="24"/>
      <c r="K673" s="24"/>
      <c r="L673" s="24"/>
      <c r="M673" s="24"/>
      <c r="N673" s="200"/>
      <c r="O673" s="199"/>
      <c r="P673" s="24"/>
      <c r="Q673" s="24"/>
      <c r="R673" s="398"/>
      <c r="S673" s="398"/>
      <c r="T673" s="398"/>
      <c r="U673" s="398"/>
      <c r="V673" s="398"/>
      <c r="W673" s="398"/>
      <c r="X673" s="398"/>
      <c r="Y673" s="398"/>
      <c r="Z673" s="398"/>
      <c r="AA673" s="398"/>
      <c r="AB673" s="200"/>
      <c r="AI673" s="459" t="str">
        <f>CONCATENATE(AK673,AL673,AM673,AN673,AO673,AP673,AQ673,AR673)</f>
        <v/>
      </c>
      <c r="AK673" s="409"/>
    </row>
    <row r="674" spans="1:38" ht="16.95" customHeight="1">
      <c r="A674" s="199"/>
      <c r="B674" s="601" t="s">
        <v>2416</v>
      </c>
      <c r="C674" s="601"/>
      <c r="D674" s="1369">
        <f>SUM(E668:E673)</f>
        <v>1130</v>
      </c>
      <c r="E674" s="1369"/>
      <c r="F674" s="627" t="s">
        <v>2424</v>
      </c>
      <c r="G674" s="24"/>
      <c r="H674" s="24"/>
      <c r="I674" s="24"/>
      <c r="J674" s="24"/>
      <c r="K674" s="24"/>
      <c r="L674" s="24"/>
      <c r="M674" s="24"/>
      <c r="N674" s="200"/>
      <c r="O674" s="199"/>
      <c r="P674" s="24"/>
      <c r="Q674" s="24"/>
      <c r="R674" s="398"/>
      <c r="S674" s="398"/>
      <c r="T674" s="398"/>
      <c r="U674" s="398"/>
      <c r="V674" s="398"/>
      <c r="W674" s="398"/>
      <c r="X674" s="398"/>
      <c r="Y674" s="398"/>
      <c r="Z674" s="398"/>
      <c r="AA674" s="398"/>
      <c r="AB674" s="200"/>
    </row>
    <row r="675" spans="1:38" ht="10.050000000000001" customHeight="1">
      <c r="A675" s="199"/>
      <c r="B675" s="24"/>
      <c r="C675" s="24"/>
      <c r="D675" s="24"/>
      <c r="E675" s="24"/>
      <c r="F675" s="24"/>
      <c r="G675" s="24"/>
      <c r="H675" s="24"/>
      <c r="I675" s="24"/>
      <c r="J675" s="24"/>
      <c r="K675" s="24"/>
      <c r="L675" s="24"/>
      <c r="M675" s="24"/>
      <c r="N675" s="200"/>
      <c r="O675" s="199"/>
      <c r="P675" s="24"/>
      <c r="Q675" s="24"/>
      <c r="R675" s="398"/>
      <c r="S675" s="398"/>
      <c r="T675" s="398"/>
      <c r="U675" s="398"/>
      <c r="V675" s="398"/>
      <c r="W675" s="398"/>
      <c r="X675" s="398"/>
      <c r="Y675" s="398"/>
      <c r="Z675" s="398"/>
      <c r="AA675" s="398"/>
      <c r="AB675" s="200"/>
    </row>
    <row r="676" spans="1:38" ht="30" customHeight="1">
      <c r="A676" s="210" t="s">
        <v>1148</v>
      </c>
      <c r="B676" s="399" t="s">
        <v>3147</v>
      </c>
      <c r="C676" s="582"/>
      <c r="D676" s="582"/>
      <c r="E676" s="583"/>
      <c r="F676" s="584"/>
      <c r="G676" s="582"/>
      <c r="H676" s="396"/>
      <c r="I676" s="396"/>
      <c r="J676" s="396"/>
      <c r="K676" s="373"/>
      <c r="L676" s="373"/>
      <c r="M676" s="373"/>
      <c r="N676" s="211" t="s">
        <v>1149</v>
      </c>
      <c r="O676" s="372"/>
      <c r="P676" s="374"/>
      <c r="Q676" s="373"/>
      <c r="R676" s="373"/>
      <c r="S676" s="373"/>
      <c r="T676" s="373"/>
      <c r="U676" s="373"/>
      <c r="V676" s="373"/>
      <c r="W676" s="373"/>
      <c r="X676" s="373"/>
      <c r="Y676" s="373"/>
      <c r="Z676" s="373"/>
      <c r="AA676" s="373"/>
      <c r="AB676" s="211" t="s">
        <v>1149</v>
      </c>
    </row>
    <row r="677" spans="1:38" ht="10.050000000000001" customHeight="1">
      <c r="A677" s="199"/>
      <c r="B677" s="476"/>
      <c r="C677" s="476"/>
      <c r="D677" s="476"/>
      <c r="E677" s="476"/>
      <c r="F677" s="476"/>
      <c r="G677" s="476"/>
      <c r="H677" s="476"/>
      <c r="I677" s="476"/>
      <c r="J677" s="476"/>
      <c r="K677" s="476"/>
      <c r="L677" s="476"/>
      <c r="M677" s="476"/>
      <c r="N677" s="200"/>
      <c r="O677" s="199"/>
      <c r="P677" s="476"/>
      <c r="Q677" s="476"/>
      <c r="R677" s="662"/>
      <c r="S677" s="662"/>
      <c r="T677" s="662"/>
      <c r="U677" s="662"/>
      <c r="V677" s="662"/>
      <c r="W677" s="662"/>
      <c r="X677" s="662"/>
      <c r="Y677" s="662"/>
      <c r="Z677" s="662"/>
      <c r="AA677" s="662"/>
      <c r="AB677" s="200"/>
    </row>
    <row r="678" spans="1:38" ht="19.95" customHeight="1">
      <c r="A678" s="199"/>
      <c r="B678" s="663" t="s">
        <v>2062</v>
      </c>
      <c r="C678" s="476"/>
      <c r="D678" s="476"/>
      <c r="E678" s="476"/>
      <c r="F678" s="476"/>
      <c r="G678" s="476"/>
      <c r="H678" s="476"/>
      <c r="I678" s="476"/>
      <c r="J678" s="476"/>
      <c r="K678" s="476"/>
      <c r="L678" s="476"/>
      <c r="M678" s="476"/>
      <c r="N678" s="200"/>
      <c r="O678" s="199"/>
      <c r="P678" s="476"/>
      <c r="Q678" s="476"/>
      <c r="R678" s="662"/>
      <c r="S678" s="662"/>
      <c r="T678" s="662"/>
      <c r="U678" s="662"/>
      <c r="V678" s="662"/>
      <c r="W678" s="662"/>
      <c r="X678" s="662"/>
      <c r="Y678" s="662"/>
      <c r="Z678" s="662"/>
      <c r="AA678" s="662"/>
      <c r="AB678" s="200"/>
    </row>
    <row r="679" spans="1:38" ht="4.95" customHeight="1">
      <c r="A679" s="199"/>
      <c r="B679" s="664"/>
      <c r="C679" s="476"/>
      <c r="D679" s="476"/>
      <c r="E679" s="476"/>
      <c r="F679" s="476"/>
      <c r="G679" s="476"/>
      <c r="H679" s="476"/>
      <c r="I679" s="476"/>
      <c r="J679" s="476"/>
      <c r="K679" s="476"/>
      <c r="L679" s="476"/>
      <c r="M679" s="476"/>
      <c r="N679" s="200"/>
      <c r="O679" s="199"/>
      <c r="P679" s="476"/>
      <c r="Q679" s="476"/>
      <c r="R679" s="662"/>
      <c r="S679" s="662"/>
      <c r="T679" s="662"/>
      <c r="U679" s="662"/>
      <c r="V679" s="662"/>
      <c r="W679" s="662"/>
      <c r="X679" s="662"/>
      <c r="Y679" s="662"/>
      <c r="Z679" s="662"/>
      <c r="AA679" s="662"/>
      <c r="AB679" s="200"/>
    </row>
    <row r="680" spans="1:38" ht="18" customHeight="1">
      <c r="A680" s="199"/>
      <c r="B680" s="665"/>
      <c r="C680" s="665"/>
      <c r="D680" s="476"/>
      <c r="E680" s="666"/>
      <c r="F680" s="666"/>
      <c r="G680" s="666"/>
      <c r="H680" s="666"/>
      <c r="I680" s="666"/>
      <c r="J680" s="666"/>
      <c r="K680" s="666"/>
      <c r="L680" s="666"/>
      <c r="M680" s="666"/>
      <c r="N680" s="200"/>
      <c r="O680" s="199"/>
      <c r="P680" s="476"/>
      <c r="Q680" s="476"/>
      <c r="R680" s="662"/>
      <c r="S680" s="662"/>
      <c r="T680" s="662"/>
      <c r="U680" s="662"/>
      <c r="V680" s="662"/>
      <c r="W680" s="662"/>
      <c r="X680" s="662"/>
      <c r="Y680" s="662"/>
      <c r="Z680" s="662"/>
      <c r="AA680" s="662"/>
      <c r="AB680" s="200"/>
      <c r="AI680" s="459" t="str">
        <f>CONCATENATE(AK680,AL680,AM680)</f>
        <v/>
      </c>
      <c r="AK680" s="409"/>
      <c r="AL680" s="46"/>
    </row>
    <row r="681" spans="1:38" ht="18" customHeight="1">
      <c r="A681" s="199"/>
      <c r="B681" s="665"/>
      <c r="C681" s="665"/>
      <c r="D681" s="476"/>
      <c r="E681" s="666"/>
      <c r="F681" s="666"/>
      <c r="G681" s="666"/>
      <c r="H681" s="666"/>
      <c r="I681" s="666"/>
      <c r="J681" s="666"/>
      <c r="K681" s="666"/>
      <c r="L681" s="666"/>
      <c r="M681" s="666"/>
      <c r="N681" s="200"/>
      <c r="O681" s="199"/>
      <c r="P681" s="476"/>
      <c r="Q681" s="476"/>
      <c r="R681" s="662"/>
      <c r="S681" s="662"/>
      <c r="T681" s="662"/>
      <c r="U681" s="662"/>
      <c r="V681" s="662"/>
      <c r="W681" s="662"/>
      <c r="X681" s="662"/>
      <c r="Y681" s="662"/>
      <c r="Z681" s="662"/>
      <c r="AA681" s="662"/>
      <c r="AB681" s="200"/>
    </row>
    <row r="682" spans="1:38" ht="18" customHeight="1">
      <c r="A682" s="199"/>
      <c r="B682" s="665"/>
      <c r="C682" s="665"/>
      <c r="D682" s="476"/>
      <c r="E682" s="666"/>
      <c r="F682" s="666"/>
      <c r="G682" s="666"/>
      <c r="H682" s="666"/>
      <c r="I682" s="666"/>
      <c r="J682" s="666"/>
      <c r="K682" s="666"/>
      <c r="L682" s="666"/>
      <c r="M682" s="666"/>
      <c r="N682" s="200"/>
      <c r="O682" s="199"/>
      <c r="P682" s="476"/>
      <c r="Q682" s="476"/>
      <c r="R682" s="662"/>
      <c r="S682" s="662"/>
      <c r="T682" s="662"/>
      <c r="U682" s="662"/>
      <c r="V682" s="662"/>
      <c r="W682" s="662"/>
      <c r="X682" s="662"/>
      <c r="Y682" s="662"/>
      <c r="Z682" s="662"/>
      <c r="AA682" s="662"/>
      <c r="AB682" s="200"/>
    </row>
    <row r="683" spans="1:38" ht="18" customHeight="1">
      <c r="A683" s="199"/>
      <c r="B683" s="665"/>
      <c r="C683" s="665"/>
      <c r="D683" s="476"/>
      <c r="E683" s="666"/>
      <c r="F683" s="666"/>
      <c r="G683" s="666"/>
      <c r="H683" s="666"/>
      <c r="I683" s="666"/>
      <c r="J683" s="666"/>
      <c r="K683" s="666"/>
      <c r="L683" s="666"/>
      <c r="M683" s="666"/>
      <c r="N683" s="200"/>
      <c r="O683" s="199"/>
      <c r="P683" s="476"/>
      <c r="Q683" s="476"/>
      <c r="R683" s="662"/>
      <c r="S683" s="662"/>
      <c r="T683" s="662"/>
      <c r="U683" s="662"/>
      <c r="V683" s="662"/>
      <c r="W683" s="662"/>
      <c r="X683" s="662"/>
      <c r="Y683" s="662"/>
      <c r="Z683" s="662"/>
      <c r="AA683" s="662"/>
      <c r="AB683" s="200"/>
    </row>
    <row r="684" spans="1:38" ht="18" customHeight="1">
      <c r="A684" s="199"/>
      <c r="B684" s="665"/>
      <c r="C684" s="665"/>
      <c r="D684" s="476"/>
      <c r="E684" s="666"/>
      <c r="F684" s="666"/>
      <c r="G684" s="666"/>
      <c r="H684" s="666"/>
      <c r="I684" s="666"/>
      <c r="J684" s="666"/>
      <c r="K684" s="666"/>
      <c r="L684" s="666"/>
      <c r="M684" s="666"/>
      <c r="N684" s="200"/>
      <c r="O684" s="199"/>
      <c r="P684" s="476"/>
      <c r="Q684" s="476"/>
      <c r="R684" s="662"/>
      <c r="S684" s="662"/>
      <c r="T684" s="662"/>
      <c r="U684" s="662"/>
      <c r="V684" s="662"/>
      <c r="W684" s="662"/>
      <c r="X684" s="662"/>
      <c r="Y684" s="662"/>
      <c r="Z684" s="662"/>
      <c r="AA684" s="662"/>
      <c r="AB684" s="200"/>
    </row>
    <row r="685" spans="1:38" ht="18" customHeight="1">
      <c r="A685" s="199"/>
      <c r="B685" s="665"/>
      <c r="C685" s="665"/>
      <c r="D685" s="476"/>
      <c r="E685" s="666"/>
      <c r="F685" s="666"/>
      <c r="G685" s="666"/>
      <c r="H685" s="666"/>
      <c r="I685" s="666"/>
      <c r="J685" s="666"/>
      <c r="K685" s="666"/>
      <c r="L685" s="666"/>
      <c r="M685" s="666"/>
      <c r="N685" s="200"/>
      <c r="O685" s="199"/>
      <c r="P685" s="476"/>
      <c r="Q685" s="476"/>
      <c r="R685" s="662"/>
      <c r="S685" s="662"/>
      <c r="T685" s="662"/>
      <c r="U685" s="662"/>
      <c r="V685" s="662"/>
      <c r="W685" s="662"/>
      <c r="X685" s="662"/>
      <c r="Y685" s="662"/>
      <c r="Z685" s="662"/>
      <c r="AA685" s="662"/>
      <c r="AB685" s="200"/>
    </row>
    <row r="686" spans="1:38" ht="18" customHeight="1">
      <c r="A686" s="199"/>
      <c r="B686" s="665"/>
      <c r="C686" s="665"/>
      <c r="D686" s="476"/>
      <c r="E686" s="666"/>
      <c r="F686" s="666"/>
      <c r="G686" s="666"/>
      <c r="H686" s="666"/>
      <c r="I686" s="666"/>
      <c r="J686" s="666"/>
      <c r="K686" s="666"/>
      <c r="L686" s="666"/>
      <c r="M686" s="476"/>
      <c r="N686" s="200"/>
      <c r="O686" s="199"/>
      <c r="P686" s="476"/>
      <c r="Q686" s="476"/>
      <c r="R686" s="662"/>
      <c r="S686" s="662"/>
      <c r="T686" s="662"/>
      <c r="U686" s="662"/>
      <c r="V686" s="662"/>
      <c r="W686" s="662"/>
      <c r="X686" s="662"/>
      <c r="Y686" s="662"/>
      <c r="Z686" s="662"/>
      <c r="AA686" s="662"/>
      <c r="AB686" s="200"/>
    </row>
    <row r="687" spans="1:38" ht="18" customHeight="1">
      <c r="A687" s="199"/>
      <c r="B687" s="665"/>
      <c r="C687" s="665"/>
      <c r="D687" s="476"/>
      <c r="E687" s="666"/>
      <c r="F687" s="666"/>
      <c r="G687" s="666"/>
      <c r="H687" s="666"/>
      <c r="I687" s="666"/>
      <c r="J687" s="666"/>
      <c r="K687" s="666"/>
      <c r="L687" s="666"/>
      <c r="M687" s="665"/>
      <c r="N687" s="200"/>
      <c r="O687" s="199"/>
      <c r="P687" s="476"/>
      <c r="Q687" s="476"/>
      <c r="R687" s="662"/>
      <c r="S687" s="662"/>
      <c r="T687" s="662"/>
      <c r="U687" s="662"/>
      <c r="V687" s="662"/>
      <c r="W687" s="662"/>
      <c r="X687" s="662"/>
      <c r="Y687" s="662"/>
      <c r="Z687" s="662"/>
      <c r="AA687" s="662"/>
      <c r="AB687" s="200"/>
    </row>
    <row r="688" spans="1:38" ht="18" customHeight="1">
      <c r="A688" s="199"/>
      <c r="B688" s="665"/>
      <c r="C688" s="665"/>
      <c r="D688" s="476"/>
      <c r="E688" s="666"/>
      <c r="F688" s="666"/>
      <c r="G688" s="666"/>
      <c r="H688" s="666"/>
      <c r="I688" s="666"/>
      <c r="J688" s="666"/>
      <c r="K688" s="476"/>
      <c r="L688" s="476"/>
      <c r="M688" s="665"/>
      <c r="N688" s="200"/>
      <c r="O688" s="199"/>
      <c r="P688" s="476"/>
      <c r="Q688" s="476"/>
      <c r="R688" s="662"/>
      <c r="S688" s="662"/>
      <c r="T688" s="662"/>
      <c r="U688" s="662"/>
      <c r="V688" s="662"/>
      <c r="W688" s="662"/>
      <c r="X688" s="662"/>
      <c r="Y688" s="662"/>
      <c r="Z688" s="662"/>
      <c r="AA688" s="662"/>
      <c r="AB688" s="200"/>
    </row>
    <row r="689" spans="1:28" ht="18" customHeight="1">
      <c r="A689" s="199"/>
      <c r="B689" s="665"/>
      <c r="C689" s="665"/>
      <c r="D689" s="476"/>
      <c r="E689" s="666"/>
      <c r="F689" s="666"/>
      <c r="G689" s="666"/>
      <c r="H689" s="666"/>
      <c r="I689" s="666"/>
      <c r="J689" s="666"/>
      <c r="K689" s="476"/>
      <c r="L689" s="665"/>
      <c r="M689" s="665"/>
      <c r="N689" s="200"/>
      <c r="O689" s="199"/>
      <c r="P689" s="665"/>
      <c r="Q689" s="476"/>
      <c r="R689" s="662"/>
      <c r="S689" s="662"/>
      <c r="T689" s="662"/>
      <c r="U689" s="662"/>
      <c r="V689" s="662"/>
      <c r="W689" s="662"/>
      <c r="X689" s="662"/>
      <c r="Y689" s="662"/>
      <c r="Z689" s="662"/>
      <c r="AA689" s="662"/>
      <c r="AB689" s="200"/>
    </row>
    <row r="690" spans="1:28" ht="18" customHeight="1">
      <c r="A690" s="199"/>
      <c r="B690" s="665"/>
      <c r="C690" s="665"/>
      <c r="D690" s="476"/>
      <c r="E690" s="666"/>
      <c r="F690" s="666"/>
      <c r="G690" s="666"/>
      <c r="H690" s="666"/>
      <c r="I690" s="666"/>
      <c r="J690" s="666"/>
      <c r="K690" s="476"/>
      <c r="L690" s="665"/>
      <c r="M690" s="665"/>
      <c r="N690" s="200"/>
      <c r="O690" s="199"/>
      <c r="P690" s="476"/>
      <c r="Q690" s="476"/>
      <c r="R690" s="662"/>
      <c r="S690" s="662"/>
      <c r="T690" s="662"/>
      <c r="U690" s="662"/>
      <c r="V690" s="662"/>
      <c r="W690" s="662"/>
      <c r="X690" s="662"/>
      <c r="Y690" s="662"/>
      <c r="Z690" s="662"/>
      <c r="AA690" s="662"/>
      <c r="AB690" s="200"/>
    </row>
    <row r="691" spans="1:28" ht="18" customHeight="1">
      <c r="A691" s="199"/>
      <c r="B691" s="665"/>
      <c r="C691" s="665"/>
      <c r="D691" s="476"/>
      <c r="E691" s="666"/>
      <c r="F691" s="666"/>
      <c r="G691" s="666"/>
      <c r="H691" s="666"/>
      <c r="I691" s="666"/>
      <c r="J691" s="666"/>
      <c r="K691" s="665"/>
      <c r="L691" s="665"/>
      <c r="M691" s="665"/>
      <c r="N691" s="200"/>
      <c r="O691" s="199"/>
      <c r="P691" s="476"/>
      <c r="Q691" s="476"/>
      <c r="R691" s="662"/>
      <c r="S691" s="662"/>
      <c r="T691" s="662"/>
      <c r="U691" s="662"/>
      <c r="V691" s="662"/>
      <c r="W691" s="662"/>
      <c r="X691" s="662"/>
      <c r="Y691" s="662"/>
      <c r="Z691" s="662"/>
      <c r="AA691" s="662"/>
      <c r="AB691" s="200"/>
    </row>
    <row r="692" spans="1:28" ht="18" customHeight="1">
      <c r="A692" s="199"/>
      <c r="B692" s="665"/>
      <c r="C692" s="665"/>
      <c r="D692" s="476"/>
      <c r="E692" s="666"/>
      <c r="F692" s="666"/>
      <c r="G692" s="666"/>
      <c r="H692" s="666"/>
      <c r="I692" s="666"/>
      <c r="J692" s="666"/>
      <c r="K692" s="665"/>
      <c r="L692" s="665"/>
      <c r="M692" s="665"/>
      <c r="N692" s="200"/>
      <c r="O692" s="199"/>
      <c r="P692" s="476"/>
      <c r="Q692" s="476"/>
      <c r="R692" s="662"/>
      <c r="S692" s="662"/>
      <c r="T692" s="662"/>
      <c r="U692" s="662"/>
      <c r="V692" s="662"/>
      <c r="W692" s="662"/>
      <c r="X692" s="662"/>
      <c r="Y692" s="662"/>
      <c r="Z692" s="662"/>
      <c r="AA692" s="662"/>
      <c r="AB692" s="200"/>
    </row>
    <row r="693" spans="1:28" ht="18" customHeight="1">
      <c r="A693" s="199"/>
      <c r="B693" s="665"/>
      <c r="C693" s="665"/>
      <c r="D693" s="476"/>
      <c r="E693" s="666"/>
      <c r="F693" s="666"/>
      <c r="G693" s="666"/>
      <c r="H693" s="666"/>
      <c r="I693" s="666"/>
      <c r="J693" s="666"/>
      <c r="K693" s="665"/>
      <c r="L693" s="665"/>
      <c r="M693" s="476"/>
      <c r="N693" s="200"/>
      <c r="O693" s="199"/>
      <c r="P693" s="476"/>
      <c r="Q693" s="476"/>
      <c r="R693" s="662"/>
      <c r="S693" s="662"/>
      <c r="T693" s="662"/>
      <c r="U693" s="662"/>
      <c r="V693" s="662"/>
      <c r="W693" s="662"/>
      <c r="X693" s="662"/>
      <c r="Y693" s="662"/>
      <c r="Z693" s="662"/>
      <c r="AA693" s="662"/>
      <c r="AB693" s="200"/>
    </row>
    <row r="694" spans="1:28" ht="18" customHeight="1">
      <c r="A694" s="199"/>
      <c r="B694" s="665"/>
      <c r="C694" s="665"/>
      <c r="D694" s="476"/>
      <c r="E694" s="666"/>
      <c r="F694" s="666"/>
      <c r="G694" s="666"/>
      <c r="H694" s="666"/>
      <c r="I694" s="666"/>
      <c r="J694" s="666"/>
      <c r="K694" s="665"/>
      <c r="L694" s="665"/>
      <c r="M694" s="665"/>
      <c r="N694" s="200"/>
      <c r="O694" s="199"/>
      <c r="P694" s="476"/>
      <c r="Q694" s="476"/>
      <c r="R694" s="662"/>
      <c r="S694" s="662"/>
      <c r="T694" s="662"/>
      <c r="U694" s="662"/>
      <c r="V694" s="662"/>
      <c r="W694" s="662"/>
      <c r="X694" s="662"/>
      <c r="Y694" s="662"/>
      <c r="Z694" s="662"/>
      <c r="AA694" s="662"/>
      <c r="AB694" s="200"/>
    </row>
    <row r="695" spans="1:28" ht="18" customHeight="1">
      <c r="A695" s="199"/>
      <c r="B695" s="665"/>
      <c r="C695" s="665"/>
      <c r="D695" s="476"/>
      <c r="E695" s="666"/>
      <c r="F695" s="666"/>
      <c r="G695" s="666"/>
      <c r="H695" s="666"/>
      <c r="I695" s="666"/>
      <c r="J695" s="666"/>
      <c r="K695" s="476"/>
      <c r="L695" s="476"/>
      <c r="M695" s="665"/>
      <c r="N695" s="200"/>
      <c r="O695" s="199"/>
      <c r="P695" s="476"/>
      <c r="Q695" s="476"/>
      <c r="R695" s="662"/>
      <c r="S695" s="662"/>
      <c r="T695" s="662"/>
      <c r="U695" s="662"/>
      <c r="V695" s="662"/>
      <c r="W695" s="662"/>
      <c r="X695" s="662"/>
      <c r="Y695" s="662"/>
      <c r="Z695" s="662"/>
      <c r="AA695" s="662"/>
      <c r="AB695" s="200"/>
    </row>
    <row r="696" spans="1:28" ht="18" customHeight="1">
      <c r="A696" s="199"/>
      <c r="B696" s="665"/>
      <c r="C696" s="665"/>
      <c r="D696" s="476"/>
      <c r="E696" s="666"/>
      <c r="F696" s="666"/>
      <c r="G696" s="666"/>
      <c r="H696" s="666"/>
      <c r="I696" s="666"/>
      <c r="J696" s="666"/>
      <c r="K696" s="665"/>
      <c r="L696" s="665"/>
      <c r="M696" s="665"/>
      <c r="N696" s="200"/>
      <c r="O696" s="199"/>
      <c r="P696" s="476"/>
      <c r="Q696" s="476"/>
      <c r="R696" s="662"/>
      <c r="S696" s="662"/>
      <c r="T696" s="662"/>
      <c r="U696" s="662"/>
      <c r="V696" s="662"/>
      <c r="W696" s="662"/>
      <c r="X696" s="662"/>
      <c r="Y696" s="662"/>
      <c r="Z696" s="662"/>
      <c r="AA696" s="662"/>
      <c r="AB696" s="200"/>
    </row>
    <row r="697" spans="1:28" ht="18" customHeight="1">
      <c r="A697" s="199"/>
      <c r="B697" s="665"/>
      <c r="C697" s="665"/>
      <c r="D697" s="476"/>
      <c r="E697" s="666"/>
      <c r="F697" s="666"/>
      <c r="G697" s="666"/>
      <c r="H697" s="666"/>
      <c r="I697" s="666"/>
      <c r="J697" s="666"/>
      <c r="K697" s="665"/>
      <c r="L697" s="665"/>
      <c r="M697" s="665"/>
      <c r="N697" s="200"/>
      <c r="O697" s="199"/>
      <c r="P697" s="476"/>
      <c r="Q697" s="476"/>
      <c r="R697" s="662"/>
      <c r="S697" s="662"/>
      <c r="T697" s="662"/>
      <c r="U697" s="662"/>
      <c r="V697" s="662"/>
      <c r="W697" s="662"/>
      <c r="X697" s="662"/>
      <c r="Y697" s="662"/>
      <c r="Z697" s="662"/>
      <c r="AA697" s="662"/>
      <c r="AB697" s="200"/>
    </row>
    <row r="698" spans="1:28" ht="18" customHeight="1">
      <c r="A698" s="199"/>
      <c r="B698" s="665"/>
      <c r="C698" s="665"/>
      <c r="D698" s="476"/>
      <c r="E698" s="666"/>
      <c r="F698" s="666"/>
      <c r="G698" s="666"/>
      <c r="H698" s="666"/>
      <c r="I698" s="666"/>
      <c r="J698" s="666"/>
      <c r="K698" s="666"/>
      <c r="L698" s="666"/>
      <c r="M698" s="666"/>
      <c r="N698" s="200"/>
      <c r="O698" s="199"/>
      <c r="P698" s="476"/>
      <c r="Q698" s="476"/>
      <c r="R698" s="662"/>
      <c r="S698" s="662"/>
      <c r="T698" s="662"/>
      <c r="U698" s="662"/>
      <c r="V698" s="662"/>
      <c r="W698" s="662"/>
      <c r="X698" s="662"/>
      <c r="Y698" s="662"/>
      <c r="Z698" s="662"/>
      <c r="AA698" s="662"/>
      <c r="AB698" s="200"/>
    </row>
    <row r="699" spans="1:28" ht="18" customHeight="1">
      <c r="A699" s="199"/>
      <c r="B699" s="665"/>
      <c r="C699" s="665"/>
      <c r="D699" s="476"/>
      <c r="E699" s="666"/>
      <c r="F699" s="666"/>
      <c r="G699" s="666"/>
      <c r="H699" s="666"/>
      <c r="I699" s="666"/>
      <c r="J699" s="666"/>
      <c r="K699" s="665"/>
      <c r="L699" s="665"/>
      <c r="M699" s="665"/>
      <c r="N699" s="200"/>
      <c r="O699" s="199"/>
      <c r="P699" s="476"/>
      <c r="Q699" s="476"/>
      <c r="R699" s="662"/>
      <c r="S699" s="662"/>
      <c r="T699" s="662"/>
      <c r="U699" s="662"/>
      <c r="V699" s="662"/>
      <c r="W699" s="662"/>
      <c r="X699" s="662"/>
      <c r="Y699" s="662"/>
      <c r="Z699" s="662"/>
      <c r="AA699" s="662"/>
      <c r="AB699" s="200"/>
    </row>
    <row r="700" spans="1:28" ht="18" customHeight="1">
      <c r="A700" s="199"/>
      <c r="B700" s="665"/>
      <c r="C700" s="665"/>
      <c r="D700" s="476"/>
      <c r="E700" s="666"/>
      <c r="F700" s="666"/>
      <c r="G700" s="666"/>
      <c r="H700" s="666"/>
      <c r="I700" s="666"/>
      <c r="J700" s="666"/>
      <c r="K700" s="665"/>
      <c r="L700" s="665"/>
      <c r="M700" s="665"/>
      <c r="N700" s="200"/>
      <c r="O700" s="199"/>
      <c r="P700" s="476"/>
      <c r="Q700" s="476"/>
      <c r="R700" s="662"/>
      <c r="S700" s="662"/>
      <c r="T700" s="662"/>
      <c r="U700" s="662"/>
      <c r="V700" s="662"/>
      <c r="W700" s="662"/>
      <c r="X700" s="662"/>
      <c r="Y700" s="662"/>
      <c r="Z700" s="662"/>
      <c r="AA700" s="662"/>
      <c r="AB700" s="200"/>
    </row>
    <row r="701" spans="1:28" ht="18" customHeight="1">
      <c r="A701" s="199"/>
      <c r="B701" s="665"/>
      <c r="C701" s="665"/>
      <c r="D701" s="476"/>
      <c r="E701" s="666"/>
      <c r="F701" s="666"/>
      <c r="G701" s="666"/>
      <c r="H701" s="666"/>
      <c r="I701" s="666"/>
      <c r="J701" s="666"/>
      <c r="K701" s="665"/>
      <c r="L701" s="665"/>
      <c r="M701" s="665"/>
      <c r="N701" s="200"/>
      <c r="O701" s="199"/>
      <c r="P701" s="476"/>
      <c r="Q701" s="476"/>
      <c r="R701" s="662"/>
      <c r="S701" s="662"/>
      <c r="T701" s="662"/>
      <c r="U701" s="662"/>
      <c r="V701" s="662"/>
      <c r="W701" s="662"/>
      <c r="X701" s="662"/>
      <c r="Y701" s="662"/>
      <c r="Z701" s="662"/>
      <c r="AA701" s="662"/>
      <c r="AB701" s="200"/>
    </row>
    <row r="702" spans="1:28" ht="18" customHeight="1">
      <c r="A702" s="199"/>
      <c r="B702" s="665"/>
      <c r="C702" s="665"/>
      <c r="D702" s="476"/>
      <c r="E702" s="666"/>
      <c r="F702" s="666"/>
      <c r="G702" s="666"/>
      <c r="H702" s="666"/>
      <c r="I702" s="666"/>
      <c r="J702" s="666"/>
      <c r="K702" s="665"/>
      <c r="L702" s="665"/>
      <c r="M702" s="665"/>
      <c r="N702" s="200"/>
      <c r="O702" s="199"/>
      <c r="P702" s="476"/>
      <c r="Q702" s="476"/>
      <c r="R702" s="662"/>
      <c r="S702" s="662"/>
      <c r="T702" s="662"/>
      <c r="U702" s="662"/>
      <c r="V702" s="662"/>
      <c r="W702" s="662"/>
      <c r="X702" s="662"/>
      <c r="Y702" s="662"/>
      <c r="Z702" s="662"/>
      <c r="AA702" s="662"/>
      <c r="AB702" s="200"/>
    </row>
    <row r="703" spans="1:28" ht="18" customHeight="1">
      <c r="A703" s="199"/>
      <c r="B703" s="665"/>
      <c r="C703" s="665"/>
      <c r="D703" s="476"/>
      <c r="E703" s="666"/>
      <c r="F703" s="666"/>
      <c r="G703" s="666"/>
      <c r="H703" s="666"/>
      <c r="I703" s="666"/>
      <c r="J703" s="666"/>
      <c r="K703" s="665"/>
      <c r="L703" s="665"/>
      <c r="M703" s="665"/>
      <c r="N703" s="200"/>
      <c r="O703" s="199"/>
      <c r="P703" s="476"/>
      <c r="Q703" s="476"/>
      <c r="R703" s="662"/>
      <c r="S703" s="662"/>
      <c r="T703" s="662"/>
      <c r="U703" s="662"/>
      <c r="V703" s="662"/>
      <c r="W703" s="662"/>
      <c r="X703" s="662"/>
      <c r="Y703" s="662"/>
      <c r="Z703" s="662"/>
      <c r="AA703" s="662"/>
      <c r="AB703" s="200"/>
    </row>
    <row r="704" spans="1:28" ht="18" customHeight="1">
      <c r="A704" s="199"/>
      <c r="B704" s="665"/>
      <c r="C704" s="665"/>
      <c r="D704" s="476"/>
      <c r="E704" s="666"/>
      <c r="F704" s="666"/>
      <c r="G704" s="666"/>
      <c r="H704" s="666"/>
      <c r="I704" s="666"/>
      <c r="J704" s="666"/>
      <c r="K704" s="476"/>
      <c r="L704" s="476"/>
      <c r="M704" s="476"/>
      <c r="N704" s="200"/>
      <c r="O704" s="199"/>
      <c r="P704" s="476"/>
      <c r="Q704" s="476"/>
      <c r="R704" s="662"/>
      <c r="S704" s="662"/>
      <c r="T704" s="662"/>
      <c r="U704" s="662"/>
      <c r="V704" s="662"/>
      <c r="W704" s="662"/>
      <c r="X704" s="662"/>
      <c r="Y704" s="662"/>
      <c r="Z704" s="662"/>
      <c r="AA704" s="662"/>
      <c r="AB704" s="200"/>
    </row>
    <row r="705" spans="1:43" ht="18" customHeight="1">
      <c r="A705" s="199"/>
      <c r="B705" s="665"/>
      <c r="C705" s="665"/>
      <c r="D705" s="476"/>
      <c r="E705" s="666"/>
      <c r="F705" s="666"/>
      <c r="G705" s="666"/>
      <c r="H705" s="666"/>
      <c r="I705" s="666"/>
      <c r="J705" s="666"/>
      <c r="K705" s="665"/>
      <c r="L705" s="665"/>
      <c r="M705" s="665"/>
      <c r="N705" s="200"/>
      <c r="O705" s="199"/>
      <c r="P705" s="476"/>
      <c r="Q705" s="476"/>
      <c r="R705" s="662"/>
      <c r="S705" s="662"/>
      <c r="T705" s="662"/>
      <c r="U705" s="662"/>
      <c r="V705" s="662"/>
      <c r="W705" s="662"/>
      <c r="X705" s="662"/>
      <c r="Y705" s="662"/>
      <c r="Z705" s="662"/>
      <c r="AA705" s="662"/>
      <c r="AB705" s="200"/>
    </row>
    <row r="706" spans="1:43" ht="18" customHeight="1">
      <c r="A706" s="199"/>
      <c r="B706" s="665"/>
      <c r="C706" s="665"/>
      <c r="D706" s="476"/>
      <c r="E706" s="666"/>
      <c r="F706" s="666"/>
      <c r="G706" s="666"/>
      <c r="H706" s="666"/>
      <c r="I706" s="666"/>
      <c r="J706" s="666"/>
      <c r="K706" s="665"/>
      <c r="L706" s="665"/>
      <c r="M706" s="665"/>
      <c r="N706" s="200"/>
      <c r="O706" s="199"/>
      <c r="P706" s="476"/>
      <c r="Q706" s="476"/>
      <c r="R706" s="662"/>
      <c r="S706" s="662"/>
      <c r="T706" s="662"/>
      <c r="U706" s="662"/>
      <c r="V706" s="662"/>
      <c r="W706" s="662"/>
      <c r="X706" s="662"/>
      <c r="Y706" s="662"/>
      <c r="Z706" s="662"/>
      <c r="AA706" s="662"/>
      <c r="AB706" s="200"/>
    </row>
    <row r="707" spans="1:43" ht="18" customHeight="1">
      <c r="A707" s="199"/>
      <c r="B707" s="665"/>
      <c r="C707" s="665"/>
      <c r="D707" s="476"/>
      <c r="E707" s="666"/>
      <c r="F707" s="666"/>
      <c r="G707" s="666"/>
      <c r="H707" s="666"/>
      <c r="I707" s="666"/>
      <c r="J707" s="666"/>
      <c r="K707" s="665"/>
      <c r="L707" s="665"/>
      <c r="M707" s="665"/>
      <c r="N707" s="200"/>
      <c r="O707" s="199"/>
      <c r="P707" s="476"/>
      <c r="Q707" s="476"/>
      <c r="R707" s="662"/>
      <c r="S707" s="662"/>
      <c r="T707" s="662"/>
      <c r="U707" s="662"/>
      <c r="V707" s="662"/>
      <c r="W707" s="662"/>
      <c r="X707" s="662"/>
      <c r="Y707" s="662"/>
      <c r="Z707" s="662"/>
      <c r="AA707" s="662"/>
      <c r="AB707" s="200"/>
    </row>
    <row r="708" spans="1:43" ht="18" customHeight="1">
      <c r="A708" s="199"/>
      <c r="B708" s="665"/>
      <c r="C708" s="665"/>
      <c r="D708" s="476"/>
      <c r="E708" s="666"/>
      <c r="F708" s="666"/>
      <c r="G708" s="666"/>
      <c r="H708" s="666"/>
      <c r="I708" s="666"/>
      <c r="J708" s="666"/>
      <c r="K708" s="665"/>
      <c r="L708" s="665"/>
      <c r="M708" s="665"/>
      <c r="N708" s="200"/>
      <c r="O708" s="199"/>
      <c r="P708" s="476"/>
      <c r="Q708" s="476"/>
      <c r="R708" s="662"/>
      <c r="S708" s="662"/>
      <c r="T708" s="662"/>
      <c r="U708" s="662"/>
      <c r="V708" s="662"/>
      <c r="W708" s="662"/>
      <c r="X708" s="662"/>
      <c r="Y708" s="662"/>
      <c r="Z708" s="662"/>
      <c r="AA708" s="662"/>
      <c r="AB708" s="200"/>
    </row>
    <row r="709" spans="1:43" ht="18" customHeight="1">
      <c r="A709" s="199"/>
      <c r="B709" s="665"/>
      <c r="C709" s="665"/>
      <c r="D709" s="476"/>
      <c r="E709" s="666"/>
      <c r="F709" s="666"/>
      <c r="G709" s="666"/>
      <c r="H709" s="666"/>
      <c r="I709" s="666"/>
      <c r="J709" s="666"/>
      <c r="K709" s="665"/>
      <c r="L709" s="665"/>
      <c r="M709" s="665"/>
      <c r="N709" s="200"/>
      <c r="O709" s="199"/>
      <c r="P709" s="476"/>
      <c r="Q709" s="476"/>
      <c r="R709" s="662"/>
      <c r="S709" s="662"/>
      <c r="T709" s="662"/>
      <c r="U709" s="662"/>
      <c r="V709" s="662"/>
      <c r="W709" s="662"/>
      <c r="X709" s="662"/>
      <c r="Y709" s="662"/>
      <c r="Z709" s="662"/>
      <c r="AA709" s="662"/>
      <c r="AB709" s="200"/>
    </row>
    <row r="710" spans="1:43" ht="18" customHeight="1">
      <c r="A710" s="199"/>
      <c r="B710" s="665"/>
      <c r="C710" s="665"/>
      <c r="D710" s="476"/>
      <c r="E710" s="666"/>
      <c r="F710" s="666"/>
      <c r="G710" s="666"/>
      <c r="H710" s="666"/>
      <c r="I710" s="666"/>
      <c r="J710" s="666"/>
      <c r="K710" s="665"/>
      <c r="L710" s="665"/>
      <c r="M710" s="665"/>
      <c r="N710" s="200"/>
      <c r="O710" s="199"/>
      <c r="P710" s="476"/>
      <c r="Q710" s="476"/>
      <c r="R710" s="662"/>
      <c r="S710" s="662"/>
      <c r="T710" s="662"/>
      <c r="U710" s="662"/>
      <c r="V710" s="662"/>
      <c r="W710" s="662"/>
      <c r="X710" s="662"/>
      <c r="Y710" s="662"/>
      <c r="Z710" s="662"/>
      <c r="AA710" s="662"/>
      <c r="AB710" s="200"/>
    </row>
    <row r="711" spans="1:43" ht="19.95" customHeight="1">
      <c r="A711" s="199"/>
      <c r="B711" s="601"/>
      <c r="C711" s="601"/>
      <c r="D711" s="601"/>
      <c r="E711" s="601"/>
      <c r="F711" s="601"/>
      <c r="G711" s="601"/>
      <c r="H711" s="601"/>
      <c r="I711" s="601"/>
      <c r="J711" s="601"/>
      <c r="K711" s="24"/>
      <c r="L711" s="24"/>
      <c r="M711" s="24"/>
      <c r="N711" s="200"/>
      <c r="O711" s="199"/>
      <c r="P711" s="24"/>
      <c r="Q711" s="24"/>
      <c r="R711" s="398"/>
      <c r="S711" s="398"/>
      <c r="T711" s="398"/>
      <c r="U711" s="398"/>
      <c r="V711" s="398"/>
      <c r="W711" s="398"/>
      <c r="X711" s="398"/>
      <c r="Y711" s="398"/>
      <c r="Z711" s="398"/>
      <c r="AA711" s="398"/>
      <c r="AB711" s="200"/>
    </row>
    <row r="712" spans="1:43" ht="10.050000000000001" customHeight="1">
      <c r="A712" s="199"/>
      <c r="B712" s="24"/>
      <c r="C712" s="24"/>
      <c r="D712" s="24"/>
      <c r="E712" s="24"/>
      <c r="F712" s="24"/>
      <c r="G712" s="24"/>
      <c r="H712" s="24"/>
      <c r="I712" s="24"/>
      <c r="J712" s="24"/>
      <c r="K712" s="24"/>
      <c r="L712" s="24"/>
      <c r="M712" s="24"/>
      <c r="N712" s="200"/>
      <c r="O712" s="199"/>
      <c r="P712" s="24"/>
      <c r="Q712" s="24"/>
      <c r="R712" s="398"/>
      <c r="S712" s="398"/>
      <c r="T712" s="398"/>
      <c r="U712" s="398"/>
      <c r="V712" s="398"/>
      <c r="W712" s="398"/>
      <c r="X712" s="398"/>
      <c r="Y712" s="398"/>
      <c r="Z712" s="398"/>
      <c r="AA712" s="398"/>
      <c r="AB712" s="203"/>
    </row>
    <row r="713" spans="1:43" ht="10.050000000000001" customHeight="1">
      <c r="A713" s="199"/>
      <c r="B713" s="24"/>
      <c r="C713" s="24"/>
      <c r="D713" s="24"/>
      <c r="E713" s="24"/>
      <c r="F713" s="24"/>
      <c r="G713" s="24"/>
      <c r="H713" s="24"/>
      <c r="I713" s="24"/>
      <c r="J713" s="24"/>
      <c r="K713" s="24"/>
      <c r="L713" s="24"/>
      <c r="M713" s="24"/>
      <c r="N713" s="200"/>
      <c r="O713" s="199"/>
      <c r="P713" s="24"/>
      <c r="Q713" s="24"/>
      <c r="R713" s="398"/>
      <c r="S713" s="398"/>
      <c r="T713" s="398"/>
      <c r="U713" s="398"/>
      <c r="V713" s="398"/>
      <c r="W713" s="398"/>
      <c r="X713" s="398"/>
      <c r="Y713" s="398"/>
      <c r="Z713" s="398"/>
      <c r="AA713" s="398"/>
      <c r="AB713" s="203"/>
    </row>
    <row r="714" spans="1:43" ht="30" customHeight="1">
      <c r="A714" s="210" t="s">
        <v>1148</v>
      </c>
      <c r="B714" s="399" t="s">
        <v>3148</v>
      </c>
      <c r="C714" s="582"/>
      <c r="D714" s="582"/>
      <c r="E714" s="583"/>
      <c r="F714" s="584"/>
      <c r="G714" s="582"/>
      <c r="H714" s="582"/>
      <c r="I714" s="582"/>
      <c r="J714" s="582"/>
      <c r="K714" s="582"/>
      <c r="L714" s="373"/>
      <c r="M714" s="373"/>
      <c r="N714" s="211" t="s">
        <v>1149</v>
      </c>
      <c r="O714" s="372"/>
      <c r="P714" s="374"/>
      <c r="Q714" s="373"/>
      <c r="R714" s="373"/>
      <c r="S714" s="373"/>
      <c r="T714" s="373"/>
      <c r="U714" s="373"/>
      <c r="V714" s="373"/>
      <c r="W714" s="373"/>
      <c r="X714" s="373"/>
      <c r="Y714" s="373"/>
      <c r="Z714" s="373"/>
      <c r="AA714" s="373"/>
      <c r="AB714" s="211" t="s">
        <v>1149</v>
      </c>
      <c r="AI714" s="459" t="str">
        <f>CONCATENATE(AK714,AL714,AM714,AN716,AO716,AP716,AQ716,AR716)</f>
        <v/>
      </c>
      <c r="AK714" s="409"/>
    </row>
    <row r="715" spans="1:43" ht="10.050000000000001" customHeight="1">
      <c r="A715" s="199"/>
      <c r="B715" s="24"/>
      <c r="C715" s="24"/>
      <c r="D715" s="24"/>
      <c r="E715" s="24"/>
      <c r="F715" s="24"/>
      <c r="G715" s="24"/>
      <c r="H715" s="24"/>
      <c r="I715" s="24"/>
      <c r="J715" s="24"/>
      <c r="K715" s="24"/>
      <c r="L715" s="24"/>
      <c r="M715" s="24"/>
      <c r="N715" s="200"/>
      <c r="O715" s="199"/>
      <c r="P715" s="24"/>
      <c r="Q715" s="24"/>
      <c r="R715" s="398"/>
      <c r="S715" s="398"/>
      <c r="T715" s="398"/>
      <c r="U715" s="398"/>
      <c r="V715" s="398"/>
      <c r="W715" s="398"/>
      <c r="X715" s="398"/>
      <c r="Y715" s="398"/>
      <c r="Z715" s="398"/>
      <c r="AA715" s="398"/>
      <c r="AB715" s="200"/>
    </row>
    <row r="716" spans="1:43" ht="19.95" customHeight="1">
      <c r="A716" s="199"/>
      <c r="B716" s="719" t="s">
        <v>2749</v>
      </c>
      <c r="C716" s="24"/>
      <c r="D716" s="24"/>
      <c r="E716" s="24"/>
      <c r="F716" s="24"/>
      <c r="G716" s="24"/>
      <c r="H716" s="24"/>
      <c r="I716" s="24"/>
      <c r="J716" s="24"/>
      <c r="K716" s="24"/>
      <c r="L716" s="24"/>
      <c r="M716" s="24"/>
      <c r="N716" s="200"/>
      <c r="O716" s="199"/>
      <c r="P716" s="24"/>
      <c r="Q716" s="24"/>
      <c r="R716" s="398"/>
      <c r="S716" s="398"/>
      <c r="T716" s="398"/>
      <c r="U716" s="398"/>
      <c r="V716" s="398"/>
      <c r="W716" s="398"/>
      <c r="X716" s="398"/>
      <c r="Y716" s="398"/>
      <c r="Z716" s="398"/>
      <c r="AA716" s="398"/>
      <c r="AB716" s="200"/>
    </row>
    <row r="717" spans="1:43" ht="4.95" customHeight="1">
      <c r="A717" s="199"/>
      <c r="B717" s="24"/>
      <c r="C717" s="24"/>
      <c r="D717" s="24"/>
      <c r="E717" s="24"/>
      <c r="F717" s="24"/>
      <c r="G717" s="24"/>
      <c r="H717" s="24"/>
      <c r="I717" s="24"/>
      <c r="J717" s="24"/>
      <c r="K717" s="24"/>
      <c r="L717" s="24"/>
      <c r="M717" s="24"/>
      <c r="N717" s="200"/>
      <c r="O717" s="199"/>
      <c r="P717" s="24"/>
      <c r="Q717" s="24"/>
      <c r="R717" s="398"/>
      <c r="S717" s="398"/>
      <c r="T717" s="398"/>
      <c r="U717" s="398"/>
      <c r="V717" s="398"/>
      <c r="W717" s="398"/>
      <c r="X717" s="398"/>
      <c r="Y717" s="398"/>
      <c r="Z717" s="398"/>
      <c r="AA717" s="398"/>
      <c r="AB717" s="200"/>
    </row>
    <row r="718" spans="1:43" ht="19.95" customHeight="1">
      <c r="A718" s="199"/>
      <c r="B718" s="24"/>
      <c r="C718" s="24"/>
      <c r="D718" s="24"/>
      <c r="E718" s="601"/>
      <c r="F718" s="601"/>
      <c r="G718" s="601"/>
      <c r="H718" s="601"/>
      <c r="I718" s="601"/>
      <c r="J718" s="601"/>
      <c r="K718" s="601"/>
      <c r="L718" s="601"/>
      <c r="M718" s="601"/>
      <c r="N718" s="200"/>
      <c r="O718" s="199"/>
      <c r="P718" s="24"/>
      <c r="Q718" s="24"/>
      <c r="R718" s="398"/>
      <c r="S718" s="398"/>
      <c r="T718" s="398"/>
      <c r="U718" s="398"/>
      <c r="V718" s="398"/>
      <c r="W718" s="398"/>
      <c r="X718" s="398"/>
      <c r="Y718" s="398"/>
      <c r="Z718" s="398"/>
      <c r="AA718" s="398"/>
      <c r="AB718" s="200"/>
      <c r="AK718" s="724" t="s">
        <v>2753</v>
      </c>
      <c r="AM718" s="724" t="s">
        <v>2754</v>
      </c>
      <c r="AO718" s="724" t="s">
        <v>2755</v>
      </c>
      <c r="AQ718" s="724" t="s">
        <v>2756</v>
      </c>
    </row>
    <row r="719" spans="1:43" ht="19.95" customHeight="1">
      <c r="A719" s="199"/>
      <c r="B719" s="24"/>
      <c r="C719" s="24"/>
      <c r="D719" s="24"/>
      <c r="E719" s="601"/>
      <c r="F719" s="601"/>
      <c r="G719" s="601"/>
      <c r="H719" s="601"/>
      <c r="I719" s="601"/>
      <c r="J719" s="601"/>
      <c r="K719" s="601"/>
      <c r="L719" s="601"/>
      <c r="M719" s="601"/>
      <c r="N719" s="200"/>
      <c r="O719" s="199"/>
      <c r="P719" s="24"/>
      <c r="Q719" s="24"/>
      <c r="R719" s="398"/>
      <c r="S719" s="398"/>
      <c r="T719" s="398"/>
      <c r="U719" s="398"/>
      <c r="V719" s="398"/>
      <c r="W719" s="398"/>
      <c r="X719" s="398"/>
      <c r="Y719" s="398"/>
      <c r="Z719" s="398"/>
      <c r="AA719" s="398"/>
      <c r="AB719" s="200"/>
      <c r="AK719" s="2" t="s">
        <v>2757</v>
      </c>
      <c r="AM719" s="2" t="s">
        <v>2769</v>
      </c>
      <c r="AO719" s="2" t="s">
        <v>2788</v>
      </c>
      <c r="AQ719" s="2" t="s">
        <v>2779</v>
      </c>
    </row>
    <row r="720" spans="1:43" ht="19.95" customHeight="1">
      <c r="A720" s="199"/>
      <c r="B720" s="24"/>
      <c r="C720" s="24"/>
      <c r="D720" s="24"/>
      <c r="E720" s="601"/>
      <c r="F720" s="601"/>
      <c r="G720" s="601"/>
      <c r="H720" s="601"/>
      <c r="I720" s="601"/>
      <c r="J720" s="601"/>
      <c r="K720" s="601"/>
      <c r="L720" s="601"/>
      <c r="M720" s="601"/>
      <c r="N720" s="200"/>
      <c r="O720" s="199"/>
      <c r="P720" s="24"/>
      <c r="Q720" s="24"/>
      <c r="R720" s="398"/>
      <c r="S720" s="398"/>
      <c r="T720" s="398"/>
      <c r="U720" s="398"/>
      <c r="V720" s="398"/>
      <c r="W720" s="398"/>
      <c r="X720" s="398"/>
      <c r="Y720" s="398"/>
      <c r="Z720" s="398"/>
      <c r="AA720" s="398"/>
      <c r="AB720" s="200"/>
      <c r="AK720" s="2" t="s">
        <v>2758</v>
      </c>
      <c r="AM720" s="2" t="s">
        <v>2770</v>
      </c>
      <c r="AO720" s="2" t="s">
        <v>2789</v>
      </c>
      <c r="AQ720" s="2" t="s">
        <v>2780</v>
      </c>
    </row>
    <row r="721" spans="1:43" ht="19.95" customHeight="1">
      <c r="A721" s="199"/>
      <c r="B721" s="24"/>
      <c r="C721" s="24"/>
      <c r="D721" s="24"/>
      <c r="E721" s="601"/>
      <c r="F721" s="601"/>
      <c r="G721" s="601"/>
      <c r="H721" s="601"/>
      <c r="I721" s="601"/>
      <c r="J721" s="601"/>
      <c r="K721" s="601"/>
      <c r="L721" s="601"/>
      <c r="M721" s="601"/>
      <c r="N721" s="200"/>
      <c r="O721" s="199"/>
      <c r="P721" s="24"/>
      <c r="Q721" s="24"/>
      <c r="R721" s="398"/>
      <c r="S721" s="398"/>
      <c r="T721" s="398"/>
      <c r="U721" s="398"/>
      <c r="V721" s="398"/>
      <c r="W721" s="398"/>
      <c r="X721" s="398"/>
      <c r="Y721" s="398"/>
      <c r="Z721" s="398"/>
      <c r="AA721" s="398"/>
      <c r="AB721" s="200"/>
      <c r="AK721" s="2" t="s">
        <v>2759</v>
      </c>
      <c r="AM721" s="2" t="s">
        <v>2771</v>
      </c>
      <c r="AO721" s="2" t="s">
        <v>2790</v>
      </c>
      <c r="AQ721" s="2" t="s">
        <v>2781</v>
      </c>
    </row>
    <row r="722" spans="1:43" ht="19.95" customHeight="1">
      <c r="A722" s="199"/>
      <c r="B722" s="24"/>
      <c r="C722" s="24"/>
      <c r="D722" s="24"/>
      <c r="E722" s="601"/>
      <c r="F722" s="601"/>
      <c r="G722" s="601"/>
      <c r="H722" s="601"/>
      <c r="I722" s="601"/>
      <c r="J722" s="601"/>
      <c r="K722" s="601"/>
      <c r="L722" s="601"/>
      <c r="M722" s="601"/>
      <c r="N722" s="200"/>
      <c r="O722" s="199"/>
      <c r="P722" s="24"/>
      <c r="Q722" s="24"/>
      <c r="R722" s="398"/>
      <c r="S722" s="398"/>
      <c r="T722" s="398"/>
      <c r="U722" s="398"/>
      <c r="V722" s="398"/>
      <c r="W722" s="398"/>
      <c r="X722" s="398"/>
      <c r="Y722" s="398"/>
      <c r="Z722" s="398"/>
      <c r="AA722" s="398"/>
      <c r="AB722" s="200"/>
      <c r="AK722" s="2" t="s">
        <v>2760</v>
      </c>
      <c r="AM722" s="2" t="s">
        <v>2772</v>
      </c>
      <c r="AO722" s="2" t="s">
        <v>2791</v>
      </c>
      <c r="AQ722" s="2" t="s">
        <v>2782</v>
      </c>
    </row>
    <row r="723" spans="1:43" ht="19.95" customHeight="1">
      <c r="A723" s="199"/>
      <c r="B723" s="24"/>
      <c r="C723" s="24"/>
      <c r="D723" s="24"/>
      <c r="E723" s="601"/>
      <c r="F723" s="601"/>
      <c r="G723" s="601"/>
      <c r="H723" s="601"/>
      <c r="I723" s="601"/>
      <c r="J723" s="601"/>
      <c r="K723" s="601"/>
      <c r="L723" s="601"/>
      <c r="M723" s="601"/>
      <c r="N723" s="200"/>
      <c r="O723" s="199"/>
      <c r="P723" s="24"/>
      <c r="Q723" s="24"/>
      <c r="R723" s="398"/>
      <c r="S723" s="398"/>
      <c r="T723" s="398"/>
      <c r="U723" s="398"/>
      <c r="V723" s="398"/>
      <c r="W723" s="398"/>
      <c r="X723" s="398"/>
      <c r="Y723" s="398"/>
      <c r="Z723" s="398"/>
      <c r="AA723" s="398"/>
      <c r="AB723" s="200"/>
      <c r="AK723" s="2" t="s">
        <v>2761</v>
      </c>
      <c r="AM723" s="2" t="s">
        <v>2773</v>
      </c>
      <c r="AO723" s="2" t="s">
        <v>2792</v>
      </c>
      <c r="AQ723" s="2" t="s">
        <v>2783</v>
      </c>
    </row>
    <row r="724" spans="1:43" ht="19.95" customHeight="1">
      <c r="A724" s="199"/>
      <c r="B724" s="24"/>
      <c r="C724" s="24"/>
      <c r="D724" s="24"/>
      <c r="E724" s="601"/>
      <c r="F724" s="601"/>
      <c r="G724" s="601"/>
      <c r="H724" s="601"/>
      <c r="I724" s="601"/>
      <c r="J724" s="601"/>
      <c r="K724" s="601"/>
      <c r="L724" s="601"/>
      <c r="M724" s="601"/>
      <c r="N724" s="200"/>
      <c r="O724" s="199"/>
      <c r="P724" s="24"/>
      <c r="Q724" s="24"/>
      <c r="R724" s="398"/>
      <c r="S724" s="398"/>
      <c r="T724" s="398"/>
      <c r="U724" s="398"/>
      <c r="V724" s="398"/>
      <c r="W724" s="398"/>
      <c r="X724" s="398"/>
      <c r="Y724" s="398"/>
      <c r="Z724" s="398"/>
      <c r="AA724" s="398"/>
      <c r="AB724" s="200"/>
      <c r="AK724" s="2" t="s">
        <v>2762</v>
      </c>
      <c r="AM724" s="2" t="s">
        <v>2774</v>
      </c>
      <c r="AO724" s="2" t="s">
        <v>2793</v>
      </c>
      <c r="AQ724" s="2" t="s">
        <v>2784</v>
      </c>
    </row>
    <row r="725" spans="1:43" ht="19.95" customHeight="1">
      <c r="A725" s="199"/>
      <c r="B725" s="24"/>
      <c r="C725" s="24"/>
      <c r="D725" s="24"/>
      <c r="E725" s="601"/>
      <c r="F725" s="601"/>
      <c r="G725" s="601"/>
      <c r="H725" s="601"/>
      <c r="I725" s="601"/>
      <c r="J725" s="601"/>
      <c r="K725" s="601"/>
      <c r="L725" s="601"/>
      <c r="M725" s="601"/>
      <c r="N725" s="200"/>
      <c r="O725" s="199"/>
      <c r="P725" s="24"/>
      <c r="Q725" s="24"/>
      <c r="R725" s="398"/>
      <c r="S725" s="398"/>
      <c r="T725" s="398"/>
      <c r="U725" s="398"/>
      <c r="V725" s="398"/>
      <c r="W725" s="398"/>
      <c r="X725" s="398"/>
      <c r="Y725" s="398"/>
      <c r="Z725" s="398"/>
      <c r="AA725" s="398"/>
      <c r="AB725" s="200"/>
      <c r="AK725" s="2" t="s">
        <v>2763</v>
      </c>
      <c r="AM725" s="2" t="s">
        <v>2775</v>
      </c>
      <c r="AO725" s="2" t="s">
        <v>2794</v>
      </c>
      <c r="AQ725" s="2" t="s">
        <v>2785</v>
      </c>
    </row>
    <row r="726" spans="1:43" ht="19.95" customHeight="1">
      <c r="A726" s="199"/>
      <c r="B726" s="24"/>
      <c r="C726" s="24"/>
      <c r="D726" s="24"/>
      <c r="E726" s="601"/>
      <c r="F726" s="601"/>
      <c r="G726" s="601"/>
      <c r="H726" s="601"/>
      <c r="I726" s="601"/>
      <c r="J726" s="601"/>
      <c r="K726" s="601"/>
      <c r="L726" s="601"/>
      <c r="M726" s="601"/>
      <c r="N726" s="200"/>
      <c r="O726" s="199"/>
      <c r="P726" s="24"/>
      <c r="Q726" s="24"/>
      <c r="R726" s="398"/>
      <c r="S726" s="398"/>
      <c r="T726" s="398"/>
      <c r="U726" s="398"/>
      <c r="V726" s="398"/>
      <c r="W726" s="398"/>
      <c r="X726" s="398"/>
      <c r="Y726" s="398"/>
      <c r="Z726" s="398"/>
      <c r="AA726" s="398"/>
      <c r="AB726" s="200"/>
      <c r="AK726" s="2" t="s">
        <v>2764</v>
      </c>
      <c r="AM726" s="2" t="s">
        <v>2776</v>
      </c>
      <c r="AO726" s="2" t="s">
        <v>1495</v>
      </c>
      <c r="AQ726" s="2" t="s">
        <v>2786</v>
      </c>
    </row>
    <row r="727" spans="1:43" ht="19.95" customHeight="1">
      <c r="A727" s="199"/>
      <c r="B727" s="24"/>
      <c r="C727" s="24"/>
      <c r="D727" s="24"/>
      <c r="E727" s="601"/>
      <c r="F727" s="601"/>
      <c r="G727" s="601"/>
      <c r="H727" s="601"/>
      <c r="I727" s="601"/>
      <c r="J727" s="601"/>
      <c r="K727" s="601"/>
      <c r="L727" s="601"/>
      <c r="M727" s="601"/>
      <c r="N727" s="200"/>
      <c r="O727" s="199"/>
      <c r="P727" s="24"/>
      <c r="Q727" s="24"/>
      <c r="R727" s="398"/>
      <c r="S727" s="398"/>
      <c r="T727" s="398"/>
      <c r="U727" s="398"/>
      <c r="V727" s="398"/>
      <c r="W727" s="398"/>
      <c r="X727" s="398"/>
      <c r="Y727" s="398"/>
      <c r="Z727" s="398"/>
      <c r="AA727" s="398"/>
      <c r="AB727" s="200"/>
      <c r="AK727" s="2" t="s">
        <v>2765</v>
      </c>
      <c r="AM727" s="2" t="s">
        <v>2777</v>
      </c>
      <c r="AO727" s="2" t="s">
        <v>2795</v>
      </c>
      <c r="AQ727" s="2" t="s">
        <v>2787</v>
      </c>
    </row>
    <row r="728" spans="1:43" ht="19.95" customHeight="1">
      <c r="A728" s="199"/>
      <c r="B728" s="24"/>
      <c r="C728" s="24"/>
      <c r="D728" s="24"/>
      <c r="E728" s="601"/>
      <c r="F728" s="601"/>
      <c r="G728" s="601"/>
      <c r="H728" s="601"/>
      <c r="I728" s="601"/>
      <c r="J728" s="601"/>
      <c r="K728" s="601"/>
      <c r="L728" s="601"/>
      <c r="M728" s="601"/>
      <c r="N728" s="200"/>
      <c r="O728" s="199"/>
      <c r="P728" s="24"/>
      <c r="Q728" s="24"/>
      <c r="R728" s="398"/>
      <c r="S728" s="398"/>
      <c r="T728" s="398"/>
      <c r="U728" s="398"/>
      <c r="V728" s="398"/>
      <c r="W728" s="398"/>
      <c r="X728" s="398"/>
      <c r="Y728" s="398"/>
      <c r="Z728" s="398"/>
      <c r="AA728" s="398"/>
      <c r="AB728" s="200"/>
      <c r="AK728" s="2" t="s">
        <v>2766</v>
      </c>
      <c r="AM728" s="2" t="s">
        <v>2778</v>
      </c>
      <c r="AO728" s="2" t="s">
        <v>2796</v>
      </c>
    </row>
    <row r="729" spans="1:43" ht="19.95" customHeight="1">
      <c r="A729" s="199"/>
      <c r="B729" s="24"/>
      <c r="C729" s="24"/>
      <c r="D729" s="24"/>
      <c r="E729" s="601"/>
      <c r="F729" s="601"/>
      <c r="G729" s="601"/>
      <c r="H729" s="601"/>
      <c r="I729" s="601"/>
      <c r="J729" s="601"/>
      <c r="K729" s="601"/>
      <c r="L729" s="601"/>
      <c r="M729" s="601"/>
      <c r="N729" s="200"/>
      <c r="O729" s="199"/>
      <c r="P729" s="24"/>
      <c r="Q729" s="24"/>
      <c r="R729" s="398"/>
      <c r="S729" s="398"/>
      <c r="T729" s="398"/>
      <c r="U729" s="398"/>
      <c r="V729" s="398"/>
      <c r="W729" s="398"/>
      <c r="X729" s="398"/>
      <c r="Y729" s="398"/>
      <c r="Z729" s="398"/>
      <c r="AA729" s="398"/>
      <c r="AB729" s="200"/>
      <c r="AK729" s="2" t="s">
        <v>2767</v>
      </c>
      <c r="AM729" s="2" t="s">
        <v>2810</v>
      </c>
      <c r="AO729" s="2" t="s">
        <v>2797</v>
      </c>
    </row>
    <row r="730" spans="1:43" ht="19.95" customHeight="1">
      <c r="A730" s="199"/>
      <c r="B730" s="24"/>
      <c r="C730" s="24"/>
      <c r="D730" s="24"/>
      <c r="E730" s="601"/>
      <c r="F730" s="601"/>
      <c r="G730" s="601"/>
      <c r="H730" s="601"/>
      <c r="I730" s="601"/>
      <c r="J730" s="601"/>
      <c r="K730" s="601"/>
      <c r="L730" s="601"/>
      <c r="M730" s="601"/>
      <c r="N730" s="200"/>
      <c r="O730" s="199"/>
      <c r="P730" s="24"/>
      <c r="Q730" s="24"/>
      <c r="R730" s="398"/>
      <c r="S730" s="398"/>
      <c r="T730" s="398"/>
      <c r="U730" s="398"/>
      <c r="V730" s="398"/>
      <c r="W730" s="398"/>
      <c r="X730" s="398"/>
      <c r="Y730" s="398"/>
      <c r="Z730" s="398"/>
      <c r="AA730" s="398"/>
      <c r="AB730" s="200"/>
      <c r="AK730" s="2" t="s">
        <v>2768</v>
      </c>
      <c r="AM730" s="2" t="s">
        <v>1483</v>
      </c>
      <c r="AO730" s="2" t="s">
        <v>2798</v>
      </c>
    </row>
    <row r="731" spans="1:43" ht="19.95" customHeight="1">
      <c r="A731" s="199"/>
      <c r="B731" s="24"/>
      <c r="C731" s="24"/>
      <c r="D731" s="24"/>
      <c r="E731" s="601"/>
      <c r="F731" s="601"/>
      <c r="G731" s="601"/>
      <c r="H731" s="601"/>
      <c r="I731" s="601"/>
      <c r="J731" s="601"/>
      <c r="K731" s="601"/>
      <c r="L731" s="601"/>
      <c r="M731" s="601"/>
      <c r="N731" s="200"/>
      <c r="O731" s="199"/>
      <c r="P731" s="24"/>
      <c r="Q731" s="24"/>
      <c r="R731" s="398"/>
      <c r="S731" s="398"/>
      <c r="T731" s="398"/>
      <c r="U731" s="398"/>
      <c r="V731" s="398"/>
      <c r="W731" s="398"/>
      <c r="X731" s="398"/>
      <c r="Y731" s="398"/>
      <c r="Z731" s="398"/>
      <c r="AA731" s="398"/>
      <c r="AB731" s="200"/>
      <c r="AO731" s="2" t="s">
        <v>2799</v>
      </c>
    </row>
    <row r="732" spans="1:43" ht="19.95" customHeight="1">
      <c r="A732" s="199"/>
      <c r="B732" s="24"/>
      <c r="C732" s="24"/>
      <c r="D732" s="24"/>
      <c r="E732" s="601"/>
      <c r="F732" s="601"/>
      <c r="G732" s="601"/>
      <c r="H732" s="601"/>
      <c r="I732" s="601"/>
      <c r="J732" s="601"/>
      <c r="K732" s="601"/>
      <c r="L732" s="601"/>
      <c r="M732" s="601"/>
      <c r="N732" s="200"/>
      <c r="O732" s="199"/>
      <c r="P732" s="24"/>
      <c r="Q732" s="24"/>
      <c r="R732" s="398"/>
      <c r="S732" s="398"/>
      <c r="T732" s="398"/>
      <c r="U732" s="398"/>
      <c r="V732" s="398"/>
      <c r="W732" s="398"/>
      <c r="X732" s="398"/>
      <c r="Y732" s="398"/>
      <c r="Z732" s="398"/>
      <c r="AA732" s="398"/>
      <c r="AB732" s="200"/>
      <c r="AI732" s="2">
        <f>IF(D737="",1,0)</f>
        <v>1</v>
      </c>
      <c r="AO732" s="2" t="s">
        <v>2800</v>
      </c>
    </row>
    <row r="733" spans="1:43" ht="19.95" customHeight="1">
      <c r="A733" s="199"/>
      <c r="B733" s="24"/>
      <c r="C733" s="24"/>
      <c r="D733" s="24"/>
      <c r="E733" s="601"/>
      <c r="F733" s="601"/>
      <c r="G733" s="601"/>
      <c r="H733" s="601"/>
      <c r="I733" s="601"/>
      <c r="J733" s="601"/>
      <c r="K733" s="601"/>
      <c r="L733" s="601"/>
      <c r="M733" s="601"/>
      <c r="N733" s="200"/>
      <c r="O733" s="199"/>
      <c r="P733" s="24"/>
      <c r="Q733" s="24"/>
      <c r="R733" s="398"/>
      <c r="S733" s="398"/>
      <c r="T733" s="398"/>
      <c r="U733" s="398"/>
      <c r="V733" s="398"/>
      <c r="W733" s="398"/>
      <c r="X733" s="398"/>
      <c r="Y733" s="398"/>
      <c r="Z733" s="398"/>
      <c r="AA733" s="398"/>
      <c r="AB733" s="200"/>
      <c r="AI733" s="2">
        <f>IF(D738="",1,0)</f>
        <v>1</v>
      </c>
      <c r="AO733" s="2" t="s">
        <v>2801</v>
      </c>
    </row>
    <row r="734" spans="1:43" ht="19.95" customHeight="1">
      <c r="A734" s="199"/>
      <c r="B734" s="722"/>
      <c r="C734" s="722"/>
      <c r="D734" s="722"/>
      <c r="E734" s="722"/>
      <c r="F734" s="722"/>
      <c r="G734" s="722"/>
      <c r="H734" s="722"/>
      <c r="I734" s="722"/>
      <c r="J734" s="722"/>
      <c r="K734" s="722"/>
      <c r="L734" s="722"/>
      <c r="M734" s="722"/>
      <c r="N734" s="200"/>
      <c r="O734" s="199"/>
      <c r="P734" s="24"/>
      <c r="Q734" s="24"/>
      <c r="R734" s="398"/>
      <c r="S734" s="398"/>
      <c r="T734" s="398"/>
      <c r="U734" s="398"/>
      <c r="V734" s="398"/>
      <c r="W734" s="398"/>
      <c r="X734" s="398"/>
      <c r="Y734" s="398"/>
      <c r="Z734" s="398"/>
      <c r="AA734" s="398"/>
      <c r="AB734" s="200"/>
      <c r="AI734" s="2">
        <f>IF(J737="",1,0)</f>
        <v>1</v>
      </c>
      <c r="AO734" s="2" t="s">
        <v>2802</v>
      </c>
    </row>
    <row r="735" spans="1:43" ht="19.95" customHeight="1">
      <c r="A735" s="723" t="s">
        <v>2455</v>
      </c>
      <c r="B735" s="661"/>
      <c r="C735" s="391"/>
      <c r="D735" s="391"/>
      <c r="E735" s="391"/>
      <c r="F735" s="391"/>
      <c r="G735" s="391"/>
      <c r="H735" s="391"/>
      <c r="I735" s="391"/>
      <c r="J735" s="391"/>
      <c r="K735" s="391"/>
      <c r="L735" s="391"/>
      <c r="M735" s="391"/>
      <c r="N735" s="200"/>
      <c r="O735" s="199"/>
      <c r="P735" s="24"/>
      <c r="Q735" s="24"/>
      <c r="R735" s="398"/>
      <c r="S735" s="398"/>
      <c r="T735" s="398"/>
      <c r="U735" s="398"/>
      <c r="V735" s="398"/>
      <c r="W735" s="398"/>
      <c r="X735" s="398"/>
      <c r="Y735" s="398"/>
      <c r="Z735" s="398"/>
      <c r="AA735" s="398"/>
      <c r="AB735" s="200"/>
      <c r="AI735" s="2">
        <f>IF(J738="",1,0)</f>
        <v>1</v>
      </c>
      <c r="AO735" s="2" t="s">
        <v>2803</v>
      </c>
    </row>
    <row r="736" spans="1:43" ht="19.95" customHeight="1" thickBot="1">
      <c r="A736" s="723"/>
      <c r="B736" s="601" t="s">
        <v>3159</v>
      </c>
      <c r="C736" s="391"/>
      <c r="D736" s="391"/>
      <c r="E736" s="391"/>
      <c r="F736" s="391"/>
      <c r="G736" s="391"/>
      <c r="H736" s="391"/>
      <c r="I736" s="391"/>
      <c r="J736" s="391"/>
      <c r="K736" s="391"/>
      <c r="L736" s="391"/>
      <c r="M736" s="391"/>
      <c r="N736" s="200"/>
      <c r="O736" s="199"/>
      <c r="P736" s="24"/>
      <c r="Q736" s="24"/>
      <c r="R736" s="398"/>
      <c r="S736" s="398"/>
      <c r="T736" s="398"/>
      <c r="U736" s="398"/>
      <c r="V736" s="398"/>
      <c r="W736" s="398"/>
      <c r="X736" s="398"/>
      <c r="Y736" s="398"/>
      <c r="Z736" s="398"/>
      <c r="AA736" s="398"/>
      <c r="AB736" s="200"/>
      <c r="AO736" s="2" t="s">
        <v>2804</v>
      </c>
    </row>
    <row r="737" spans="1:43" ht="19.95" customHeight="1" thickBot="1">
      <c r="A737" s="199"/>
      <c r="B737" s="601"/>
      <c r="C737" s="725" t="s">
        <v>1429</v>
      </c>
      <c r="D737" s="1345"/>
      <c r="E737" s="1346"/>
      <c r="F737" s="1346"/>
      <c r="G737" s="1347"/>
      <c r="H737" s="391"/>
      <c r="I737" s="725" t="s">
        <v>2750</v>
      </c>
      <c r="J737" s="1345"/>
      <c r="K737" s="1346"/>
      <c r="L737" s="1346"/>
      <c r="M737" s="1347"/>
      <c r="N737" s="200"/>
      <c r="O737" s="199"/>
      <c r="P737" s="24"/>
      <c r="Q737" s="24"/>
      <c r="R737" s="398"/>
      <c r="S737" s="398"/>
      <c r="T737" s="398"/>
      <c r="U737" s="398"/>
      <c r="V737" s="398"/>
      <c r="W737" s="398"/>
      <c r="X737" s="398"/>
      <c r="Y737" s="398"/>
      <c r="Z737" s="398"/>
      <c r="AA737" s="398"/>
      <c r="AB737" s="200"/>
      <c r="AO737" s="2" t="s">
        <v>2805</v>
      </c>
    </row>
    <row r="738" spans="1:43" ht="19.95" customHeight="1" thickBot="1">
      <c r="A738" s="199"/>
      <c r="B738" s="391"/>
      <c r="C738" s="725" t="s">
        <v>2751</v>
      </c>
      <c r="D738" s="1348"/>
      <c r="E738" s="1349"/>
      <c r="F738" s="1349"/>
      <c r="G738" s="1350"/>
      <c r="H738" s="391"/>
      <c r="I738" s="725" t="s">
        <v>2752</v>
      </c>
      <c r="J738" s="1351"/>
      <c r="K738" s="1352"/>
      <c r="L738" s="1352"/>
      <c r="M738" s="1353"/>
      <c r="N738" s="200"/>
      <c r="O738" s="199"/>
      <c r="P738" s="24"/>
      <c r="Q738" s="24"/>
      <c r="R738" s="398"/>
      <c r="S738" s="398"/>
      <c r="T738" s="398"/>
      <c r="U738" s="398"/>
      <c r="V738" s="398"/>
      <c r="W738" s="398"/>
      <c r="X738" s="398"/>
      <c r="Y738" s="398"/>
      <c r="Z738" s="398"/>
      <c r="AA738" s="398"/>
      <c r="AB738" s="200"/>
      <c r="AI738" s="459" t="str">
        <f>IF(SUM($AI$732:$AI$735)&gt;0,AK738,AI740)</f>
        <v>Select options from the white fields above to see a sample progress update here. Your progress reports support or challenge our working hypothesis. We hypothesize this mix of addressing your inward and outward needs will enhance your wellness better than if you only focused on your internal psychological side or only on your external political side.</v>
      </c>
      <c r="AK738" s="465" t="s">
        <v>2812</v>
      </c>
    </row>
    <row r="739" spans="1:43" ht="4.95" customHeight="1">
      <c r="A739" s="199"/>
      <c r="B739" s="601"/>
      <c r="C739" s="601"/>
      <c r="D739" s="601"/>
      <c r="E739" s="601"/>
      <c r="F739" s="601"/>
      <c r="G739" s="601"/>
      <c r="H739" s="601"/>
      <c r="I739" s="601"/>
      <c r="J739" s="601"/>
      <c r="K739" s="601"/>
      <c r="L739" s="601"/>
      <c r="M739" s="601"/>
      <c r="N739" s="200"/>
      <c r="O739" s="199"/>
      <c r="P739" s="24"/>
      <c r="Q739" s="24"/>
      <c r="R739" s="398"/>
      <c r="S739" s="398"/>
      <c r="T739" s="398"/>
      <c r="U739" s="398"/>
      <c r="V739" s="398"/>
      <c r="W739" s="398"/>
      <c r="X739" s="398"/>
      <c r="Y739" s="398"/>
      <c r="Z739" s="398"/>
      <c r="AA739" s="398"/>
      <c r="AB739" s="200"/>
    </row>
    <row r="740" spans="1:43" ht="22.05" customHeight="1">
      <c r="A740" s="199"/>
      <c r="B740" s="1277" t="str">
        <f>AI738</f>
        <v>Select options from the white fields above to see a sample progress update here. Your progress reports support or challenge our working hypothesis. We hypothesize this mix of addressing your inward and outward needs will enhance your wellness better than if you only focused on your internal psychological side or only on your external political side.</v>
      </c>
      <c r="C740" s="1277"/>
      <c r="D740" s="1277"/>
      <c r="E740" s="1277"/>
      <c r="F740" s="1277"/>
      <c r="G740" s="1277"/>
      <c r="H740" s="1277"/>
      <c r="I740" s="1277"/>
      <c r="J740" s="1277"/>
      <c r="K740" s="1277"/>
      <c r="L740" s="1277"/>
      <c r="M740" s="1277"/>
      <c r="N740" s="200"/>
      <c r="O740" s="199"/>
      <c r="P740" s="24"/>
      <c r="Q740" s="24"/>
      <c r="R740" s="398"/>
      <c r="S740" s="398"/>
      <c r="T740" s="398"/>
      <c r="U740" s="398"/>
      <c r="V740" s="398"/>
      <c r="W740" s="398"/>
      <c r="X740" s="398"/>
      <c r="Y740" s="398"/>
      <c r="Z740" s="398"/>
      <c r="AA740" s="398"/>
      <c r="AB740" s="200"/>
      <c r="AI740" s="459" t="str">
        <f>CONCATENATE(AK740,AL740,AM740,AN740,AO740,AP740,AQ740,AR740)</f>
        <v>This week, I received my first reply from one of the political leaders I contacted. It was encouraging. The more I speak truth to power, the more I find my addiction to 0 has less of a hold on me. My intense fear of 0 also subsides. Now that I feel more empowered over my life, I no longer suffer as much from 0.</v>
      </c>
      <c r="AK740" s="409" t="s">
        <v>2806</v>
      </c>
      <c r="AL740" s="2">
        <f>J737</f>
        <v>0</v>
      </c>
      <c r="AM740" s="409" t="s">
        <v>2807</v>
      </c>
      <c r="AN740" s="2">
        <f>D737</f>
        <v>0</v>
      </c>
      <c r="AO740" s="409" t="s">
        <v>2808</v>
      </c>
      <c r="AP740" s="2">
        <f>D738</f>
        <v>0</v>
      </c>
      <c r="AQ740" s="409" t="s">
        <v>706</v>
      </c>
    </row>
    <row r="741" spans="1:43" ht="22.05" customHeight="1">
      <c r="A741" s="199"/>
      <c r="B741" s="1277"/>
      <c r="C741" s="1277"/>
      <c r="D741" s="1277"/>
      <c r="E741" s="1277"/>
      <c r="F741" s="1277"/>
      <c r="G741" s="1277"/>
      <c r="H741" s="1277"/>
      <c r="I741" s="1277"/>
      <c r="J741" s="1277"/>
      <c r="K741" s="1277"/>
      <c r="L741" s="1277"/>
      <c r="M741" s="1277"/>
      <c r="N741" s="200"/>
      <c r="O741" s="199"/>
      <c r="P741" s="24"/>
      <c r="Q741" s="24"/>
      <c r="R741" s="398"/>
      <c r="S741" s="398"/>
      <c r="T741" s="398"/>
      <c r="U741" s="398"/>
      <c r="V741" s="398"/>
      <c r="W741" s="398"/>
      <c r="X741" s="398"/>
      <c r="Y741" s="398"/>
      <c r="Z741" s="398"/>
      <c r="AA741" s="398"/>
      <c r="AB741" s="200"/>
    </row>
    <row r="742" spans="1:43" ht="22.05" customHeight="1">
      <c r="A742" s="199"/>
      <c r="B742" s="1277"/>
      <c r="C742" s="1277"/>
      <c r="D742" s="1277"/>
      <c r="E742" s="1277"/>
      <c r="F742" s="1277"/>
      <c r="G742" s="1277"/>
      <c r="H742" s="1277"/>
      <c r="I742" s="1277"/>
      <c r="J742" s="1277"/>
      <c r="K742" s="1277"/>
      <c r="L742" s="1277"/>
      <c r="M742" s="1277"/>
      <c r="N742" s="200"/>
      <c r="O742" s="199"/>
      <c r="P742" s="24"/>
      <c r="Q742" s="24"/>
      <c r="R742" s="398"/>
      <c r="S742" s="398"/>
      <c r="T742" s="398"/>
      <c r="U742" s="398"/>
      <c r="V742" s="398"/>
      <c r="W742" s="398"/>
      <c r="X742" s="398"/>
      <c r="Y742" s="398"/>
      <c r="Z742" s="398"/>
      <c r="AA742" s="398"/>
      <c r="AB742" s="200"/>
      <c r="AI742" s="459" t="str">
        <f>IF(SUM($AI$732:$AI$735)&gt;0,AK742,AI744)</f>
        <v xml:space="preserve">Your progress reports may look significantly different. We uses Beck Inventory tools to gage your changing wellness. BAI = Beck Anxiety Inventory. BDI = Beck Depression Inventory. BHI = Beck Hopelessness Inventory. These are well established assessment tools for measuring your psychic pain. Scores top out around 63 (worst) and bottom out at 0 (best). </v>
      </c>
      <c r="AK742" s="465" t="s">
        <v>2811</v>
      </c>
    </row>
    <row r="743" spans="1:43" ht="22.05" customHeight="1">
      <c r="A743" s="199"/>
      <c r="B743" s="1277"/>
      <c r="C743" s="1277"/>
      <c r="D743" s="1277"/>
      <c r="E743" s="1277"/>
      <c r="F743" s="1277"/>
      <c r="G743" s="1277"/>
      <c r="H743" s="1277"/>
      <c r="I743" s="1277"/>
      <c r="J743" s="1277"/>
      <c r="K743" s="1277"/>
      <c r="L743" s="1277"/>
      <c r="M743" s="1277"/>
      <c r="N743" s="200"/>
      <c r="O743" s="199"/>
      <c r="P743" s="24"/>
      <c r="Q743" s="24"/>
      <c r="R743" s="398"/>
      <c r="S743" s="398"/>
      <c r="T743" s="398"/>
      <c r="U743" s="398"/>
      <c r="V743" s="398"/>
      <c r="W743" s="398"/>
      <c r="X743" s="398"/>
      <c r="Y743" s="398"/>
      <c r="Z743" s="398"/>
      <c r="AA743" s="398"/>
      <c r="AB743" s="200"/>
    </row>
    <row r="744" spans="1:43" ht="24" customHeight="1">
      <c r="A744" s="199"/>
      <c r="B744" s="1277" t="str">
        <f>AI742</f>
        <v xml:space="preserve">Your progress reports may look significantly different. We uses Beck Inventory tools to gage your changing wellness. BAI = Beck Anxiety Inventory. BDI = Beck Depression Inventory. BHI = Beck Hopelessness Inventory. These are well established assessment tools for measuring your psychic pain. Scores top out around 63 (worst) and bottom out at 0 (best). </v>
      </c>
      <c r="C744" s="1277"/>
      <c r="D744" s="1277"/>
      <c r="E744" s="1277"/>
      <c r="F744" s="1277"/>
      <c r="G744" s="1277"/>
      <c r="H744" s="1277"/>
      <c r="I744" s="1277"/>
      <c r="J744" s="1277"/>
      <c r="K744" s="1277"/>
      <c r="L744" s="1277"/>
      <c r="M744" s="1277"/>
      <c r="N744" s="200"/>
      <c r="O744" s="199"/>
      <c r="P744" s="24"/>
      <c r="Q744" s="24"/>
      <c r="R744" s="398"/>
      <c r="S744" s="398"/>
      <c r="T744" s="398"/>
      <c r="U744" s="398"/>
      <c r="V744" s="398"/>
      <c r="W744" s="398"/>
      <c r="X744" s="398"/>
      <c r="Y744" s="398"/>
      <c r="Z744" s="398"/>
      <c r="AA744" s="398"/>
      <c r="AB744" s="200"/>
      <c r="AI744" s="459" t="str">
        <f>CONCATENATE(AK744,AL744,AM744,AN744,AO744,AP744,AQ744,AR744,AS744)</f>
        <v>As for anxiety, I started with a BAI score of 23. I am now down to 11. As for depression, I started with a BDI score of 26. I am now down to 12. As for hopelessness, I started with a BHI score of 19. I am now down to 8. So far, I ascribe the bulk of such improvement to feeling empowered. Thanks to your support, I now have a better sense of my 0. I can rely less on political generalizing, to address each other’s specific  affected needs.</v>
      </c>
      <c r="AK744" s="409" t="s">
        <v>2813</v>
      </c>
      <c r="AL744" s="2">
        <f>J738</f>
        <v>0</v>
      </c>
      <c r="AM744" s="409" t="s">
        <v>2809</v>
      </c>
      <c r="AN744" s="607" t="str">
        <f>D1300</f>
        <v/>
      </c>
      <c r="AO744" s="409" t="s">
        <v>2614</v>
      </c>
    </row>
    <row r="745" spans="1:43" ht="24" customHeight="1">
      <c r="A745" s="199"/>
      <c r="B745" s="1277"/>
      <c r="C745" s="1277"/>
      <c r="D745" s="1277"/>
      <c r="E745" s="1277"/>
      <c r="F745" s="1277"/>
      <c r="G745" s="1277"/>
      <c r="H745" s="1277"/>
      <c r="I745" s="1277"/>
      <c r="J745" s="1277"/>
      <c r="K745" s="1277"/>
      <c r="L745" s="1277"/>
      <c r="M745" s="1277"/>
      <c r="N745" s="200"/>
      <c r="O745" s="199"/>
      <c r="P745" s="24"/>
      <c r="Q745" s="24"/>
      <c r="R745" s="398"/>
      <c r="S745" s="398"/>
      <c r="T745" s="398"/>
      <c r="U745" s="398"/>
      <c r="V745" s="398"/>
      <c r="W745" s="398"/>
      <c r="X745" s="398"/>
      <c r="Y745" s="398"/>
      <c r="Z745" s="398"/>
      <c r="AA745" s="398"/>
      <c r="AB745" s="200"/>
    </row>
    <row r="746" spans="1:43" ht="24" customHeight="1">
      <c r="A746" s="199"/>
      <c r="B746" s="1277"/>
      <c r="C746" s="1277"/>
      <c r="D746" s="1277"/>
      <c r="E746" s="1277"/>
      <c r="F746" s="1277"/>
      <c r="G746" s="1277"/>
      <c r="H746" s="1277"/>
      <c r="I746" s="1277"/>
      <c r="J746" s="1277"/>
      <c r="K746" s="1277"/>
      <c r="L746" s="1277"/>
      <c r="M746" s="1277"/>
      <c r="N746" s="200"/>
      <c r="O746" s="199"/>
      <c r="P746" s="24"/>
      <c r="Q746" s="24"/>
      <c r="R746" s="398"/>
      <c r="S746" s="398"/>
      <c r="T746" s="398"/>
      <c r="U746" s="398"/>
      <c r="V746" s="398"/>
      <c r="W746" s="398"/>
      <c r="X746" s="398"/>
      <c r="Y746" s="398"/>
      <c r="Z746" s="398"/>
      <c r="AA746" s="398"/>
      <c r="AB746" s="200"/>
    </row>
    <row r="747" spans="1:43" ht="24" customHeight="1">
      <c r="A747" s="199"/>
      <c r="B747" s="1277"/>
      <c r="C747" s="1277"/>
      <c r="D747" s="1277"/>
      <c r="E747" s="1277"/>
      <c r="F747" s="1277"/>
      <c r="G747" s="1277"/>
      <c r="H747" s="1277"/>
      <c r="I747" s="1277"/>
      <c r="J747" s="1277"/>
      <c r="K747" s="1277"/>
      <c r="L747" s="1277"/>
      <c r="M747" s="1277"/>
      <c r="N747" s="200"/>
      <c r="O747" s="199"/>
      <c r="P747" s="24"/>
      <c r="Q747" s="24"/>
      <c r="R747" s="398"/>
      <c r="S747" s="398"/>
      <c r="T747" s="398"/>
      <c r="U747" s="398"/>
      <c r="V747" s="398"/>
      <c r="W747" s="398"/>
      <c r="X747" s="398"/>
      <c r="Y747" s="398"/>
      <c r="Z747" s="398"/>
      <c r="AA747" s="398"/>
      <c r="AB747" s="200"/>
    </row>
    <row r="748" spans="1:43" ht="4.95" customHeight="1">
      <c r="A748" s="199"/>
      <c r="B748" s="24"/>
      <c r="C748" s="24"/>
      <c r="D748" s="24"/>
      <c r="E748" s="24"/>
      <c r="F748" s="24"/>
      <c r="G748" s="24"/>
      <c r="H748" s="24"/>
      <c r="I748" s="24"/>
      <c r="J748" s="24"/>
      <c r="K748" s="24"/>
      <c r="L748" s="24"/>
      <c r="M748" s="24"/>
      <c r="N748" s="200"/>
      <c r="O748" s="199"/>
      <c r="P748" s="24"/>
      <c r="Q748" s="24"/>
      <c r="R748" s="398"/>
      <c r="S748" s="398"/>
      <c r="T748" s="398"/>
      <c r="U748" s="398"/>
      <c r="V748" s="398"/>
      <c r="W748" s="398"/>
      <c r="X748" s="398"/>
      <c r="Y748" s="398"/>
      <c r="Z748" s="398"/>
      <c r="AA748" s="398"/>
      <c r="AB748" s="200"/>
    </row>
    <row r="749" spans="1:43" ht="30" customHeight="1">
      <c r="A749" s="210" t="s">
        <v>1148</v>
      </c>
      <c r="B749" s="579" t="s">
        <v>3149</v>
      </c>
      <c r="C749" s="582"/>
      <c r="D749" s="582"/>
      <c r="E749" s="375"/>
      <c r="F749" s="374"/>
      <c r="G749" s="373"/>
      <c r="H749" s="373"/>
      <c r="I749" s="373"/>
      <c r="J749" s="373"/>
      <c r="K749" s="373"/>
      <c r="L749" s="373"/>
      <c r="M749" s="373"/>
      <c r="N749" s="211" t="s">
        <v>1149</v>
      </c>
      <c r="O749" s="372"/>
      <c r="P749" s="374"/>
      <c r="Q749" s="373"/>
      <c r="R749" s="373"/>
      <c r="S749" s="373"/>
      <c r="T749" s="373"/>
      <c r="U749" s="373"/>
      <c r="V749" s="373"/>
      <c r="W749" s="373"/>
      <c r="X749" s="373"/>
      <c r="Y749" s="373"/>
      <c r="Z749" s="373"/>
      <c r="AA749" s="373"/>
      <c r="AB749" s="211" t="s">
        <v>1149</v>
      </c>
    </row>
    <row r="750" spans="1:43" ht="10.050000000000001" customHeight="1">
      <c r="A750" s="199"/>
      <c r="B750" s="24"/>
      <c r="C750" s="24"/>
      <c r="D750" s="24"/>
      <c r="E750" s="24"/>
      <c r="F750" s="24"/>
      <c r="G750" s="24"/>
      <c r="H750" s="24"/>
      <c r="I750" s="24"/>
      <c r="J750" s="24"/>
      <c r="K750" s="24"/>
      <c r="L750" s="24"/>
      <c r="M750" s="24"/>
      <c r="N750" s="200"/>
      <c r="O750" s="199"/>
      <c r="P750" s="24"/>
      <c r="Q750" s="24"/>
      <c r="R750" s="398"/>
      <c r="S750" s="398"/>
      <c r="T750" s="398"/>
      <c r="U750" s="398"/>
      <c r="V750" s="398"/>
      <c r="W750" s="398"/>
      <c r="X750" s="398"/>
      <c r="Y750" s="398"/>
      <c r="Z750" s="398"/>
      <c r="AA750" s="398"/>
      <c r="AB750" s="200"/>
    </row>
    <row r="751" spans="1:43" ht="19.95" customHeight="1">
      <c r="A751" s="199"/>
      <c r="B751" s="719" t="s">
        <v>2734</v>
      </c>
      <c r="C751" s="24"/>
      <c r="D751" s="24"/>
      <c r="E751" s="24"/>
      <c r="F751" s="24"/>
      <c r="G751" s="24"/>
      <c r="H751" s="24"/>
      <c r="I751" s="24"/>
      <c r="J751" s="24"/>
      <c r="K751" s="24"/>
      <c r="L751" s="24"/>
      <c r="M751" s="24"/>
      <c r="N751" s="200"/>
      <c r="O751" s="199"/>
      <c r="P751" s="660"/>
      <c r="Q751" s="24"/>
      <c r="R751" s="398"/>
      <c r="S751" s="398"/>
      <c r="T751" s="398"/>
      <c r="U751" s="398"/>
      <c r="V751" s="398"/>
      <c r="W751" s="398"/>
      <c r="X751" s="398"/>
      <c r="Y751" s="398"/>
      <c r="Z751" s="398"/>
      <c r="AA751" s="398"/>
      <c r="AB751" s="200"/>
      <c r="AI751" s="459" t="str">
        <f>CONCATENATE(AK751,AL751,AM751,AN751,AO751,AP751,AQ751,AR751)</f>
        <v/>
      </c>
      <c r="AK751" s="409"/>
    </row>
    <row r="752" spans="1:43" ht="10.050000000000001" customHeight="1">
      <c r="A752" s="199"/>
      <c r="B752" s="24"/>
      <c r="C752" s="24"/>
      <c r="D752" s="24"/>
      <c r="E752" s="24"/>
      <c r="F752" s="24"/>
      <c r="G752" s="24"/>
      <c r="H752" s="24"/>
      <c r="I752" s="24"/>
      <c r="J752" s="24"/>
      <c r="K752" s="24"/>
      <c r="L752" s="24"/>
      <c r="M752" s="24"/>
      <c r="N752" s="200"/>
      <c r="O752" s="199"/>
      <c r="P752" s="24"/>
      <c r="Q752" s="24"/>
      <c r="R752" s="398"/>
      <c r="S752" s="398"/>
      <c r="T752" s="398"/>
      <c r="U752" s="398"/>
      <c r="V752" s="398"/>
      <c r="W752" s="398"/>
      <c r="X752" s="398"/>
      <c r="Y752" s="398"/>
      <c r="Z752" s="398"/>
      <c r="AA752" s="398"/>
      <c r="AB752" s="200"/>
    </row>
    <row r="753" spans="1:41" ht="19.95" customHeight="1">
      <c r="A753" s="199"/>
      <c r="B753" s="601"/>
      <c r="C753" s="601"/>
      <c r="D753" s="601"/>
      <c r="E753" s="601"/>
      <c r="F753" s="601"/>
      <c r="G753" s="601"/>
      <c r="H753" s="601"/>
      <c r="I753" s="601"/>
      <c r="J753" s="601"/>
      <c r="K753" s="601"/>
      <c r="L753" s="601"/>
      <c r="M753" s="601"/>
      <c r="N753" s="200"/>
      <c r="O753" s="199"/>
      <c r="P753" s="24"/>
      <c r="Q753" s="24"/>
      <c r="R753" s="24"/>
      <c r="S753" s="24"/>
      <c r="T753" s="24"/>
      <c r="U753" s="24"/>
      <c r="V753" s="24"/>
      <c r="W753" s="24"/>
      <c r="X753" s="24"/>
      <c r="Y753" s="24"/>
      <c r="Z753" s="24"/>
      <c r="AA753" s="398"/>
      <c r="AB753" s="200"/>
    </row>
    <row r="754" spans="1:41" ht="19.95" customHeight="1">
      <c r="A754" s="199"/>
      <c r="B754" s="601"/>
      <c r="C754" s="601"/>
      <c r="D754" s="601"/>
      <c r="E754" s="601"/>
      <c r="F754" s="601"/>
      <c r="G754" s="601"/>
      <c r="H754" s="601"/>
      <c r="I754" s="601"/>
      <c r="J754" s="601"/>
      <c r="K754" s="601"/>
      <c r="L754" s="601"/>
      <c r="M754" s="601"/>
      <c r="N754" s="200"/>
      <c r="O754" s="199"/>
      <c r="P754" s="24"/>
      <c r="Q754" s="24"/>
      <c r="R754" s="398"/>
      <c r="S754" s="398"/>
      <c r="T754" s="398"/>
      <c r="U754" s="398"/>
      <c r="V754" s="398"/>
      <c r="W754" s="398"/>
      <c r="X754" s="398"/>
      <c r="Y754" s="398"/>
      <c r="Z754" s="398"/>
      <c r="AA754" s="398"/>
      <c r="AB754" s="200"/>
    </row>
    <row r="755" spans="1:41" ht="19.95" customHeight="1">
      <c r="A755" s="199"/>
      <c r="B755" s="601"/>
      <c r="C755" s="601"/>
      <c r="D755" s="601"/>
      <c r="E755" s="601"/>
      <c r="F755" s="601"/>
      <c r="G755" s="601"/>
      <c r="H755" s="601"/>
      <c r="I755" s="601"/>
      <c r="J755" s="601"/>
      <c r="K755" s="601"/>
      <c r="L755" s="601"/>
      <c r="M755" s="601"/>
      <c r="N755" s="200"/>
      <c r="O755" s="199"/>
      <c r="P755" s="24"/>
      <c r="Q755" s="24"/>
      <c r="R755" s="398"/>
      <c r="S755" s="398"/>
      <c r="T755" s="398"/>
      <c r="U755" s="398"/>
      <c r="V755" s="398"/>
      <c r="W755" s="398"/>
      <c r="X755" s="398"/>
      <c r="Y755" s="398"/>
      <c r="Z755" s="398"/>
      <c r="AA755" s="398"/>
      <c r="AB755" s="200"/>
    </row>
    <row r="756" spans="1:41" ht="19.95" customHeight="1">
      <c r="A756" s="199"/>
      <c r="B756" s="601"/>
      <c r="C756" s="601"/>
      <c r="D756" s="601"/>
      <c r="E756" s="601"/>
      <c r="F756" s="601"/>
      <c r="G756" s="601"/>
      <c r="H756" s="601"/>
      <c r="I756" s="601"/>
      <c r="J756" s="601"/>
      <c r="K756" s="601"/>
      <c r="L756" s="601"/>
      <c r="M756" s="601"/>
      <c r="N756" s="200"/>
      <c r="O756" s="199"/>
      <c r="P756" s="24"/>
      <c r="Q756" s="24"/>
      <c r="R756" s="398"/>
      <c r="S756" s="398"/>
      <c r="T756" s="398"/>
      <c r="U756" s="398"/>
      <c r="V756" s="398"/>
      <c r="W756" s="398"/>
      <c r="X756" s="398"/>
      <c r="Y756" s="398"/>
      <c r="Z756" s="398"/>
      <c r="AA756" s="398"/>
      <c r="AB756" s="200"/>
    </row>
    <row r="757" spans="1:41" ht="19.95" customHeight="1">
      <c r="A757" s="199"/>
      <c r="B757" s="601"/>
      <c r="C757" s="601"/>
      <c r="D757" s="601"/>
      <c r="E757" s="601"/>
      <c r="F757" s="601"/>
      <c r="G757" s="601"/>
      <c r="H757" s="601"/>
      <c r="I757" s="601"/>
      <c r="J757" s="601"/>
      <c r="K757" s="601"/>
      <c r="L757" s="601"/>
      <c r="M757" s="601"/>
      <c r="N757" s="200"/>
      <c r="O757" s="199"/>
      <c r="P757" s="24"/>
      <c r="Q757" s="24"/>
      <c r="R757" s="398"/>
      <c r="S757" s="398"/>
      <c r="T757" s="398"/>
      <c r="U757" s="398"/>
      <c r="V757" s="398"/>
      <c r="W757" s="398"/>
      <c r="X757" s="398"/>
      <c r="Y757" s="398"/>
      <c r="Z757" s="398"/>
      <c r="AA757" s="398"/>
      <c r="AB757" s="200"/>
      <c r="AI757" s="459" t="str">
        <f>IF(OR($I$1270=0,$B$1300=""),AK757,AI759)</f>
        <v xml:space="preserve">Divisive politics lets you judge the other side by its most exaggerated generalizations. Then it upholds your side by casting its most exaggerated genralizations as mere aberration. Divisive politics tempts your client to view those arguing the opposite extreme as an example of the other side, while characterizing anyone on the client's side who argues for an exaggerated position as merely an exception to your client side's sound arguments. 
</v>
      </c>
      <c r="AK757" s="465" t="s">
        <v>1822</v>
      </c>
    </row>
    <row r="758" spans="1:41" ht="19.95" customHeight="1">
      <c r="A758" s="199"/>
      <c r="B758" s="24"/>
      <c r="C758" s="24"/>
      <c r="D758" s="24"/>
      <c r="E758" s="24"/>
      <c r="F758" s="24"/>
      <c r="G758" s="24"/>
      <c r="H758" s="24"/>
      <c r="I758" s="24"/>
      <c r="J758" s="24"/>
      <c r="K758" s="24"/>
      <c r="L758" s="24"/>
      <c r="M758" s="24"/>
      <c r="N758" s="200"/>
      <c r="O758" s="199"/>
      <c r="P758" s="24"/>
      <c r="Q758" s="24"/>
      <c r="R758" s="398"/>
      <c r="S758" s="398"/>
      <c r="T758" s="398"/>
      <c r="U758" s="398"/>
      <c r="V758" s="398"/>
      <c r="W758" s="398"/>
      <c r="X758" s="398"/>
      <c r="Y758" s="398"/>
      <c r="Z758" s="398"/>
      <c r="AA758" s="398"/>
      <c r="AB758" s="200"/>
    </row>
    <row r="759" spans="1:41" ht="19.95" customHeight="1">
      <c r="A759" s="199"/>
      <c r="B759" s="601"/>
      <c r="C759" s="601"/>
      <c r="D759" s="601"/>
      <c r="E759" s="601"/>
      <c r="F759" s="601"/>
      <c r="G759" s="601"/>
      <c r="H759" s="601"/>
      <c r="I759" s="601"/>
      <c r="J759" s="601"/>
      <c r="K759" s="601"/>
      <c r="L759" s="601"/>
      <c r="M759" s="601"/>
      <c r="N759" s="200"/>
      <c r="O759" s="199"/>
      <c r="P759" s="24"/>
      <c r="Q759" s="24"/>
      <c r="R759" s="398"/>
      <c r="S759" s="398"/>
      <c r="T759" s="398"/>
      <c r="U759" s="398"/>
      <c r="V759" s="398"/>
      <c r="W759" s="398"/>
      <c r="X759" s="398"/>
      <c r="Y759" s="398"/>
      <c r="Z759" s="398"/>
      <c r="AA759" s="398"/>
      <c r="AB759" s="200"/>
      <c r="AI759" s="459" t="str">
        <f>CONCATENATE(AK759,AL759,AM759,AN759,AO759,AP759,AQ757,AR757)</f>
        <v xml:space="preserve">Divisive politics lets you judge the other side by its most exaggerated generalizations. Then it upholds your side by casting its most exaggerated generalizations as mere aberration. Divisive politics tempts your client to view those arguing to take a side as examplary of the other side, while characterizing anyone on the client's side who argues to just get along as merely an exception to your client side's sound arguments. </v>
      </c>
      <c r="AK759" s="409" t="s">
        <v>1943</v>
      </c>
      <c r="AL759" s="2" t="str">
        <f>AO1298</f>
        <v>take a side</v>
      </c>
      <c r="AM759" s="409" t="s">
        <v>1685</v>
      </c>
      <c r="AN759" s="2" t="str">
        <f>AN1298</f>
        <v>just get along</v>
      </c>
      <c r="AO759" s="465" t="s">
        <v>1683</v>
      </c>
    </row>
    <row r="760" spans="1:41" ht="19.95" customHeight="1">
      <c r="A760" s="199"/>
      <c r="B760" s="601"/>
      <c r="C760" s="601"/>
      <c r="D760" s="601"/>
      <c r="E760" s="601"/>
      <c r="F760" s="601"/>
      <c r="G760" s="601"/>
      <c r="H760" s="601"/>
      <c r="I760" s="601"/>
      <c r="J760" s="601"/>
      <c r="K760" s="601"/>
      <c r="L760" s="601"/>
      <c r="M760" s="601"/>
      <c r="N760" s="200"/>
      <c r="O760" s="199"/>
      <c r="P760" s="24"/>
      <c r="Q760" s="24"/>
      <c r="R760" s="398"/>
      <c r="S760" s="398"/>
      <c r="T760" s="398"/>
      <c r="U760" s="398"/>
      <c r="V760" s="398"/>
      <c r="W760" s="398"/>
      <c r="X760" s="398"/>
      <c r="Y760" s="398"/>
      <c r="Z760" s="398"/>
      <c r="AA760" s="398"/>
      <c r="AB760" s="200"/>
    </row>
    <row r="761" spans="1:41" ht="19.95" customHeight="1">
      <c r="A761" s="199"/>
      <c r="B761" s="601"/>
      <c r="C761" s="601"/>
      <c r="D761" s="601"/>
      <c r="E761" s="601"/>
      <c r="F761" s="601"/>
      <c r="G761" s="601"/>
      <c r="H761" s="601"/>
      <c r="I761" s="601"/>
      <c r="J761" s="601"/>
      <c r="K761" s="601"/>
      <c r="L761" s="601"/>
      <c r="M761" s="601"/>
      <c r="N761" s="200"/>
      <c r="O761" s="199"/>
      <c r="P761" s="24"/>
      <c r="Q761" s="24"/>
      <c r="R761" s="398"/>
      <c r="S761" s="398"/>
      <c r="T761" s="398"/>
      <c r="U761" s="398"/>
      <c r="V761" s="398"/>
      <c r="W761" s="398"/>
      <c r="X761" s="398"/>
      <c r="Y761" s="398"/>
      <c r="Z761" s="398"/>
      <c r="AA761" s="398"/>
      <c r="AB761" s="200"/>
    </row>
    <row r="762" spans="1:41" ht="19.95" customHeight="1">
      <c r="A762" s="199"/>
      <c r="B762" s="601"/>
      <c r="C762" s="601"/>
      <c r="D762" s="601"/>
      <c r="E762" s="601"/>
      <c r="F762" s="601"/>
      <c r="G762" s="601"/>
      <c r="H762" s="601"/>
      <c r="I762" s="601"/>
      <c r="J762" s="601"/>
      <c r="K762" s="601"/>
      <c r="L762" s="601"/>
      <c r="M762" s="601"/>
      <c r="N762" s="200"/>
      <c r="O762" s="199"/>
      <c r="P762" s="24"/>
      <c r="Q762" s="24"/>
      <c r="R762" s="398"/>
      <c r="S762" s="398"/>
      <c r="T762" s="398"/>
      <c r="U762" s="398"/>
      <c r="V762" s="398"/>
      <c r="W762" s="398"/>
      <c r="X762" s="398"/>
      <c r="Y762" s="398"/>
      <c r="Z762" s="398"/>
      <c r="AA762" s="398"/>
      <c r="AB762" s="200"/>
      <c r="AI762" s="2" t="s">
        <v>2748</v>
      </c>
    </row>
    <row r="763" spans="1:41" ht="19.95" customHeight="1">
      <c r="A763" s="199"/>
      <c r="B763" s="601"/>
      <c r="C763" s="601"/>
      <c r="D763" s="601"/>
      <c r="E763" s="601"/>
      <c r="F763" s="601"/>
      <c r="G763" s="601"/>
      <c r="H763" s="601"/>
      <c r="I763" s="601"/>
      <c r="J763" s="601"/>
      <c r="K763" s="601"/>
      <c r="L763" s="601"/>
      <c r="M763" s="601"/>
      <c r="N763" s="200"/>
      <c r="O763" s="199"/>
      <c r="P763" s="24"/>
      <c r="Q763" s="24"/>
      <c r="R763" s="398"/>
      <c r="S763" s="398"/>
      <c r="T763" s="398"/>
      <c r="U763" s="398"/>
      <c r="V763" s="398"/>
      <c r="W763" s="398"/>
      <c r="X763" s="398"/>
      <c r="Y763" s="398"/>
      <c r="Z763" s="398"/>
      <c r="AA763" s="398"/>
      <c r="AB763" s="200"/>
      <c r="AI763" s="2" t="s">
        <v>2736</v>
      </c>
    </row>
    <row r="764" spans="1:41" ht="19.95" customHeight="1">
      <c r="A764" s="199"/>
      <c r="B764" s="601"/>
      <c r="C764" s="601"/>
      <c r="D764" s="601"/>
      <c r="E764" s="601"/>
      <c r="F764" s="601"/>
      <c r="G764" s="601"/>
      <c r="H764" s="601"/>
      <c r="I764" s="601"/>
      <c r="J764" s="601"/>
      <c r="K764" s="601"/>
      <c r="L764" s="601"/>
      <c r="M764" s="601"/>
      <c r="N764" s="200"/>
      <c r="O764" s="199"/>
      <c r="P764" s="24"/>
      <c r="Q764" s="24"/>
      <c r="R764" s="398"/>
      <c r="S764" s="398"/>
      <c r="T764" s="398"/>
      <c r="U764" s="398"/>
      <c r="V764" s="398"/>
      <c r="W764" s="398"/>
      <c r="X764" s="398"/>
      <c r="Y764" s="398"/>
      <c r="Z764" s="398"/>
      <c r="AA764" s="398"/>
      <c r="AB764" s="200"/>
      <c r="AI764" s="2" t="s">
        <v>2737</v>
      </c>
    </row>
    <row r="765" spans="1:41" ht="19.95" customHeight="1">
      <c r="A765" s="199"/>
      <c r="B765" s="601"/>
      <c r="C765" s="601"/>
      <c r="D765" s="601"/>
      <c r="E765" s="601"/>
      <c r="F765" s="601"/>
      <c r="G765" s="601"/>
      <c r="H765" s="601"/>
      <c r="I765" s="601"/>
      <c r="J765" s="601"/>
      <c r="K765" s="601"/>
      <c r="L765" s="601"/>
      <c r="M765" s="601"/>
      <c r="N765" s="200"/>
      <c r="O765" s="199"/>
      <c r="P765" s="24"/>
      <c r="Q765" s="24"/>
      <c r="R765" s="398"/>
      <c r="S765" s="398"/>
      <c r="T765" s="398"/>
      <c r="U765" s="398"/>
      <c r="V765" s="398"/>
      <c r="W765" s="398"/>
      <c r="X765" s="398"/>
      <c r="Y765" s="398"/>
      <c r="Z765" s="398"/>
      <c r="AA765" s="398"/>
      <c r="AB765" s="200"/>
      <c r="AI765" s="2" t="s">
        <v>2745</v>
      </c>
    </row>
    <row r="766" spans="1:41" ht="19.95" customHeight="1">
      <c r="A766" s="199"/>
      <c r="B766" s="601"/>
      <c r="C766" s="601"/>
      <c r="D766" s="601"/>
      <c r="E766" s="601"/>
      <c r="F766" s="601"/>
      <c r="G766" s="601"/>
      <c r="H766" s="601"/>
      <c r="I766" s="601"/>
      <c r="J766" s="601"/>
      <c r="K766" s="601"/>
      <c r="L766" s="601"/>
      <c r="M766" s="601"/>
      <c r="N766" s="200"/>
      <c r="O766" s="199"/>
      <c r="P766" s="24"/>
      <c r="Q766" s="24"/>
      <c r="R766" s="398"/>
      <c r="S766" s="398"/>
      <c r="T766" s="398"/>
      <c r="U766" s="398"/>
      <c r="V766" s="398"/>
      <c r="W766" s="398"/>
      <c r="X766" s="398"/>
      <c r="Y766" s="398"/>
      <c r="Z766" s="398"/>
      <c r="AA766" s="398"/>
      <c r="AB766" s="200"/>
      <c r="AI766" s="2" t="s">
        <v>2747</v>
      </c>
    </row>
    <row r="767" spans="1:41" ht="19.95" customHeight="1">
      <c r="A767" s="199"/>
      <c r="B767" s="601"/>
      <c r="C767" s="601"/>
      <c r="D767" s="601"/>
      <c r="E767" s="601"/>
      <c r="F767" s="601"/>
      <c r="G767" s="601"/>
      <c r="H767" s="601"/>
      <c r="I767" s="601"/>
      <c r="J767" s="601"/>
      <c r="K767" s="601"/>
      <c r="L767" s="601"/>
      <c r="M767" s="601"/>
      <c r="N767" s="200"/>
      <c r="O767" s="199"/>
      <c r="P767" s="24"/>
      <c r="Q767" s="24"/>
      <c r="R767" s="398"/>
      <c r="S767" s="398"/>
      <c r="T767" s="398"/>
      <c r="U767" s="398"/>
      <c r="V767" s="398"/>
      <c r="W767" s="398"/>
      <c r="X767" s="398"/>
      <c r="Y767" s="398"/>
      <c r="Z767" s="398"/>
      <c r="AA767" s="398"/>
      <c r="AB767" s="200"/>
      <c r="AI767" s="2" t="s">
        <v>2738</v>
      </c>
    </row>
    <row r="768" spans="1:41" ht="19.95" customHeight="1">
      <c r="A768" s="199"/>
      <c r="B768" s="601"/>
      <c r="C768" s="601"/>
      <c r="D768" s="601"/>
      <c r="E768" s="601"/>
      <c r="F768" s="601"/>
      <c r="G768" s="601"/>
      <c r="H768" s="601"/>
      <c r="I768" s="601"/>
      <c r="J768" s="601"/>
      <c r="K768" s="601"/>
      <c r="L768" s="601"/>
      <c r="M768" s="601"/>
      <c r="N768" s="200"/>
      <c r="O768" s="199"/>
      <c r="P768" s="24"/>
      <c r="Q768" s="24"/>
      <c r="R768" s="398"/>
      <c r="S768" s="398"/>
      <c r="T768" s="398"/>
      <c r="U768" s="398"/>
      <c r="V768" s="398"/>
      <c r="W768" s="398"/>
      <c r="X768" s="398"/>
      <c r="Y768" s="398"/>
      <c r="Z768" s="398"/>
      <c r="AA768" s="398"/>
      <c r="AB768" s="200"/>
      <c r="AI768" s="2" t="s">
        <v>2739</v>
      </c>
    </row>
    <row r="769" spans="1:35" ht="19.95" customHeight="1">
      <c r="A769" s="199"/>
      <c r="B769" s="601"/>
      <c r="C769" s="601"/>
      <c r="D769" s="601"/>
      <c r="E769" s="601"/>
      <c r="F769" s="601"/>
      <c r="G769" s="601"/>
      <c r="H769" s="601"/>
      <c r="I769" s="601"/>
      <c r="J769" s="601"/>
      <c r="K769" s="601"/>
      <c r="L769" s="601"/>
      <c r="M769" s="601"/>
      <c r="N769" s="200"/>
      <c r="O769" s="199"/>
      <c r="P769" s="24"/>
      <c r="Q769" s="24"/>
      <c r="R769" s="398"/>
      <c r="S769" s="398"/>
      <c r="T769" s="398"/>
      <c r="U769" s="398"/>
      <c r="V769" s="398"/>
      <c r="W769" s="398"/>
      <c r="X769" s="398"/>
      <c r="Y769" s="398"/>
      <c r="Z769" s="398"/>
      <c r="AA769" s="398"/>
      <c r="AB769" s="200"/>
      <c r="AI769" s="2" t="s">
        <v>2744</v>
      </c>
    </row>
    <row r="770" spans="1:35" ht="19.95" customHeight="1">
      <c r="A770" s="199"/>
      <c r="B770" s="601"/>
      <c r="C770" s="601"/>
      <c r="D770" s="601"/>
      <c r="E770" s="601"/>
      <c r="F770" s="601"/>
      <c r="G770" s="601"/>
      <c r="H770" s="601"/>
      <c r="I770" s="601"/>
      <c r="J770" s="601"/>
      <c r="K770" s="601"/>
      <c r="L770" s="601"/>
      <c r="M770" s="601"/>
      <c r="N770" s="200"/>
      <c r="O770" s="199"/>
      <c r="P770" s="24"/>
      <c r="Q770" s="24"/>
      <c r="R770" s="398"/>
      <c r="S770" s="398"/>
      <c r="T770" s="398"/>
      <c r="U770" s="398"/>
      <c r="V770" s="398"/>
      <c r="W770" s="398"/>
      <c r="X770" s="398"/>
      <c r="Y770" s="398"/>
      <c r="Z770" s="398"/>
      <c r="AA770" s="398"/>
      <c r="AB770" s="200"/>
      <c r="AI770" s="2" t="s">
        <v>2746</v>
      </c>
    </row>
    <row r="771" spans="1:35" ht="19.95" customHeight="1">
      <c r="A771" s="199"/>
      <c r="B771" s="601"/>
      <c r="C771" s="601"/>
      <c r="D771" s="601"/>
      <c r="E771" s="601"/>
      <c r="F771" s="601"/>
      <c r="G771" s="601"/>
      <c r="H771" s="601"/>
      <c r="I771" s="601"/>
      <c r="J771" s="601"/>
      <c r="K771" s="601"/>
      <c r="L771" s="601"/>
      <c r="M771" s="601"/>
      <c r="N771" s="200"/>
      <c r="O771" s="199"/>
      <c r="P771" s="24"/>
      <c r="Q771" s="24"/>
      <c r="R771" s="398"/>
      <c r="S771" s="398"/>
      <c r="T771" s="398"/>
      <c r="U771" s="398"/>
      <c r="V771" s="398"/>
      <c r="W771" s="398"/>
      <c r="X771" s="398"/>
      <c r="Y771" s="398"/>
      <c r="Z771" s="398"/>
      <c r="AA771" s="398"/>
      <c r="AB771" s="200"/>
      <c r="AI771" s="2" t="s">
        <v>2740</v>
      </c>
    </row>
    <row r="772" spans="1:35" ht="19.95" customHeight="1">
      <c r="A772" s="199"/>
      <c r="B772" s="601"/>
      <c r="C772" s="601"/>
      <c r="D772" s="601"/>
      <c r="E772" s="601"/>
      <c r="F772" s="601"/>
      <c r="G772" s="601"/>
      <c r="H772" s="601"/>
      <c r="I772" s="601"/>
      <c r="J772" s="601"/>
      <c r="K772" s="601"/>
      <c r="L772" s="601"/>
      <c r="M772" s="601"/>
      <c r="N772" s="200"/>
      <c r="O772" s="199"/>
      <c r="P772" s="24"/>
      <c r="Q772" s="24"/>
      <c r="R772" s="398"/>
      <c r="S772" s="398"/>
      <c r="T772" s="398"/>
      <c r="U772" s="398"/>
      <c r="V772" s="398"/>
      <c r="W772" s="398"/>
      <c r="X772" s="398"/>
      <c r="Y772" s="398"/>
      <c r="Z772" s="398"/>
      <c r="AA772" s="398"/>
      <c r="AB772" s="200"/>
      <c r="AI772" s="2" t="s">
        <v>2741</v>
      </c>
    </row>
    <row r="773" spans="1:35" ht="19.95" customHeight="1">
      <c r="A773" s="199"/>
      <c r="B773" s="601"/>
      <c r="C773" s="601"/>
      <c r="D773" s="601"/>
      <c r="E773" s="601"/>
      <c r="F773" s="601"/>
      <c r="G773" s="601"/>
      <c r="H773" s="601"/>
      <c r="I773" s="601"/>
      <c r="J773" s="601"/>
      <c r="K773" s="601"/>
      <c r="L773" s="601"/>
      <c r="M773" s="601"/>
      <c r="N773" s="200"/>
      <c r="O773" s="199"/>
      <c r="P773" s="24"/>
      <c r="Q773" s="24"/>
      <c r="R773" s="398"/>
      <c r="S773" s="398"/>
      <c r="T773" s="398"/>
      <c r="U773" s="398"/>
      <c r="V773" s="398"/>
      <c r="W773" s="398"/>
      <c r="X773" s="398"/>
      <c r="Y773" s="398"/>
      <c r="Z773" s="398"/>
      <c r="AA773" s="398"/>
      <c r="AB773" s="200"/>
      <c r="AI773" s="2" t="s">
        <v>2742</v>
      </c>
    </row>
    <row r="774" spans="1:35" ht="19.95" customHeight="1">
      <c r="A774" s="199"/>
      <c r="B774" s="601"/>
      <c r="C774" s="601"/>
      <c r="D774" s="601"/>
      <c r="E774" s="601"/>
      <c r="F774" s="601"/>
      <c r="G774" s="601"/>
      <c r="H774" s="601"/>
      <c r="I774" s="601"/>
      <c r="J774" s="601"/>
      <c r="K774" s="601"/>
      <c r="L774" s="601"/>
      <c r="M774" s="601"/>
      <c r="N774" s="200"/>
      <c r="O774" s="199"/>
      <c r="P774" s="24"/>
      <c r="Q774" s="24"/>
      <c r="R774" s="398"/>
      <c r="S774" s="398"/>
      <c r="T774" s="398"/>
      <c r="U774" s="398"/>
      <c r="V774" s="398"/>
      <c r="W774" s="398"/>
      <c r="X774" s="398"/>
      <c r="Y774" s="398"/>
      <c r="Z774" s="398"/>
      <c r="AA774" s="398"/>
      <c r="AB774" s="200"/>
      <c r="AI774" s="2" t="s">
        <v>2743</v>
      </c>
    </row>
    <row r="775" spans="1:35" ht="19.95" customHeight="1">
      <c r="A775" s="199"/>
      <c r="B775" s="601"/>
      <c r="C775" s="601"/>
      <c r="D775" s="601"/>
      <c r="E775" s="601"/>
      <c r="F775" s="601"/>
      <c r="G775" s="601"/>
      <c r="H775" s="601"/>
      <c r="I775" s="601"/>
      <c r="J775" s="601"/>
      <c r="K775" s="601"/>
      <c r="L775" s="601"/>
      <c r="M775" s="601"/>
      <c r="N775" s="200"/>
      <c r="O775" s="199"/>
      <c r="P775" s="24"/>
      <c r="Q775" s="24"/>
      <c r="R775" s="398"/>
      <c r="S775" s="398"/>
      <c r="T775" s="398"/>
      <c r="U775" s="398"/>
      <c r="V775" s="398"/>
      <c r="W775" s="398"/>
      <c r="X775" s="398"/>
      <c r="Y775" s="398"/>
      <c r="Z775" s="398"/>
      <c r="AA775" s="398"/>
      <c r="AB775" s="200"/>
      <c r="AI775" s="2" t="s">
        <v>2735</v>
      </c>
    </row>
    <row r="776" spans="1:35" ht="19.95" customHeight="1">
      <c r="A776" s="199"/>
      <c r="B776" s="601"/>
      <c r="C776" s="601"/>
      <c r="D776" s="601"/>
      <c r="E776" s="601"/>
      <c r="F776" s="601"/>
      <c r="G776" s="601"/>
      <c r="H776" s="601"/>
      <c r="I776" s="601"/>
      <c r="J776" s="601"/>
      <c r="K776" s="601"/>
      <c r="L776" s="601"/>
      <c r="M776" s="601"/>
      <c r="N776" s="200"/>
      <c r="O776" s="199"/>
      <c r="P776" s="24"/>
      <c r="Q776" s="24"/>
      <c r="R776" s="398"/>
      <c r="S776" s="398"/>
      <c r="T776" s="398"/>
      <c r="U776" s="398"/>
      <c r="V776" s="398"/>
      <c r="W776" s="398"/>
      <c r="X776" s="398"/>
      <c r="Y776" s="398"/>
      <c r="Z776" s="398"/>
      <c r="AA776" s="398"/>
      <c r="AB776" s="200"/>
    </row>
    <row r="777" spans="1:35" ht="19.95" customHeight="1">
      <c r="A777" s="199"/>
      <c r="B777" s="601"/>
      <c r="C777" s="601"/>
      <c r="D777" s="601"/>
      <c r="E777" s="601"/>
      <c r="F777" s="601"/>
      <c r="G777" s="601"/>
      <c r="H777" s="601"/>
      <c r="I777" s="601"/>
      <c r="J777" s="601"/>
      <c r="K777" s="601"/>
      <c r="L777" s="601"/>
      <c r="M777" s="601"/>
      <c r="N777" s="200"/>
      <c r="O777" s="199"/>
      <c r="P777" s="24"/>
      <c r="Q777" s="24"/>
      <c r="R777" s="398"/>
      <c r="S777" s="398"/>
      <c r="T777" s="398"/>
      <c r="U777" s="398"/>
      <c r="V777" s="398"/>
      <c r="W777" s="398"/>
      <c r="X777" s="398"/>
      <c r="Y777" s="398"/>
      <c r="Z777" s="398"/>
      <c r="AA777" s="398"/>
      <c r="AB777" s="200"/>
    </row>
    <row r="778" spans="1:35" ht="19.95" customHeight="1">
      <c r="A778" s="199"/>
      <c r="B778" s="601"/>
      <c r="C778" s="601"/>
      <c r="D778" s="601"/>
      <c r="E778" s="601"/>
      <c r="F778" s="601"/>
      <c r="G778" s="601"/>
      <c r="H778" s="601"/>
      <c r="I778" s="601"/>
      <c r="J778" s="601"/>
      <c r="K778" s="601"/>
      <c r="L778" s="601"/>
      <c r="M778" s="601"/>
      <c r="N778" s="200"/>
      <c r="O778" s="199"/>
      <c r="P778" s="24"/>
      <c r="Q778" s="24"/>
      <c r="R778" s="398"/>
      <c r="S778" s="398"/>
      <c r="T778" s="398"/>
      <c r="U778" s="398"/>
      <c r="V778" s="398"/>
      <c r="W778" s="398"/>
      <c r="X778" s="398"/>
      <c r="Y778" s="398"/>
      <c r="Z778" s="398"/>
      <c r="AA778" s="398"/>
      <c r="AB778" s="200"/>
    </row>
    <row r="779" spans="1:35" ht="19.95" customHeight="1">
      <c r="A779" s="199"/>
      <c r="B779" s="601"/>
      <c r="C779" s="601"/>
      <c r="D779" s="601"/>
      <c r="E779" s="601"/>
      <c r="F779" s="601"/>
      <c r="G779" s="601"/>
      <c r="H779" s="601"/>
      <c r="I779" s="601"/>
      <c r="J779" s="601"/>
      <c r="K779" s="601"/>
      <c r="L779" s="601"/>
      <c r="M779" s="601"/>
      <c r="N779" s="200"/>
      <c r="O779" s="199"/>
      <c r="P779" s="24"/>
      <c r="Q779" s="24"/>
      <c r="R779" s="398"/>
      <c r="S779" s="398"/>
      <c r="T779" s="398"/>
      <c r="U779" s="398"/>
      <c r="V779" s="398"/>
      <c r="W779" s="398"/>
      <c r="X779" s="398"/>
      <c r="Y779" s="398"/>
      <c r="Z779" s="398"/>
      <c r="AA779" s="398"/>
      <c r="AB779" s="200"/>
    </row>
    <row r="780" spans="1:35" ht="19.95" customHeight="1" thickBot="1">
      <c r="A780" s="199"/>
      <c r="B780" s="601"/>
      <c r="C780" s="601"/>
      <c r="D780" s="601"/>
      <c r="E780" s="601"/>
      <c r="F780" s="601"/>
      <c r="G780" s="601"/>
      <c r="H780" s="601"/>
      <c r="I780" s="601"/>
      <c r="J780" s="601"/>
      <c r="K780" s="601"/>
      <c r="L780" s="601"/>
      <c r="M780" s="601"/>
      <c r="N780" s="200"/>
      <c r="O780" s="199"/>
      <c r="P780" s="24"/>
      <c r="Q780" s="24"/>
      <c r="R780" s="398"/>
      <c r="S780" s="398"/>
      <c r="T780" s="398"/>
      <c r="U780" s="398"/>
      <c r="V780" s="398"/>
      <c r="W780" s="398"/>
      <c r="X780" s="398"/>
      <c r="Y780" s="398"/>
      <c r="Z780" s="398"/>
      <c r="AA780" s="398"/>
      <c r="AB780" s="200"/>
    </row>
    <row r="781" spans="1:35" ht="19.95" customHeight="1" thickBot="1">
      <c r="A781" s="199"/>
      <c r="B781" s="1295"/>
      <c r="C781" s="1296"/>
      <c r="D781" s="1296"/>
      <c r="E781" s="1296"/>
      <c r="F781" s="1296"/>
      <c r="G781" s="1296"/>
      <c r="H781" s="1296"/>
      <c r="I781" s="1297"/>
      <c r="J781" s="1354" t="str">
        <f>IF(B781="","","How can we help?")</f>
        <v/>
      </c>
      <c r="K781" s="1355"/>
      <c r="L781" s="1355"/>
      <c r="M781" s="1356"/>
      <c r="N781" s="200"/>
      <c r="O781" s="199"/>
      <c r="P781" s="24"/>
      <c r="Q781" s="24"/>
      <c r="R781" s="398"/>
      <c r="S781" s="398"/>
      <c r="T781" s="398"/>
      <c r="U781" s="398"/>
      <c r="V781" s="398"/>
      <c r="W781" s="398"/>
      <c r="X781" s="398"/>
      <c r="Y781" s="398"/>
      <c r="Z781" s="398"/>
      <c r="AA781" s="398"/>
      <c r="AB781" s="200"/>
    </row>
    <row r="782" spans="1:35" ht="10.050000000000001" customHeight="1">
      <c r="A782" s="199"/>
      <c r="B782" s="24"/>
      <c r="C782" s="24"/>
      <c r="D782" s="24"/>
      <c r="E782" s="24"/>
      <c r="F782" s="24"/>
      <c r="G782" s="24"/>
      <c r="H782" s="24"/>
      <c r="I782" s="24"/>
      <c r="J782" s="24"/>
      <c r="K782" s="24"/>
      <c r="L782" s="24"/>
      <c r="M782" s="24"/>
      <c r="N782" s="200"/>
      <c r="O782" s="199"/>
      <c r="P782" s="24"/>
      <c r="Q782" s="24"/>
      <c r="R782" s="398"/>
      <c r="S782" s="398"/>
      <c r="T782" s="398"/>
      <c r="U782" s="398"/>
      <c r="V782" s="398"/>
      <c r="W782" s="398"/>
      <c r="X782" s="398"/>
      <c r="Y782" s="398"/>
      <c r="Z782" s="398"/>
      <c r="AA782" s="398"/>
      <c r="AB782" s="200"/>
    </row>
    <row r="783" spans="1:35" ht="30" customHeight="1">
      <c r="A783" s="210" t="s">
        <v>1148</v>
      </c>
      <c r="B783" s="399" t="s">
        <v>3150</v>
      </c>
      <c r="C783" s="582"/>
      <c r="D783" s="582"/>
      <c r="E783" s="583"/>
      <c r="F783" s="584"/>
      <c r="G783" s="582"/>
      <c r="H783" s="373"/>
      <c r="I783" s="373"/>
      <c r="J783" s="373"/>
      <c r="K783" s="373"/>
      <c r="L783" s="373"/>
      <c r="M783" s="373"/>
      <c r="N783" s="211" t="s">
        <v>1149</v>
      </c>
      <c r="O783" s="372"/>
      <c r="P783" s="374"/>
      <c r="Q783" s="373"/>
      <c r="R783" s="373"/>
      <c r="S783" s="373"/>
      <c r="T783" s="373"/>
      <c r="U783" s="373"/>
      <c r="V783" s="373"/>
      <c r="W783" s="373"/>
      <c r="X783" s="373"/>
      <c r="Y783" s="373"/>
      <c r="Z783" s="373"/>
      <c r="AA783" s="373"/>
      <c r="AB783" s="211" t="s">
        <v>1149</v>
      </c>
    </row>
    <row r="784" spans="1:35" ht="10.050000000000001" customHeight="1">
      <c r="A784" s="199"/>
      <c r="B784" s="24"/>
      <c r="C784" s="24"/>
      <c r="D784" s="24"/>
      <c r="E784" s="24"/>
      <c r="F784" s="24"/>
      <c r="G784" s="24"/>
      <c r="H784" s="24"/>
      <c r="I784" s="24"/>
      <c r="J784" s="24"/>
      <c r="K784" s="24"/>
      <c r="L784" s="24"/>
      <c r="M784" s="24"/>
      <c r="N784" s="200"/>
      <c r="O784" s="199"/>
      <c r="P784" s="24"/>
      <c r="Q784" s="24"/>
      <c r="R784" s="398"/>
      <c r="S784" s="398"/>
      <c r="T784" s="398"/>
      <c r="U784" s="398"/>
      <c r="V784" s="398"/>
      <c r="W784" s="398"/>
      <c r="X784" s="398"/>
      <c r="Y784" s="398"/>
      <c r="Z784" s="398"/>
      <c r="AA784" s="398"/>
      <c r="AB784" s="200"/>
    </row>
    <row r="785" spans="1:44" ht="19.95" customHeight="1">
      <c r="A785" s="199"/>
      <c r="B785" s="719" t="s">
        <v>2814</v>
      </c>
      <c r="C785" s="24"/>
      <c r="D785" s="24"/>
      <c r="E785" s="24"/>
      <c r="F785" s="24"/>
      <c r="G785" s="24"/>
      <c r="H785" s="24"/>
      <c r="I785" s="24"/>
      <c r="J785" s="24"/>
      <c r="K785" s="24"/>
      <c r="L785" s="24"/>
      <c r="M785" s="24"/>
      <c r="N785" s="200"/>
      <c r="O785" s="199"/>
      <c r="P785" s="24"/>
      <c r="Q785" s="24"/>
      <c r="R785" s="398"/>
      <c r="S785" s="398"/>
      <c r="T785" s="398"/>
      <c r="U785" s="398"/>
      <c r="V785" s="398"/>
      <c r="W785" s="398"/>
      <c r="X785" s="398"/>
      <c r="Y785" s="398"/>
      <c r="Z785" s="398"/>
      <c r="AA785" s="398"/>
      <c r="AB785" s="200"/>
      <c r="AI785" s="459">
        <f>IF(OR($I$1270=0,$B$1300=""),AK785,AI787)</f>
        <v>0</v>
      </c>
      <c r="AK785" s="465"/>
    </row>
    <row r="786" spans="1:44" ht="10.050000000000001" customHeight="1">
      <c r="A786" s="199"/>
      <c r="B786" s="24"/>
      <c r="C786" s="24"/>
      <c r="D786" s="24"/>
      <c r="E786" s="24"/>
      <c r="F786" s="24"/>
      <c r="G786" s="24"/>
      <c r="H786" s="24"/>
      <c r="I786" s="24"/>
      <c r="J786" s="24"/>
      <c r="K786" s="24"/>
      <c r="L786" s="24"/>
      <c r="M786" s="24"/>
      <c r="N786" s="200"/>
      <c r="O786" s="199"/>
      <c r="P786" s="24"/>
      <c r="Q786" s="24"/>
      <c r="R786" s="398"/>
      <c r="S786" s="398"/>
      <c r="T786" s="398"/>
      <c r="U786" s="398"/>
      <c r="V786" s="398"/>
      <c r="W786" s="398"/>
      <c r="X786" s="398"/>
      <c r="Y786" s="398"/>
      <c r="Z786" s="398"/>
      <c r="AA786" s="398"/>
      <c r="AB786" s="200"/>
    </row>
    <row r="787" spans="1:44" ht="19.95" customHeight="1">
      <c r="A787" s="199"/>
      <c r="B787" s="603"/>
      <c r="C787" s="603"/>
      <c r="D787" s="603"/>
      <c r="E787" s="603"/>
      <c r="F787" s="603"/>
      <c r="G787" s="603"/>
      <c r="H787" s="603"/>
      <c r="I787" s="603"/>
      <c r="J787" s="603"/>
      <c r="K787" s="603"/>
      <c r="L787" s="603"/>
      <c r="M787" s="603"/>
      <c r="N787" s="200"/>
      <c r="O787" s="199"/>
      <c r="P787" s="24"/>
      <c r="Q787" s="24"/>
      <c r="R787" s="398"/>
      <c r="S787" s="398"/>
      <c r="T787" s="398"/>
      <c r="U787" s="398"/>
      <c r="V787" s="398"/>
      <c r="W787" s="398"/>
      <c r="X787" s="398"/>
      <c r="Y787" s="398"/>
      <c r="Z787" s="398"/>
      <c r="AA787" s="398"/>
      <c r="AB787" s="200"/>
      <c r="AI787" s="459" t="str">
        <f>CONCATENATE(AK787,AL787,AM787,AN787,AO787,AP787,AQ787,AN788,AO788,AP788,AQ788)</f>
        <v/>
      </c>
      <c r="AK787" s="465"/>
    </row>
    <row r="788" spans="1:44" ht="19.95" customHeight="1">
      <c r="A788" s="199"/>
      <c r="B788" s="603"/>
      <c r="C788" s="603"/>
      <c r="D788" s="603"/>
      <c r="E788" s="603"/>
      <c r="F788" s="603"/>
      <c r="G788" s="603"/>
      <c r="H788" s="603"/>
      <c r="I788" s="603"/>
      <c r="J788" s="603"/>
      <c r="K788" s="603"/>
      <c r="L788" s="603"/>
      <c r="M788" s="603"/>
      <c r="N788" s="200"/>
      <c r="O788" s="199"/>
      <c r="P788" s="24"/>
      <c r="Q788" s="24"/>
      <c r="R788" s="398"/>
      <c r="S788" s="398"/>
      <c r="T788" s="398"/>
      <c r="U788" s="398"/>
      <c r="V788" s="398"/>
      <c r="W788" s="398"/>
      <c r="X788" s="398"/>
      <c r="Y788" s="398"/>
      <c r="Z788" s="398"/>
      <c r="AA788" s="398"/>
      <c r="AB788" s="200"/>
    </row>
    <row r="789" spans="1:44" ht="19.95" customHeight="1">
      <c r="A789" s="199"/>
      <c r="B789" s="603"/>
      <c r="C789" s="603"/>
      <c r="D789" s="603"/>
      <c r="E789" s="603"/>
      <c r="F789" s="603"/>
      <c r="G789" s="603"/>
      <c r="H789" s="603"/>
      <c r="I789" s="603"/>
      <c r="J789" s="603"/>
      <c r="K789" s="603"/>
      <c r="L789" s="603"/>
      <c r="M789" s="603"/>
      <c r="N789" s="200"/>
      <c r="O789" s="199"/>
      <c r="P789" s="24"/>
      <c r="Q789" s="24"/>
      <c r="R789" s="398"/>
      <c r="S789" s="398"/>
      <c r="T789" s="398"/>
      <c r="U789" s="398"/>
      <c r="V789" s="398"/>
      <c r="W789" s="398"/>
      <c r="X789" s="398"/>
      <c r="Y789" s="398"/>
      <c r="Z789" s="398"/>
      <c r="AA789" s="398"/>
      <c r="AB789" s="200"/>
      <c r="AN789" s="733" t="s">
        <v>2843</v>
      </c>
      <c r="AP789" s="733" t="s">
        <v>2844</v>
      </c>
      <c r="AR789" s="733" t="s">
        <v>2845</v>
      </c>
    </row>
    <row r="790" spans="1:44" ht="19.95" customHeight="1">
      <c r="A790" s="199"/>
      <c r="B790" s="603"/>
      <c r="C790" s="603"/>
      <c r="D790" s="603"/>
      <c r="E790" s="603"/>
      <c r="F790" s="603"/>
      <c r="G790" s="603"/>
      <c r="H790" s="603"/>
      <c r="I790" s="603"/>
      <c r="J790" s="603"/>
      <c r="K790" s="603"/>
      <c r="L790" s="603"/>
      <c r="M790" s="603"/>
      <c r="N790" s="200"/>
      <c r="O790" s="199"/>
      <c r="P790" s="24"/>
      <c r="Q790" s="24"/>
      <c r="R790" s="398"/>
      <c r="S790" s="398"/>
      <c r="T790" s="398"/>
      <c r="U790" s="398"/>
      <c r="V790" s="398"/>
      <c r="W790" s="398"/>
      <c r="X790" s="398"/>
      <c r="Y790" s="398"/>
      <c r="Z790" s="398"/>
      <c r="AA790" s="398"/>
      <c r="AB790" s="200"/>
      <c r="AI790" s="459" t="s">
        <v>2823</v>
      </c>
      <c r="AK790" s="465" t="str">
        <f>IF(C$814=AK$798,AN790,IF(C$814=AK$799,AP790,IF(C$814=AK$800,AR790,"")))</f>
        <v/>
      </c>
      <c r="AN790" s="2" t="s">
        <v>2829</v>
      </c>
      <c r="AP790" s="2" t="s">
        <v>2836</v>
      </c>
      <c r="AR790" s="2" t="s">
        <v>2846</v>
      </c>
    </row>
    <row r="791" spans="1:44" ht="19.95" customHeight="1">
      <c r="A791" s="199"/>
      <c r="B791" s="603"/>
      <c r="C791" s="603"/>
      <c r="D791" s="603"/>
      <c r="E791" s="603"/>
      <c r="F791" s="603"/>
      <c r="G791" s="603"/>
      <c r="H791" s="603"/>
      <c r="I791" s="603"/>
      <c r="J791" s="603"/>
      <c r="K791" s="603"/>
      <c r="L791" s="603"/>
      <c r="M791" s="603"/>
      <c r="N791" s="200"/>
      <c r="O791" s="199"/>
      <c r="P791" s="24"/>
      <c r="Q791" s="24"/>
      <c r="R791" s="398"/>
      <c r="S791" s="398"/>
      <c r="T791" s="398"/>
      <c r="U791" s="398"/>
      <c r="V791" s="398"/>
      <c r="W791" s="398"/>
      <c r="X791" s="398"/>
      <c r="Y791" s="398"/>
      <c r="Z791" s="398"/>
      <c r="AA791" s="398"/>
      <c r="AB791" s="200"/>
      <c r="AI791" s="459" t="s">
        <v>2824</v>
      </c>
      <c r="AK791" s="465" t="str">
        <f t="shared" ref="AK791:AK796" si="4">IF(C$814=AK$798,AN791,IF(C$814=AK$799,AP791,IF(C$814=AK$800,AR791,"")))</f>
        <v/>
      </c>
      <c r="AN791" s="2" t="s">
        <v>2830</v>
      </c>
      <c r="AP791" s="2" t="s">
        <v>2837</v>
      </c>
      <c r="AR791" s="2" t="s">
        <v>2847</v>
      </c>
    </row>
    <row r="792" spans="1:44" ht="19.95" customHeight="1">
      <c r="A792" s="199"/>
      <c r="B792" s="603"/>
      <c r="C792" s="603"/>
      <c r="D792" s="603"/>
      <c r="E792" s="603"/>
      <c r="F792" s="603"/>
      <c r="G792" s="603"/>
      <c r="H792" s="603"/>
      <c r="I792" s="603"/>
      <c r="J792" s="603"/>
      <c r="K792" s="603"/>
      <c r="L792" s="603"/>
      <c r="M792" s="603"/>
      <c r="N792" s="200"/>
      <c r="O792" s="199"/>
      <c r="P792" s="24"/>
      <c r="Q792" s="24"/>
      <c r="R792" s="398"/>
      <c r="S792" s="398"/>
      <c r="T792" s="398"/>
      <c r="U792" s="398"/>
      <c r="V792" s="398"/>
      <c r="W792" s="398"/>
      <c r="X792" s="398"/>
      <c r="Y792" s="398"/>
      <c r="Z792" s="398"/>
      <c r="AA792" s="398"/>
      <c r="AB792" s="200"/>
      <c r="AI792" s="459" t="s">
        <v>2825</v>
      </c>
      <c r="AK792" s="465" t="str">
        <f t="shared" si="4"/>
        <v/>
      </c>
      <c r="AN792" s="2" t="s">
        <v>2831</v>
      </c>
      <c r="AP792" s="2" t="s">
        <v>2838</v>
      </c>
      <c r="AR792" s="2" t="s">
        <v>2848</v>
      </c>
    </row>
    <row r="793" spans="1:44" ht="19.95" customHeight="1">
      <c r="A793" s="199"/>
      <c r="B793" s="468"/>
      <c r="C793" s="468"/>
      <c r="D793" s="468"/>
      <c r="E793" s="468"/>
      <c r="F793" s="468"/>
      <c r="G793" s="468"/>
      <c r="H793" s="468"/>
      <c r="I793" s="468"/>
      <c r="J793" s="468"/>
      <c r="K793" s="468"/>
      <c r="L793" s="468"/>
      <c r="M793" s="468"/>
      <c r="N793" s="200"/>
      <c r="O793" s="199"/>
      <c r="P793" s="24"/>
      <c r="Q793" s="24"/>
      <c r="R793" s="398"/>
      <c r="S793" s="398"/>
      <c r="T793" s="398"/>
      <c r="U793" s="398"/>
      <c r="V793" s="398"/>
      <c r="W793" s="398"/>
      <c r="X793" s="398"/>
      <c r="Y793" s="398"/>
      <c r="Z793" s="398"/>
      <c r="AA793" s="398"/>
      <c r="AB793" s="200"/>
      <c r="AI793" s="459" t="s">
        <v>2826</v>
      </c>
      <c r="AK793" s="465" t="str">
        <f t="shared" si="4"/>
        <v/>
      </c>
      <c r="AN793" s="2" t="s">
        <v>2832</v>
      </c>
      <c r="AP793" s="2" t="s">
        <v>2839</v>
      </c>
      <c r="AR793" s="2" t="s">
        <v>2849</v>
      </c>
    </row>
    <row r="794" spans="1:44" ht="19.95" customHeight="1">
      <c r="A794" s="199"/>
      <c r="B794" s="24"/>
      <c r="C794" s="24"/>
      <c r="D794" s="24"/>
      <c r="E794" s="24"/>
      <c r="F794" s="24"/>
      <c r="G794" s="24"/>
      <c r="H794" s="24"/>
      <c r="I794" s="24"/>
      <c r="J794" s="24"/>
      <c r="K794" s="24"/>
      <c r="L794" s="24"/>
      <c r="M794" s="24"/>
      <c r="N794" s="200"/>
      <c r="O794" s="199"/>
      <c r="P794" s="24"/>
      <c r="Q794" s="24"/>
      <c r="R794" s="398"/>
      <c r="S794" s="398"/>
      <c r="T794" s="398"/>
      <c r="U794" s="398"/>
      <c r="V794" s="398"/>
      <c r="W794" s="398"/>
      <c r="X794" s="398"/>
      <c r="Y794" s="398"/>
      <c r="Z794" s="398"/>
      <c r="AA794" s="398"/>
      <c r="AB794" s="200"/>
      <c r="AI794" s="459" t="s">
        <v>2827</v>
      </c>
      <c r="AK794" s="465" t="str">
        <f t="shared" si="4"/>
        <v/>
      </c>
      <c r="AN794" s="2" t="s">
        <v>2833</v>
      </c>
      <c r="AP794" s="2" t="s">
        <v>2840</v>
      </c>
      <c r="AR794" s="2" t="s">
        <v>2850</v>
      </c>
    </row>
    <row r="795" spans="1:44" ht="19.95" customHeight="1">
      <c r="A795" s="199"/>
      <c r="B795" s="24"/>
      <c r="C795" s="24"/>
      <c r="D795" s="24"/>
      <c r="E795" s="24"/>
      <c r="F795" s="24"/>
      <c r="G795" s="24"/>
      <c r="H795" s="24"/>
      <c r="I795" s="24"/>
      <c r="J795" s="24"/>
      <c r="K795" s="24"/>
      <c r="L795" s="24"/>
      <c r="M795" s="24"/>
      <c r="N795" s="200"/>
      <c r="O795" s="199"/>
      <c r="P795" s="24"/>
      <c r="Q795" s="24"/>
      <c r="R795" s="398"/>
      <c r="S795" s="398"/>
      <c r="T795" s="398"/>
      <c r="U795" s="398"/>
      <c r="V795" s="398"/>
      <c r="W795" s="398"/>
      <c r="X795" s="398"/>
      <c r="Y795" s="398"/>
      <c r="Z795" s="398"/>
      <c r="AA795" s="398"/>
      <c r="AB795" s="200"/>
      <c r="AI795" s="459" t="s">
        <v>2820</v>
      </c>
      <c r="AK795" s="465" t="str">
        <f t="shared" si="4"/>
        <v/>
      </c>
      <c r="AN795" s="2" t="s">
        <v>2834</v>
      </c>
      <c r="AP795" s="2" t="s">
        <v>2841</v>
      </c>
      <c r="AR795" s="2" t="s">
        <v>2851</v>
      </c>
    </row>
    <row r="796" spans="1:44" ht="19.95" customHeight="1">
      <c r="A796" s="199"/>
      <c r="B796" s="24"/>
      <c r="C796" s="24"/>
      <c r="D796" s="24"/>
      <c r="E796" s="24"/>
      <c r="F796" s="24"/>
      <c r="G796" s="24"/>
      <c r="H796" s="24"/>
      <c r="I796" s="24"/>
      <c r="J796" s="24"/>
      <c r="K796" s="24"/>
      <c r="L796" s="24"/>
      <c r="M796" s="24"/>
      <c r="N796" s="200"/>
      <c r="O796" s="199"/>
      <c r="P796" s="24"/>
      <c r="Q796" s="24"/>
      <c r="R796" s="398"/>
      <c r="S796" s="398"/>
      <c r="T796" s="398"/>
      <c r="U796" s="398"/>
      <c r="V796" s="398"/>
      <c r="W796" s="398"/>
      <c r="X796" s="398"/>
      <c r="Y796" s="398"/>
      <c r="Z796" s="398"/>
      <c r="AA796" s="398"/>
      <c r="AB796" s="200"/>
      <c r="AI796" s="459" t="s">
        <v>2828</v>
      </c>
      <c r="AK796" s="465" t="str">
        <f t="shared" si="4"/>
        <v/>
      </c>
      <c r="AN796" s="2" t="s">
        <v>2835</v>
      </c>
      <c r="AP796" s="2" t="s">
        <v>2842</v>
      </c>
      <c r="AR796" s="2" t="s">
        <v>2852</v>
      </c>
    </row>
    <row r="797" spans="1:44" ht="19.95" customHeight="1">
      <c r="A797" s="199"/>
      <c r="B797" s="24"/>
      <c r="C797" s="24"/>
      <c r="D797" s="24"/>
      <c r="E797" s="24"/>
      <c r="F797" s="24"/>
      <c r="G797" s="24"/>
      <c r="H797" s="24"/>
      <c r="I797" s="24"/>
      <c r="J797" s="24"/>
      <c r="K797" s="24"/>
      <c r="L797" s="24"/>
      <c r="M797" s="24"/>
      <c r="N797" s="200"/>
      <c r="O797" s="199"/>
      <c r="P797" s="24"/>
      <c r="Q797" s="24"/>
      <c r="R797" s="398"/>
      <c r="S797" s="398"/>
      <c r="T797" s="398"/>
      <c r="U797" s="398"/>
      <c r="V797" s="398"/>
      <c r="W797" s="398"/>
      <c r="X797" s="398"/>
      <c r="Y797" s="398"/>
      <c r="Z797" s="398"/>
      <c r="AA797" s="398"/>
      <c r="AB797" s="200"/>
    </row>
    <row r="798" spans="1:44" ht="19.95" customHeight="1">
      <c r="A798" s="199"/>
      <c r="B798" s="24"/>
      <c r="C798" s="24"/>
      <c r="D798" s="24"/>
      <c r="E798" s="24"/>
      <c r="F798" s="24"/>
      <c r="G798" s="24"/>
      <c r="H798" s="24"/>
      <c r="I798" s="24"/>
      <c r="J798" s="24"/>
      <c r="K798" s="24"/>
      <c r="L798" s="24"/>
      <c r="M798" s="24"/>
      <c r="N798" s="200"/>
      <c r="O798" s="199"/>
      <c r="P798" s="24"/>
      <c r="Q798" s="24"/>
      <c r="R798" s="398"/>
      <c r="S798" s="398"/>
      <c r="T798" s="398"/>
      <c r="U798" s="398"/>
      <c r="V798" s="398"/>
      <c r="W798" s="398"/>
      <c r="X798" s="398"/>
      <c r="Y798" s="398"/>
      <c r="Z798" s="398"/>
      <c r="AA798" s="398"/>
      <c r="AB798" s="200"/>
      <c r="AI798" s="2" t="s">
        <v>2853</v>
      </c>
      <c r="AK798" s="459" t="s">
        <v>2066</v>
      </c>
    </row>
    <row r="799" spans="1:44" ht="19.95" customHeight="1">
      <c r="A799" s="199"/>
      <c r="B799" s="24"/>
      <c r="C799" s="24"/>
      <c r="D799" s="24"/>
      <c r="E799" s="24"/>
      <c r="F799" s="24"/>
      <c r="G799" s="24"/>
      <c r="H799" s="24"/>
      <c r="I799" s="24"/>
      <c r="J799" s="24"/>
      <c r="K799" s="24"/>
      <c r="L799" s="24"/>
      <c r="M799" s="24"/>
      <c r="N799" s="200"/>
      <c r="O799" s="199"/>
      <c r="P799" s="24"/>
      <c r="Q799" s="24"/>
      <c r="R799" s="398"/>
      <c r="S799" s="398"/>
      <c r="T799" s="398"/>
      <c r="U799" s="398"/>
      <c r="V799" s="398"/>
      <c r="W799" s="398"/>
      <c r="X799" s="398"/>
      <c r="Y799" s="398"/>
      <c r="Z799" s="398"/>
      <c r="AA799" s="398"/>
      <c r="AB799" s="200"/>
      <c r="AI799" s="2" t="s">
        <v>2854</v>
      </c>
      <c r="AK799" s="459" t="s">
        <v>2067</v>
      </c>
    </row>
    <row r="800" spans="1:44" ht="19.95" customHeight="1">
      <c r="A800" s="199"/>
      <c r="B800" s="24"/>
      <c r="C800" s="24"/>
      <c r="D800" s="24"/>
      <c r="E800" s="24"/>
      <c r="F800" s="24"/>
      <c r="G800" s="24"/>
      <c r="H800" s="24"/>
      <c r="I800" s="24"/>
      <c r="J800" s="24"/>
      <c r="K800" s="24"/>
      <c r="L800" s="24"/>
      <c r="M800" s="24"/>
      <c r="N800" s="200"/>
      <c r="O800" s="199"/>
      <c r="P800" s="24"/>
      <c r="Q800" s="24"/>
      <c r="R800" s="398"/>
      <c r="S800" s="398"/>
      <c r="T800" s="398"/>
      <c r="U800" s="398"/>
      <c r="V800" s="398"/>
      <c r="W800" s="398"/>
      <c r="X800" s="398"/>
      <c r="Y800" s="398"/>
      <c r="Z800" s="398"/>
      <c r="AA800" s="398"/>
      <c r="AB800" s="200"/>
      <c r="AI800" s="2" t="s">
        <v>2855</v>
      </c>
      <c r="AK800" s="459" t="s">
        <v>2819</v>
      </c>
    </row>
    <row r="801" spans="1:38" ht="19.95" customHeight="1">
      <c r="A801" s="199"/>
      <c r="B801" s="24"/>
      <c r="C801" s="24"/>
      <c r="D801" s="24"/>
      <c r="E801" s="24"/>
      <c r="F801" s="24"/>
      <c r="G801" s="24"/>
      <c r="H801" s="24"/>
      <c r="I801" s="24"/>
      <c r="J801" s="24"/>
      <c r="K801" s="24"/>
      <c r="L801" s="24"/>
      <c r="M801" s="24"/>
      <c r="N801" s="200"/>
      <c r="O801" s="199"/>
      <c r="P801" s="24"/>
      <c r="Q801" s="24"/>
      <c r="R801" s="398"/>
      <c r="S801" s="398"/>
      <c r="T801" s="398"/>
      <c r="U801" s="398"/>
      <c r="V801" s="398"/>
      <c r="W801" s="398"/>
      <c r="X801" s="398"/>
      <c r="Y801" s="398"/>
      <c r="Z801" s="398"/>
      <c r="AA801" s="398"/>
      <c r="AB801" s="200"/>
    </row>
    <row r="802" spans="1:38" ht="19.95" customHeight="1">
      <c r="A802" s="199"/>
      <c r="B802" s="24"/>
      <c r="C802" s="24"/>
      <c r="D802" s="24"/>
      <c r="E802" s="24"/>
      <c r="F802" s="24"/>
      <c r="G802" s="24"/>
      <c r="H802" s="24"/>
      <c r="I802" s="24"/>
      <c r="J802" s="24"/>
      <c r="K802" s="24"/>
      <c r="L802" s="24"/>
      <c r="M802" s="24"/>
      <c r="N802" s="200"/>
      <c r="O802" s="199"/>
      <c r="P802" s="24"/>
      <c r="Q802" s="24"/>
      <c r="R802" s="398"/>
      <c r="S802" s="398"/>
      <c r="T802" s="398"/>
      <c r="U802" s="398"/>
      <c r="V802" s="398"/>
      <c r="W802" s="398"/>
      <c r="X802" s="398"/>
      <c r="Y802" s="398"/>
      <c r="Z802" s="398"/>
      <c r="AA802" s="398"/>
      <c r="AB802" s="200"/>
    </row>
    <row r="803" spans="1:38" ht="19.95" customHeight="1">
      <c r="A803" s="199"/>
      <c r="B803" s="24"/>
      <c r="C803" s="24"/>
      <c r="D803" s="24"/>
      <c r="E803" s="24"/>
      <c r="F803" s="24"/>
      <c r="G803" s="24"/>
      <c r="H803" s="24"/>
      <c r="I803" s="24"/>
      <c r="J803" s="24"/>
      <c r="K803" s="24"/>
      <c r="L803" s="24"/>
      <c r="M803" s="24"/>
      <c r="N803" s="200"/>
      <c r="O803" s="199"/>
      <c r="P803" s="24"/>
      <c r="Q803" s="24"/>
      <c r="R803" s="398"/>
      <c r="S803" s="398"/>
      <c r="T803" s="398"/>
      <c r="U803" s="398"/>
      <c r="V803" s="398"/>
      <c r="W803" s="398"/>
      <c r="X803" s="398"/>
      <c r="Y803" s="398"/>
      <c r="Z803" s="398"/>
      <c r="AA803" s="398"/>
      <c r="AB803" s="200"/>
      <c r="AK803" s="595" t="str">
        <f>IF(AND(C814=AK798,G814=AI790),AN790,IF(AND(C814=AK798,G814=AI791),AN791,IF(AND(C814=AK798,G814=AI792),AN792,IF(AND(C814=AK798,G814=AI793),AN793,IF(AND(C814=AK798,G814=AI794),AN794,IF(AND(C814=AK798,G814=AI795),AN795,IF(AND(C814=AK798,G814=AI796),AN796,IF(AND(C814=AK799,G814=AI790),AP790,IF(AND(C814=AK799,G814=AI791),AP791,IF(AND(C814=AK799,G814=AI792),AP792,IF(AND(C814=AK799,G814=AI793),AP793,IF(AND(C814=AK799,G814=AI794),AP794,IF(AND(C814=AK799,G814=AI795),AP795,IF(AND(C814=AK799,G814=AI796),AP796,IF(AND(C814=AK800,G814=AI790),AR790,IF(AND(C814=AK800,G814=AI791),AR791,IF(AND(C814=AK800,G814=AI792),AR792,IF(AND(C814=AK800,G814=AI793),AR793,IF(AND(C814=AK800,G814=AI794),AR794,IF(AND(C814=AK800,G814=AI795),AR795,IF(AND(C814=AK800,G814=AI796),AR796,"")))))))))))))))))))))</f>
        <v/>
      </c>
    </row>
    <row r="804" spans="1:38" ht="19.95" customHeight="1">
      <c r="A804" s="199"/>
      <c r="B804" s="24"/>
      <c r="C804" s="24"/>
      <c r="D804" s="24"/>
      <c r="E804" s="24"/>
      <c r="F804" s="24"/>
      <c r="G804" s="24"/>
      <c r="H804" s="24"/>
      <c r="I804" s="24"/>
      <c r="J804" s="24"/>
      <c r="K804" s="24"/>
      <c r="L804" s="24"/>
      <c r="M804" s="24"/>
      <c r="N804" s="200"/>
      <c r="O804" s="199"/>
      <c r="P804" s="24"/>
      <c r="Q804" s="24"/>
      <c r="R804" s="398"/>
      <c r="S804" s="398"/>
      <c r="T804" s="398"/>
      <c r="U804" s="398"/>
      <c r="V804" s="398"/>
      <c r="W804" s="398"/>
      <c r="X804" s="398"/>
      <c r="Y804" s="398"/>
      <c r="Z804" s="398"/>
      <c r="AA804" s="398"/>
      <c r="AB804" s="200"/>
    </row>
    <row r="805" spans="1:38" ht="19.95" customHeight="1">
      <c r="A805" s="199"/>
      <c r="B805" s="601"/>
      <c r="C805" s="601"/>
      <c r="D805" s="601"/>
      <c r="E805" s="601"/>
      <c r="F805" s="601"/>
      <c r="G805" s="601"/>
      <c r="H805" s="601"/>
      <c r="I805" s="601"/>
      <c r="J805" s="601"/>
      <c r="K805" s="601"/>
      <c r="L805" s="601"/>
      <c r="M805" s="601"/>
      <c r="N805" s="200"/>
      <c r="O805" s="199"/>
      <c r="P805" s="24"/>
      <c r="Q805" s="24"/>
      <c r="R805" s="398"/>
      <c r="S805" s="398"/>
      <c r="T805" s="398"/>
      <c r="U805" s="398"/>
      <c r="V805" s="398"/>
      <c r="W805" s="398"/>
      <c r="X805" s="398"/>
      <c r="Y805" s="398"/>
      <c r="Z805" s="398"/>
      <c r="AA805" s="398"/>
      <c r="AB805" s="200"/>
    </row>
    <row r="806" spans="1:38" ht="19.95" customHeight="1">
      <c r="A806" s="199"/>
      <c r="B806" s="601"/>
      <c r="C806" s="601"/>
      <c r="D806" s="601"/>
      <c r="E806" s="601"/>
      <c r="F806" s="601"/>
      <c r="G806" s="601"/>
      <c r="H806" s="601"/>
      <c r="I806" s="601"/>
      <c r="J806" s="601"/>
      <c r="K806" s="601"/>
      <c r="L806" s="601"/>
      <c r="M806" s="601"/>
      <c r="N806" s="200"/>
      <c r="O806" s="199"/>
      <c r="P806" s="24"/>
      <c r="Q806" s="24"/>
      <c r="R806" s="398"/>
      <c r="S806" s="398"/>
      <c r="T806" s="398"/>
      <c r="U806" s="398"/>
      <c r="V806" s="398"/>
      <c r="W806" s="398"/>
      <c r="X806" s="398"/>
      <c r="Y806" s="398"/>
      <c r="Z806" s="398"/>
      <c r="AA806" s="398"/>
      <c r="AB806" s="200"/>
    </row>
    <row r="807" spans="1:38" ht="19.95" customHeight="1">
      <c r="A807" s="199"/>
      <c r="B807" s="601"/>
      <c r="C807" s="601"/>
      <c r="D807" s="601"/>
      <c r="E807" s="601"/>
      <c r="F807" s="601"/>
      <c r="G807" s="601"/>
      <c r="H807" s="601"/>
      <c r="I807" s="601"/>
      <c r="J807" s="601"/>
      <c r="K807" s="601"/>
      <c r="L807" s="601"/>
      <c r="M807" s="601"/>
      <c r="N807" s="200"/>
      <c r="O807" s="199"/>
      <c r="P807" s="24"/>
      <c r="Q807" s="24"/>
      <c r="R807" s="398"/>
      <c r="S807" s="398"/>
      <c r="T807" s="398"/>
      <c r="U807" s="398"/>
      <c r="V807" s="398"/>
      <c r="W807" s="398"/>
      <c r="X807" s="398"/>
      <c r="Y807" s="398"/>
      <c r="Z807" s="398"/>
      <c r="AA807" s="398"/>
      <c r="AB807" s="200"/>
    </row>
    <row r="808" spans="1:38" ht="19.95" customHeight="1">
      <c r="A808" s="199"/>
      <c r="B808" s="601"/>
      <c r="C808" s="601"/>
      <c r="D808" s="601"/>
      <c r="E808" s="601"/>
      <c r="F808" s="601"/>
      <c r="G808" s="601"/>
      <c r="H808" s="601"/>
      <c r="I808" s="601"/>
      <c r="J808" s="601"/>
      <c r="K808" s="601"/>
      <c r="L808" s="601"/>
      <c r="M808" s="601"/>
      <c r="N808" s="200"/>
      <c r="O808" s="199"/>
      <c r="P808" s="24"/>
      <c r="Q808" s="24"/>
      <c r="R808" s="398"/>
      <c r="S808" s="398"/>
      <c r="T808" s="398"/>
      <c r="U808" s="398"/>
      <c r="V808" s="398"/>
      <c r="W808" s="398"/>
      <c r="X808" s="398"/>
      <c r="Y808" s="398"/>
      <c r="Z808" s="398"/>
      <c r="AA808" s="398"/>
      <c r="AB808" s="200"/>
    </row>
    <row r="809" spans="1:38" ht="19.95" customHeight="1">
      <c r="A809" s="199"/>
      <c r="B809" s="601"/>
      <c r="C809" s="601"/>
      <c r="D809" s="601"/>
      <c r="E809" s="601"/>
      <c r="F809" s="601"/>
      <c r="G809" s="601"/>
      <c r="H809" s="601"/>
      <c r="I809" s="601"/>
      <c r="J809" s="601"/>
      <c r="K809" s="601"/>
      <c r="L809" s="601"/>
      <c r="M809" s="601"/>
      <c r="N809" s="200"/>
      <c r="O809" s="199"/>
      <c r="P809" s="24"/>
      <c r="Q809" s="24"/>
      <c r="R809" s="398"/>
      <c r="S809" s="398"/>
      <c r="T809" s="398"/>
      <c r="U809" s="398"/>
      <c r="V809" s="398"/>
      <c r="W809" s="398"/>
      <c r="X809" s="398"/>
      <c r="Y809" s="398"/>
      <c r="Z809" s="398"/>
      <c r="AA809" s="398"/>
      <c r="AB809" s="200"/>
    </row>
    <row r="810" spans="1:38" ht="19.95" customHeight="1">
      <c r="A810" s="199"/>
      <c r="B810" s="601"/>
      <c r="C810" s="601"/>
      <c r="D810" s="601"/>
      <c r="E810" s="601"/>
      <c r="F810" s="601"/>
      <c r="G810" s="601"/>
      <c r="H810" s="601"/>
      <c r="I810" s="601"/>
      <c r="J810" s="601"/>
      <c r="K810" s="601"/>
      <c r="L810" s="601"/>
      <c r="M810" s="601"/>
      <c r="N810" s="200"/>
      <c r="O810" s="199"/>
      <c r="P810" s="24"/>
      <c r="Q810" s="24"/>
      <c r="R810" s="398"/>
      <c r="S810" s="398"/>
      <c r="T810" s="398"/>
      <c r="U810" s="398"/>
      <c r="V810" s="398"/>
      <c r="W810" s="398"/>
      <c r="X810" s="398"/>
      <c r="Y810" s="398"/>
      <c r="Z810" s="398"/>
      <c r="AA810" s="398"/>
      <c r="AB810" s="200"/>
    </row>
    <row r="811" spans="1:38" ht="19.95" customHeight="1">
      <c r="A811" s="199"/>
      <c r="B811" s="601"/>
      <c r="C811" s="601"/>
      <c r="D811" s="601"/>
      <c r="E811" s="601"/>
      <c r="F811" s="601"/>
      <c r="G811" s="601"/>
      <c r="H811" s="601"/>
      <c r="I811" s="601"/>
      <c r="J811" s="601"/>
      <c r="K811" s="601"/>
      <c r="L811" s="601"/>
      <c r="M811" s="601"/>
      <c r="N811" s="200"/>
      <c r="O811" s="199"/>
      <c r="P811" s="24"/>
      <c r="Q811" s="24"/>
      <c r="R811" s="398"/>
      <c r="S811" s="398"/>
      <c r="T811" s="398"/>
      <c r="U811" s="398"/>
      <c r="V811" s="398"/>
      <c r="W811" s="398"/>
      <c r="X811" s="398"/>
      <c r="Y811" s="398"/>
      <c r="Z811" s="398"/>
      <c r="AA811" s="398"/>
      <c r="AB811" s="200"/>
    </row>
    <row r="812" spans="1:38" ht="19.95" customHeight="1">
      <c r="A812" s="199"/>
      <c r="B812" s="601"/>
      <c r="C812" s="601"/>
      <c r="D812" s="601"/>
      <c r="E812" s="601"/>
      <c r="F812" s="601"/>
      <c r="G812" s="601"/>
      <c r="H812" s="601"/>
      <c r="I812" s="601"/>
      <c r="J812" s="601"/>
      <c r="K812" s="601"/>
      <c r="L812" s="601"/>
      <c r="M812" s="601"/>
      <c r="N812" s="200"/>
      <c r="O812" s="199"/>
      <c r="P812" s="24"/>
      <c r="Q812" s="24"/>
      <c r="R812" s="398"/>
      <c r="S812" s="398"/>
      <c r="T812" s="398"/>
      <c r="U812" s="398"/>
      <c r="V812" s="398"/>
      <c r="W812" s="398"/>
      <c r="X812" s="398"/>
      <c r="Y812" s="398"/>
      <c r="Z812" s="398"/>
      <c r="AA812" s="398"/>
      <c r="AB812" s="200"/>
    </row>
    <row r="813" spans="1:38" ht="4.95" customHeight="1" thickBot="1">
      <c r="A813" s="199"/>
      <c r="B813" s="601"/>
      <c r="C813" s="601"/>
      <c r="D813" s="601"/>
      <c r="E813" s="601"/>
      <c r="F813" s="601"/>
      <c r="G813" s="601"/>
      <c r="H813" s="601"/>
      <c r="I813" s="601"/>
      <c r="J813" s="601"/>
      <c r="K813" s="601"/>
      <c r="L813" s="601"/>
      <c r="M813" s="601"/>
      <c r="N813" s="200"/>
      <c r="O813" s="199"/>
      <c r="P813" s="24"/>
      <c r="Q813" s="24"/>
      <c r="R813" s="398"/>
      <c r="S813" s="398"/>
      <c r="T813" s="398"/>
      <c r="U813" s="398"/>
      <c r="V813" s="398"/>
      <c r="W813" s="398"/>
      <c r="X813" s="398"/>
      <c r="Y813" s="398"/>
      <c r="Z813" s="398"/>
      <c r="AA813" s="398"/>
      <c r="AB813" s="200"/>
    </row>
    <row r="814" spans="1:38" ht="25.05" customHeight="1" thickBot="1">
      <c r="A814" s="199"/>
      <c r="B814" s="732" t="s">
        <v>2821</v>
      </c>
      <c r="C814" s="1324"/>
      <c r="D814" s="1326"/>
      <c r="E814" s="601"/>
      <c r="F814" s="732" t="s">
        <v>2822</v>
      </c>
      <c r="G814" s="1324"/>
      <c r="H814" s="1325"/>
      <c r="I814" s="1325"/>
      <c r="J814" s="1325"/>
      <c r="K814" s="1325"/>
      <c r="L814" s="1325"/>
      <c r="M814" s="1326"/>
      <c r="N814" s="200"/>
      <c r="O814" s="199"/>
      <c r="P814" s="24"/>
      <c r="Q814" s="24"/>
      <c r="R814" s="398"/>
      <c r="S814" s="398"/>
      <c r="T814" s="398"/>
      <c r="U814" s="398"/>
      <c r="V814" s="398"/>
      <c r="W814" s="398"/>
      <c r="X814" s="398"/>
      <c r="Y814" s="398"/>
      <c r="Z814" s="398"/>
      <c r="AA814" s="398"/>
      <c r="AB814" s="200"/>
      <c r="AI814" s="459" t="str">
        <f>CONCATENATE(AK814,AL814,AM814,AN814,AO814,AP814,AK815,AL815,AM815,AN815,AO815,AP815,AW814)</f>
        <v xml:space="preserve"> The point here is to being responsive to their needs. Along the way, we assess their responsiveness to your impacted needs. We rate their legitimacy. We grab the power.</v>
      </c>
      <c r="AK814" s="409" t="str">
        <f>AK803</f>
        <v/>
      </c>
      <c r="AL814" s="465" t="s">
        <v>2856</v>
      </c>
    </row>
    <row r="815" spans="1:38" ht="4.95" customHeight="1">
      <c r="A815" s="199"/>
      <c r="B815" s="603"/>
      <c r="C815" s="603"/>
      <c r="D815" s="603"/>
      <c r="E815" s="603"/>
      <c r="F815" s="603"/>
      <c r="G815" s="603"/>
      <c r="H815" s="603"/>
      <c r="I815" s="603"/>
      <c r="J815" s="603"/>
      <c r="K815" s="603"/>
      <c r="L815" s="603"/>
      <c r="M815" s="603"/>
      <c r="N815" s="200"/>
      <c r="O815" s="199"/>
      <c r="P815" s="24"/>
      <c r="Q815" s="24"/>
      <c r="R815" s="398"/>
      <c r="S815" s="398"/>
      <c r="T815" s="398"/>
      <c r="U815" s="398"/>
      <c r="V815" s="398"/>
      <c r="W815" s="398"/>
      <c r="X815" s="398"/>
      <c r="Y815" s="398"/>
      <c r="Z815" s="398"/>
      <c r="AA815" s="398"/>
      <c r="AB815" s="200"/>
    </row>
    <row r="816" spans="1:38" ht="25.05" customHeight="1">
      <c r="A816" s="199"/>
      <c r="B816" s="1299" t="str">
        <f>AI816</f>
        <v xml:space="preserve">In the above white field on the left, select Impactor type. Then select a possible reply in the dropdown list to its right. You grow when you can freely speak the truth of your needs to such power.
</v>
      </c>
      <c r="C816" s="1299"/>
      <c r="D816" s="1299"/>
      <c r="E816" s="1299"/>
      <c r="F816" s="1299"/>
      <c r="G816" s="1299"/>
      <c r="H816" s="1299"/>
      <c r="I816" s="1299"/>
      <c r="J816" s="1299"/>
      <c r="K816" s="1299"/>
      <c r="L816" s="1299"/>
      <c r="M816" s="1299"/>
      <c r="N816" s="200"/>
      <c r="O816" s="199"/>
      <c r="P816" s="24"/>
      <c r="Q816" s="24"/>
      <c r="R816" s="398"/>
      <c r="S816" s="398"/>
      <c r="T816" s="398"/>
      <c r="U816" s="398"/>
      <c r="V816" s="398"/>
      <c r="W816" s="398"/>
      <c r="X816" s="398"/>
      <c r="Y816" s="398"/>
      <c r="Z816" s="398"/>
      <c r="AA816" s="398"/>
      <c r="AB816" s="200"/>
      <c r="AI816" s="2" t="str">
        <f>IF(OR(C814="",G814=""),AK816,AI814)</f>
        <v xml:space="preserve">In the above white field on the left, select Impactor type. Then select a possible reply in the dropdown list to its right. You grow when you can freely speak the truth of your needs to such power.
</v>
      </c>
      <c r="AK816" s="46" t="s">
        <v>2857</v>
      </c>
    </row>
    <row r="817" spans="1:43" ht="25.05" customHeight="1">
      <c r="A817" s="199"/>
      <c r="B817" s="1299"/>
      <c r="C817" s="1299"/>
      <c r="D817" s="1299"/>
      <c r="E817" s="1299"/>
      <c r="F817" s="1299"/>
      <c r="G817" s="1299"/>
      <c r="H817" s="1299"/>
      <c r="I817" s="1299"/>
      <c r="J817" s="1299"/>
      <c r="K817" s="1299"/>
      <c r="L817" s="1299"/>
      <c r="M817" s="1299"/>
      <c r="N817" s="200"/>
      <c r="O817" s="199"/>
      <c r="P817" s="24"/>
      <c r="Q817" s="24"/>
      <c r="R817" s="398"/>
      <c r="S817" s="398"/>
      <c r="T817" s="398"/>
      <c r="U817" s="398"/>
      <c r="V817" s="398"/>
      <c r="W817" s="398"/>
      <c r="X817" s="398"/>
      <c r="Y817" s="398"/>
      <c r="Z817" s="398"/>
      <c r="AA817" s="398"/>
      <c r="AB817" s="200"/>
    </row>
    <row r="818" spans="1:43" ht="4.95" customHeight="1">
      <c r="A818" s="199"/>
      <c r="B818" s="24"/>
      <c r="C818" s="24"/>
      <c r="D818" s="24"/>
      <c r="E818" s="24"/>
      <c r="F818" s="24"/>
      <c r="G818" s="24"/>
      <c r="H818" s="24"/>
      <c r="I818" s="24"/>
      <c r="J818" s="24"/>
      <c r="K818" s="24"/>
      <c r="L818" s="24"/>
      <c r="M818" s="24"/>
      <c r="N818" s="200"/>
      <c r="O818" s="199"/>
      <c r="P818" s="24"/>
      <c r="Q818" s="24"/>
      <c r="R818" s="398"/>
      <c r="S818" s="398"/>
      <c r="T818" s="398"/>
      <c r="U818" s="398"/>
      <c r="V818" s="398"/>
      <c r="W818" s="398"/>
      <c r="X818" s="398"/>
      <c r="Y818" s="398"/>
      <c r="Z818" s="398"/>
      <c r="AA818" s="398"/>
      <c r="AB818" s="200"/>
    </row>
    <row r="819" spans="1:43" ht="30" customHeight="1">
      <c r="A819" s="210" t="s">
        <v>1148</v>
      </c>
      <c r="B819" s="399" t="s">
        <v>3151</v>
      </c>
      <c r="C819" s="582"/>
      <c r="D819" s="582"/>
      <c r="E819" s="583"/>
      <c r="F819" s="584"/>
      <c r="G819" s="582"/>
      <c r="H819" s="582"/>
      <c r="I819" s="582"/>
      <c r="J819" s="582"/>
      <c r="K819" s="582"/>
      <c r="L819" s="373"/>
      <c r="M819" s="373"/>
      <c r="N819" s="211" t="s">
        <v>1149</v>
      </c>
      <c r="O819" s="372"/>
      <c r="P819" s="374"/>
      <c r="Q819" s="373"/>
      <c r="R819" s="373"/>
      <c r="S819" s="373"/>
      <c r="T819" s="373"/>
      <c r="U819" s="373"/>
      <c r="V819" s="373"/>
      <c r="W819" s="373"/>
      <c r="X819" s="373"/>
      <c r="Y819" s="373"/>
      <c r="Z819" s="373"/>
      <c r="AA819" s="373"/>
      <c r="AB819" s="211" t="s">
        <v>1149</v>
      </c>
    </row>
    <row r="820" spans="1:43" ht="10.050000000000001" customHeight="1">
      <c r="A820" s="199"/>
      <c r="B820" s="24"/>
      <c r="C820" s="24"/>
      <c r="D820" s="24"/>
      <c r="E820" s="24"/>
      <c r="F820" s="24"/>
      <c r="G820" s="24"/>
      <c r="H820" s="24"/>
      <c r="I820" s="24"/>
      <c r="J820" s="24"/>
      <c r="K820" s="24"/>
      <c r="L820" s="24"/>
      <c r="M820" s="24"/>
      <c r="N820" s="200"/>
      <c r="O820" s="199"/>
      <c r="P820" s="24"/>
      <c r="Q820" s="24"/>
      <c r="R820" s="398"/>
      <c r="S820" s="398"/>
      <c r="T820" s="398"/>
      <c r="U820" s="398"/>
      <c r="V820" s="398"/>
      <c r="W820" s="398"/>
      <c r="X820" s="398"/>
      <c r="Y820" s="398"/>
      <c r="Z820" s="398"/>
      <c r="AA820" s="398"/>
      <c r="AB820" s="200"/>
    </row>
    <row r="821" spans="1:43" ht="19.95" customHeight="1">
      <c r="A821" s="199"/>
      <c r="B821" s="719" t="s">
        <v>2815</v>
      </c>
      <c r="C821" s="24"/>
      <c r="D821" s="24"/>
      <c r="E821" s="24"/>
      <c r="F821" s="24"/>
      <c r="G821" s="24"/>
      <c r="H821" s="24"/>
      <c r="I821" s="24"/>
      <c r="J821" s="24"/>
      <c r="K821" s="24"/>
      <c r="L821" s="24"/>
      <c r="M821" s="24"/>
      <c r="N821" s="200"/>
      <c r="O821" s="199"/>
      <c r="P821" s="24"/>
      <c r="Q821" s="24"/>
      <c r="R821" s="398"/>
      <c r="S821" s="398"/>
      <c r="T821" s="398"/>
      <c r="U821" s="398"/>
      <c r="V821" s="398"/>
      <c r="W821" s="398"/>
      <c r="X821" s="398"/>
      <c r="Y821" s="398"/>
      <c r="Z821" s="398"/>
      <c r="AA821" s="398"/>
      <c r="AB821" s="200"/>
      <c r="AI821" s="459" t="str">
        <f>CONCATENATE(AK821,AL821)</f>
        <v/>
      </c>
      <c r="AK821" s="409"/>
      <c r="AO821" s="37" t="s">
        <v>2858</v>
      </c>
      <c r="AP821" s="37" t="s">
        <v>2859</v>
      </c>
      <c r="AQ821" s="37" t="s">
        <v>2860</v>
      </c>
    </row>
    <row r="822" spans="1:43" ht="10.050000000000001" customHeight="1">
      <c r="A822" s="199"/>
      <c r="B822" s="588"/>
      <c r="C822" s="24"/>
      <c r="D822" s="24"/>
      <c r="E822" s="24"/>
      <c r="F822" s="24"/>
      <c r="G822" s="24"/>
      <c r="H822" s="24"/>
      <c r="I822" s="24"/>
      <c r="J822" s="24"/>
      <c r="K822" s="24"/>
      <c r="L822" s="24"/>
      <c r="M822" s="24"/>
      <c r="N822" s="200"/>
      <c r="O822" s="199"/>
      <c r="P822" s="24"/>
      <c r="Q822" s="24"/>
      <c r="R822" s="398"/>
      <c r="S822" s="398"/>
      <c r="T822" s="398"/>
      <c r="U822" s="398"/>
      <c r="V822" s="398"/>
      <c r="W822" s="398"/>
      <c r="X822" s="398"/>
      <c r="Y822" s="398"/>
      <c r="Z822" s="398"/>
      <c r="AA822" s="398"/>
      <c r="AB822" s="200"/>
    </row>
    <row r="823" spans="1:43" ht="19.05" customHeight="1">
      <c r="A823" s="199"/>
      <c r="B823" s="588"/>
      <c r="C823" s="24"/>
      <c r="D823" s="24"/>
      <c r="E823" s="601"/>
      <c r="F823" s="601"/>
      <c r="G823" s="601"/>
      <c r="H823" s="601"/>
      <c r="I823" s="601"/>
      <c r="J823" s="601"/>
      <c r="K823" s="601"/>
      <c r="L823" s="601"/>
      <c r="M823" s="601"/>
      <c r="N823" s="200"/>
      <c r="O823" s="199"/>
      <c r="P823" s="24"/>
      <c r="Q823" s="24"/>
      <c r="R823" s="398"/>
      <c r="S823" s="398"/>
      <c r="T823" s="398"/>
      <c r="U823" s="398"/>
      <c r="V823" s="398"/>
      <c r="W823" s="398"/>
      <c r="X823" s="398"/>
      <c r="Y823" s="398"/>
      <c r="Z823" s="398"/>
      <c r="AA823" s="398"/>
      <c r="AB823" s="200"/>
      <c r="AO823" s="2" t="s">
        <v>2900</v>
      </c>
      <c r="AP823" s="2" t="s">
        <v>2875</v>
      </c>
      <c r="AQ823" s="2" t="s">
        <v>2881</v>
      </c>
    </row>
    <row r="824" spans="1:43" ht="19.05" customHeight="1">
      <c r="A824" s="199"/>
      <c r="B824" s="24"/>
      <c r="C824" s="24"/>
      <c r="D824" s="24"/>
      <c r="E824" s="601"/>
      <c r="F824" s="601"/>
      <c r="G824" s="601"/>
      <c r="H824" s="601"/>
      <c r="I824" s="601"/>
      <c r="J824" s="601"/>
      <c r="K824" s="601"/>
      <c r="L824" s="601"/>
      <c r="M824" s="601"/>
      <c r="N824" s="200"/>
      <c r="O824" s="199"/>
      <c r="P824" s="24"/>
      <c r="Q824" s="24"/>
      <c r="R824" s="398"/>
      <c r="S824" s="398"/>
      <c r="T824" s="398"/>
      <c r="U824" s="398"/>
      <c r="V824" s="398"/>
      <c r="W824" s="398"/>
      <c r="X824" s="398"/>
      <c r="Y824" s="398"/>
      <c r="Z824" s="398"/>
      <c r="AA824" s="398"/>
      <c r="AB824" s="200"/>
      <c r="AO824" s="2" t="s">
        <v>2861</v>
      </c>
      <c r="AP824" s="2" t="s">
        <v>2876</v>
      </c>
      <c r="AQ824" s="2" t="s">
        <v>2882</v>
      </c>
    </row>
    <row r="825" spans="1:43" ht="19.05" customHeight="1">
      <c r="A825" s="199"/>
      <c r="B825" s="24"/>
      <c r="C825" s="24"/>
      <c r="D825" s="24"/>
      <c r="E825" s="601"/>
      <c r="F825" s="601"/>
      <c r="G825" s="601"/>
      <c r="H825" s="601"/>
      <c r="I825" s="601"/>
      <c r="J825" s="601"/>
      <c r="K825" s="601"/>
      <c r="L825" s="601"/>
      <c r="M825" s="601"/>
      <c r="N825" s="200"/>
      <c r="O825" s="199"/>
      <c r="P825" s="24"/>
      <c r="Q825" s="24"/>
      <c r="R825" s="398"/>
      <c r="S825" s="398"/>
      <c r="T825" s="398"/>
      <c r="U825" s="398"/>
      <c r="V825" s="398"/>
      <c r="W825" s="398"/>
      <c r="X825" s="398"/>
      <c r="Y825" s="398"/>
      <c r="Z825" s="398"/>
      <c r="AA825" s="398"/>
      <c r="AB825" s="200"/>
      <c r="AO825" s="2" t="s">
        <v>2862</v>
      </c>
      <c r="AP825" s="2" t="s">
        <v>2877</v>
      </c>
      <c r="AQ825" s="2" t="s">
        <v>2883</v>
      </c>
    </row>
    <row r="826" spans="1:43" ht="19.05" customHeight="1">
      <c r="A826" s="199"/>
      <c r="B826" s="24"/>
      <c r="C826" s="24"/>
      <c r="D826" s="24"/>
      <c r="E826" s="601"/>
      <c r="F826" s="601"/>
      <c r="G826" s="601"/>
      <c r="H826" s="601"/>
      <c r="I826" s="601"/>
      <c r="J826" s="601"/>
      <c r="K826" s="601"/>
      <c r="L826" s="601"/>
      <c r="M826" s="601"/>
      <c r="N826" s="200"/>
      <c r="O826" s="199"/>
      <c r="P826" s="24"/>
      <c r="Q826" s="24"/>
      <c r="R826" s="398"/>
      <c r="S826" s="398"/>
      <c r="T826" s="398"/>
      <c r="U826" s="398"/>
      <c r="V826" s="398"/>
      <c r="W826" s="398"/>
      <c r="X826" s="398"/>
      <c r="Y826" s="398"/>
      <c r="Z826" s="398"/>
      <c r="AA826" s="398"/>
      <c r="AB826" s="200"/>
      <c r="AO826" s="2" t="s">
        <v>2863</v>
      </c>
      <c r="AP826" s="2" t="s">
        <v>2878</v>
      </c>
      <c r="AQ826" s="2" t="s">
        <v>2884</v>
      </c>
    </row>
    <row r="827" spans="1:43" ht="19.05" customHeight="1">
      <c r="A827" s="199"/>
      <c r="B827" s="24"/>
      <c r="C827" s="24"/>
      <c r="D827" s="24"/>
      <c r="E827" s="601"/>
      <c r="F827" s="601"/>
      <c r="G827" s="601"/>
      <c r="H827" s="601"/>
      <c r="I827" s="601"/>
      <c r="J827" s="601"/>
      <c r="K827" s="601"/>
      <c r="L827" s="601"/>
      <c r="M827" s="601"/>
      <c r="N827" s="200"/>
      <c r="O827" s="199"/>
      <c r="P827" s="24"/>
      <c r="Q827" s="24"/>
      <c r="R827" s="398"/>
      <c r="S827" s="398"/>
      <c r="T827" s="398"/>
      <c r="U827" s="398"/>
      <c r="V827" s="398"/>
      <c r="W827" s="398"/>
      <c r="X827" s="398"/>
      <c r="Y827" s="398"/>
      <c r="Z827" s="398"/>
      <c r="AA827" s="398"/>
      <c r="AB827" s="200"/>
      <c r="AO827" s="2" t="s">
        <v>2899</v>
      </c>
      <c r="AP827" s="2" t="s">
        <v>2879</v>
      </c>
      <c r="AQ827" s="2" t="s">
        <v>2885</v>
      </c>
    </row>
    <row r="828" spans="1:43" ht="25.05" customHeight="1">
      <c r="A828" s="199"/>
      <c r="B828" s="392" t="s">
        <v>2915</v>
      </c>
      <c r="C828" s="24"/>
      <c r="D828" s="24"/>
      <c r="E828" s="601"/>
      <c r="F828" s="601"/>
      <c r="G828" s="601"/>
      <c r="H828" s="601"/>
      <c r="I828" s="601"/>
      <c r="J828" s="601"/>
      <c r="K828" s="601"/>
      <c r="L828" s="601"/>
      <c r="M828" s="601"/>
      <c r="N828" s="200"/>
      <c r="O828" s="199"/>
      <c r="P828" s="24"/>
      <c r="Q828" s="24"/>
      <c r="R828" s="398"/>
      <c r="S828" s="398"/>
      <c r="T828" s="398"/>
      <c r="U828" s="398"/>
      <c r="V828" s="398"/>
      <c r="W828" s="398"/>
      <c r="X828" s="398"/>
      <c r="Y828" s="398"/>
      <c r="Z828" s="398"/>
      <c r="AA828" s="398"/>
      <c r="AB828" s="200"/>
      <c r="AO828" s="2" t="s">
        <v>2864</v>
      </c>
      <c r="AP828" s="2" t="s">
        <v>2947</v>
      </c>
      <c r="AQ828" s="2" t="s">
        <v>2886</v>
      </c>
    </row>
    <row r="829" spans="1:43" ht="25.05" customHeight="1">
      <c r="A829" s="199"/>
      <c r="B829" s="601" t="s">
        <v>2936</v>
      </c>
      <c r="C829" s="24"/>
      <c r="D829" s="24"/>
      <c r="E829" s="24"/>
      <c r="F829" s="24"/>
      <c r="G829" s="24"/>
      <c r="H829" s="24"/>
      <c r="I829" s="24"/>
      <c r="J829" s="24"/>
      <c r="K829" s="24"/>
      <c r="L829" s="24"/>
      <c r="M829" s="24"/>
      <c r="N829" s="200"/>
      <c r="O829" s="199"/>
      <c r="P829" s="24"/>
      <c r="Q829" s="24"/>
      <c r="R829" s="398"/>
      <c r="S829" s="398"/>
      <c r="T829" s="398"/>
      <c r="U829" s="398"/>
      <c r="V829" s="398"/>
      <c r="W829" s="398"/>
      <c r="X829" s="398"/>
      <c r="Y829" s="398"/>
      <c r="Z829" s="398"/>
      <c r="AA829" s="398"/>
      <c r="AB829" s="200"/>
      <c r="AO829" s="2" t="s">
        <v>2865</v>
      </c>
      <c r="AP829" s="2" t="s">
        <v>2946</v>
      </c>
      <c r="AQ829" s="2" t="s">
        <v>2887</v>
      </c>
    </row>
    <row r="830" spans="1:43" ht="19.95" customHeight="1" thickBot="1">
      <c r="A830" s="199"/>
      <c r="B830" s="730" t="s">
        <v>2818</v>
      </c>
      <c r="C830" s="731"/>
      <c r="D830" s="731"/>
      <c r="E830" s="731"/>
      <c r="F830" s="731"/>
      <c r="G830" s="731"/>
      <c r="H830" s="731"/>
      <c r="I830" s="731"/>
      <c r="J830" s="731"/>
      <c r="K830" s="731"/>
      <c r="L830" s="731"/>
      <c r="M830" s="731"/>
      <c r="N830" s="200"/>
      <c r="O830" s="199"/>
      <c r="P830" s="24"/>
      <c r="Q830" s="24"/>
      <c r="R830" s="398"/>
      <c r="S830" s="398"/>
      <c r="T830" s="398"/>
      <c r="U830" s="398"/>
      <c r="V830" s="398"/>
      <c r="W830" s="398"/>
      <c r="X830" s="398"/>
      <c r="Y830" s="398"/>
      <c r="Z830" s="398"/>
      <c r="AA830" s="398"/>
      <c r="AB830" s="200"/>
      <c r="AO830" s="2" t="s">
        <v>2866</v>
      </c>
      <c r="AP830" s="2" t="s">
        <v>2948</v>
      </c>
      <c r="AQ830" s="2" t="s">
        <v>2888</v>
      </c>
    </row>
    <row r="831" spans="1:43" ht="19.95" customHeight="1" thickBot="1">
      <c r="A831" s="199"/>
      <c r="B831" s="1363"/>
      <c r="C831" s="1364"/>
      <c r="D831" s="1364"/>
      <c r="E831" s="1364"/>
      <c r="F831" s="1364"/>
      <c r="G831" s="1364"/>
      <c r="H831" s="1364"/>
      <c r="I831" s="1364"/>
      <c r="J831" s="1364"/>
      <c r="K831" s="1364"/>
      <c r="L831" s="1364"/>
      <c r="M831" s="1365"/>
      <c r="N831" s="200"/>
      <c r="O831" s="199"/>
      <c r="P831" s="24"/>
      <c r="Q831" s="24"/>
      <c r="R831" s="398"/>
      <c r="S831" s="398"/>
      <c r="T831" s="398"/>
      <c r="U831" s="398"/>
      <c r="V831" s="398"/>
      <c r="W831" s="398"/>
      <c r="X831" s="398"/>
      <c r="Y831" s="398"/>
      <c r="Z831" s="398"/>
      <c r="AA831" s="398"/>
      <c r="AB831" s="200"/>
      <c r="AI831" s="459" t="str">
        <f>CONCATENATE(AK831,AL831,AM831)</f>
        <v xml:space="preserve">If you continue to 0, you will find it next to impossible to resolve needs. By speaking truth to power, you break the spell of such avoidance. </v>
      </c>
      <c r="AK831" s="465" t="s">
        <v>2909</v>
      </c>
      <c r="AL831" s="2">
        <f>B831</f>
        <v>0</v>
      </c>
      <c r="AM831" s="465" t="s">
        <v>2910</v>
      </c>
      <c r="AO831" s="2" t="s">
        <v>2867</v>
      </c>
      <c r="AP831" s="2" t="s">
        <v>2935</v>
      </c>
      <c r="AQ831" s="2" t="s">
        <v>2889</v>
      </c>
    </row>
    <row r="832" spans="1:43" ht="19.95" customHeight="1">
      <c r="A832" s="199"/>
      <c r="B832" s="1366" t="str">
        <f>AI832</f>
        <v>You typically opt for avoidance unconsciously. This process illuminates those options, to compel Impactors to realize the consequences of their coercive influence.</v>
      </c>
      <c r="C832" s="1366"/>
      <c r="D832" s="1366"/>
      <c r="E832" s="1366"/>
      <c r="F832" s="1366"/>
      <c r="G832" s="1366"/>
      <c r="H832" s="1366"/>
      <c r="I832" s="1366"/>
      <c r="J832" s="1366"/>
      <c r="K832" s="1366"/>
      <c r="L832" s="1366"/>
      <c r="M832" s="1366"/>
      <c r="N832" s="200"/>
      <c r="O832" s="199"/>
      <c r="P832" s="24"/>
      <c r="Q832" s="24"/>
      <c r="R832" s="398"/>
      <c r="S832" s="398"/>
      <c r="T832" s="398"/>
      <c r="U832" s="398"/>
      <c r="V832" s="398"/>
      <c r="W832" s="398"/>
      <c r="X832" s="398"/>
      <c r="Y832" s="398"/>
      <c r="Z832" s="398"/>
      <c r="AA832" s="398"/>
      <c r="AB832" s="200"/>
      <c r="AI832" s="459" t="str">
        <f>IF(B831="",AK832,AI831)</f>
        <v>You typically opt for avoidance unconsciously. This process illuminates those options, to compel Impactors to realize the consequences of their coercive influence.</v>
      </c>
      <c r="AK832" s="734" t="s">
        <v>2896</v>
      </c>
      <c r="AO832" s="2" t="s">
        <v>2868</v>
      </c>
      <c r="AP832" s="2" t="s">
        <v>2880</v>
      </c>
      <c r="AQ832" s="2" t="s">
        <v>2890</v>
      </c>
    </row>
    <row r="833" spans="1:51" ht="19.95" customHeight="1">
      <c r="A833" s="199"/>
      <c r="B833" s="1277"/>
      <c r="C833" s="1277"/>
      <c r="D833" s="1277"/>
      <c r="E833" s="1277"/>
      <c r="F833" s="1277"/>
      <c r="G833" s="1277"/>
      <c r="H833" s="1277"/>
      <c r="I833" s="1277"/>
      <c r="J833" s="1277"/>
      <c r="K833" s="1277"/>
      <c r="L833" s="1277"/>
      <c r="M833" s="1277"/>
      <c r="N833" s="200"/>
      <c r="O833" s="199"/>
      <c r="P833" s="24"/>
      <c r="Q833" s="24"/>
      <c r="R833" s="398"/>
      <c r="S833" s="398"/>
      <c r="T833" s="398"/>
      <c r="U833" s="398"/>
      <c r="V833" s="398"/>
      <c r="W833" s="398"/>
      <c r="X833" s="398"/>
      <c r="Y833" s="398"/>
      <c r="Z833" s="398"/>
      <c r="AA833" s="398"/>
      <c r="AB833" s="200"/>
      <c r="AO833" s="2" t="s">
        <v>2869</v>
      </c>
      <c r="AP833" s="2" t="s">
        <v>2905</v>
      </c>
      <c r="AQ833" s="2" t="s">
        <v>2891</v>
      </c>
    </row>
    <row r="834" spans="1:51" ht="19.95" customHeight="1" thickBot="1">
      <c r="A834" s="199"/>
      <c r="B834" s="728" t="s">
        <v>2817</v>
      </c>
      <c r="C834" s="729"/>
      <c r="D834" s="729"/>
      <c r="E834" s="729"/>
      <c r="F834" s="729"/>
      <c r="G834" s="729"/>
      <c r="H834" s="729"/>
      <c r="I834" s="729"/>
      <c r="J834" s="729"/>
      <c r="K834" s="729"/>
      <c r="L834" s="729"/>
      <c r="M834" s="729"/>
      <c r="N834" s="200"/>
      <c r="O834" s="199"/>
      <c r="P834" s="24"/>
      <c r="Q834" s="24"/>
      <c r="R834" s="398"/>
      <c r="S834" s="398"/>
      <c r="T834" s="398"/>
      <c r="U834" s="398"/>
      <c r="V834" s="398"/>
      <c r="W834" s="398"/>
      <c r="X834" s="398"/>
      <c r="Y834" s="398"/>
      <c r="Z834" s="398"/>
      <c r="AA834" s="398"/>
      <c r="AB834" s="200"/>
      <c r="AO834" s="2" t="s">
        <v>2870</v>
      </c>
      <c r="AP834" s="2" t="s">
        <v>2906</v>
      </c>
      <c r="AQ834" s="2" t="s">
        <v>2892</v>
      </c>
      <c r="AS834" s="139"/>
      <c r="AT834" s="139"/>
      <c r="AU834" s="139"/>
      <c r="AV834" s="139"/>
      <c r="AW834" s="139"/>
      <c r="AX834" s="139"/>
      <c r="AY834" s="139"/>
    </row>
    <row r="835" spans="1:51" ht="19.95" customHeight="1" thickBot="1">
      <c r="A835" s="199"/>
      <c r="B835" s="1363"/>
      <c r="C835" s="1364"/>
      <c r="D835" s="1364"/>
      <c r="E835" s="1364"/>
      <c r="F835" s="1364"/>
      <c r="G835" s="1364"/>
      <c r="H835" s="1364"/>
      <c r="I835" s="1364"/>
      <c r="J835" s="1364"/>
      <c r="K835" s="1364"/>
      <c r="L835" s="1364"/>
      <c r="M835" s="1365"/>
      <c r="N835" s="200"/>
      <c r="O835" s="199"/>
      <c r="P835" s="24"/>
      <c r="Q835" s="24"/>
      <c r="R835" s="398"/>
      <c r="S835" s="398"/>
      <c r="T835" s="398"/>
      <c r="U835" s="398"/>
      <c r="V835" s="398"/>
      <c r="W835" s="398"/>
      <c r="X835" s="398"/>
      <c r="Y835" s="398"/>
      <c r="Z835" s="398"/>
      <c r="AA835" s="398"/>
      <c r="AB835" s="200"/>
      <c r="AI835" s="459" t="str">
        <f>CONCATENATE(AK835,AL835,AM835)</f>
        <v>If you let yourself 0 to ease the pain, you risk damaging your chance to resolve your power impacted needs. Let's conciliate instead.</v>
      </c>
      <c r="AK835" s="465" t="s">
        <v>2911</v>
      </c>
      <c r="AL835" s="2">
        <f>B835</f>
        <v>0</v>
      </c>
      <c r="AM835" s="465" t="s">
        <v>2912</v>
      </c>
      <c r="AO835" s="2" t="s">
        <v>2901</v>
      </c>
      <c r="AP835" s="2" t="s">
        <v>2907</v>
      </c>
      <c r="AQ835" s="2" t="s">
        <v>2893</v>
      </c>
    </row>
    <row r="836" spans="1:51" ht="19.95" customHeight="1">
      <c r="A836" s="199"/>
      <c r="B836" s="1366" t="str">
        <f>AI836</f>
        <v>Your adversarial options likely erupt when you must stop the mounting pain. These can give you leverage. Impactors will likely prefer any conciliatory options you can offer.</v>
      </c>
      <c r="C836" s="1366"/>
      <c r="D836" s="1366"/>
      <c r="E836" s="1366"/>
      <c r="F836" s="1366"/>
      <c r="G836" s="1366"/>
      <c r="H836" s="1366"/>
      <c r="I836" s="1366"/>
      <c r="J836" s="1366"/>
      <c r="K836" s="1366"/>
      <c r="L836" s="1366"/>
      <c r="M836" s="1366"/>
      <c r="N836" s="200"/>
      <c r="O836" s="199"/>
      <c r="P836" s="24"/>
      <c r="Q836" s="24"/>
      <c r="R836" s="398"/>
      <c r="S836" s="398"/>
      <c r="T836" s="398"/>
      <c r="U836" s="398"/>
      <c r="V836" s="398"/>
      <c r="W836" s="398"/>
      <c r="X836" s="398"/>
      <c r="Y836" s="398"/>
      <c r="Z836" s="398"/>
      <c r="AA836" s="398"/>
      <c r="AB836" s="200"/>
      <c r="AI836" s="459" t="str">
        <f>IF(B835="",AK836,AI835)</f>
        <v>Your adversarial options likely erupt when you must stop the mounting pain. These can give you leverage. Impactors will likely prefer any conciliatory options you can offer.</v>
      </c>
      <c r="AK836" s="734" t="s">
        <v>2897</v>
      </c>
      <c r="AO836" s="2" t="s">
        <v>2902</v>
      </c>
      <c r="AP836" s="2" t="s">
        <v>2908</v>
      </c>
      <c r="AQ836" s="2" t="s">
        <v>2894</v>
      </c>
    </row>
    <row r="837" spans="1:51" ht="19.95" customHeight="1">
      <c r="A837" s="199"/>
      <c r="B837" s="1277"/>
      <c r="C837" s="1277"/>
      <c r="D837" s="1277"/>
      <c r="E837" s="1277"/>
      <c r="F837" s="1277"/>
      <c r="G837" s="1277"/>
      <c r="H837" s="1277"/>
      <c r="I837" s="1277"/>
      <c r="J837" s="1277"/>
      <c r="K837" s="1277"/>
      <c r="L837" s="1277"/>
      <c r="M837" s="1277"/>
      <c r="N837" s="200"/>
      <c r="O837" s="199"/>
      <c r="P837" s="24"/>
      <c r="Q837" s="24"/>
      <c r="R837" s="398"/>
      <c r="S837" s="398"/>
      <c r="T837" s="398"/>
      <c r="U837" s="398"/>
      <c r="V837" s="398"/>
      <c r="W837" s="398"/>
      <c r="X837" s="398"/>
      <c r="Y837" s="398"/>
      <c r="Z837" s="398"/>
      <c r="AA837" s="398"/>
      <c r="AB837" s="200"/>
      <c r="AO837" s="2" t="s">
        <v>2871</v>
      </c>
      <c r="AQ837" s="2" t="s">
        <v>2895</v>
      </c>
    </row>
    <row r="838" spans="1:51" ht="19.95" customHeight="1" thickBot="1">
      <c r="A838" s="199"/>
      <c r="B838" s="726" t="s">
        <v>2816</v>
      </c>
      <c r="C838" s="727"/>
      <c r="D838" s="727"/>
      <c r="E838" s="727"/>
      <c r="F838" s="727"/>
      <c r="G838" s="727"/>
      <c r="H838" s="727"/>
      <c r="I838" s="727"/>
      <c r="J838" s="727"/>
      <c r="K838" s="727"/>
      <c r="L838" s="727"/>
      <c r="M838" s="727"/>
      <c r="N838" s="200"/>
      <c r="O838" s="199"/>
      <c r="P838" s="24"/>
      <c r="Q838" s="24"/>
      <c r="R838" s="398"/>
      <c r="S838" s="398"/>
      <c r="T838" s="398"/>
      <c r="U838" s="398"/>
      <c r="V838" s="398"/>
      <c r="W838" s="398"/>
      <c r="X838" s="398"/>
      <c r="Y838" s="398"/>
      <c r="Z838" s="398"/>
      <c r="AA838" s="398"/>
      <c r="AB838" s="200"/>
      <c r="AO838" s="2" t="s">
        <v>2872</v>
      </c>
    </row>
    <row r="839" spans="1:51" ht="19.95" customHeight="1" thickBot="1">
      <c r="A839" s="199"/>
      <c r="B839" s="1363"/>
      <c r="C839" s="1364"/>
      <c r="D839" s="1364"/>
      <c r="E839" s="1364"/>
      <c r="F839" s="1364"/>
      <c r="G839" s="1364"/>
      <c r="H839" s="1364"/>
      <c r="I839" s="1364"/>
      <c r="J839" s="1364"/>
      <c r="K839" s="1364"/>
      <c r="L839" s="1364"/>
      <c r="M839" s="1365"/>
      <c r="N839" s="200"/>
      <c r="O839" s="199"/>
      <c r="P839" s="24"/>
      <c r="Q839" s="24"/>
      <c r="R839" s="398"/>
      <c r="S839" s="398"/>
      <c r="T839" s="398"/>
      <c r="U839" s="398"/>
      <c r="V839" s="398"/>
      <c r="W839" s="398"/>
      <c r="X839" s="398"/>
      <c r="Y839" s="398"/>
      <c r="Z839" s="398"/>
      <c r="AA839" s="398"/>
      <c r="AB839" s="200"/>
      <c r="AI839" s="459" t="str">
        <f>CONCATENATE(AK839,AL839,AM839)</f>
        <v>Power isn't really power unless it resolves needs. Otherwise it's just coercive force.  As you both 0, you draw closer to your campaign goal.</v>
      </c>
      <c r="AK839" s="465" t="s">
        <v>2913</v>
      </c>
      <c r="AL839" s="2">
        <f>B839</f>
        <v>0</v>
      </c>
      <c r="AM839" s="465" t="s">
        <v>2914</v>
      </c>
      <c r="AO839" s="2" t="s">
        <v>2873</v>
      </c>
    </row>
    <row r="840" spans="1:51" ht="19.95" customHeight="1">
      <c r="A840" s="199"/>
      <c r="B840" s="1366" t="str">
        <f>AI840</f>
        <v>You leverge your conciliatory options as preferable to your avoidant and adversrial options. You both agree to address each other's affected needs for each to get beyond the pain.</v>
      </c>
      <c r="C840" s="1366"/>
      <c r="D840" s="1366"/>
      <c r="E840" s="1366"/>
      <c r="F840" s="1366"/>
      <c r="G840" s="1366"/>
      <c r="H840" s="1366"/>
      <c r="I840" s="1366"/>
      <c r="J840" s="1366"/>
      <c r="K840" s="1366"/>
      <c r="L840" s="1366"/>
      <c r="M840" s="1366"/>
      <c r="N840" s="200"/>
      <c r="O840" s="199"/>
      <c r="P840" s="24"/>
      <c r="Q840" s="24"/>
      <c r="R840" s="398"/>
      <c r="S840" s="398"/>
      <c r="T840" s="398"/>
      <c r="U840" s="398"/>
      <c r="V840" s="398"/>
      <c r="W840" s="398"/>
      <c r="X840" s="398"/>
      <c r="Y840" s="398"/>
      <c r="Z840" s="398"/>
      <c r="AA840" s="398"/>
      <c r="AB840" s="200"/>
      <c r="AI840" s="459" t="str">
        <f>IF(B839="",AK840,AI839)</f>
        <v>You leverge your conciliatory options as preferable to your avoidant and adversrial options. You both agree to address each other's affected needs for each to get beyond the pain.</v>
      </c>
      <c r="AK840" s="734" t="s">
        <v>2898</v>
      </c>
      <c r="AO840" s="2" t="s">
        <v>2904</v>
      </c>
    </row>
    <row r="841" spans="1:51" ht="19.95" customHeight="1">
      <c r="A841" s="199"/>
      <c r="B841" s="1277"/>
      <c r="C841" s="1277"/>
      <c r="D841" s="1277"/>
      <c r="E841" s="1277"/>
      <c r="F841" s="1277"/>
      <c r="G841" s="1277"/>
      <c r="H841" s="1277"/>
      <c r="I841" s="1277"/>
      <c r="J841" s="1277"/>
      <c r="K841" s="1277"/>
      <c r="L841" s="1277"/>
      <c r="M841" s="1277"/>
      <c r="N841" s="200"/>
      <c r="O841" s="199"/>
      <c r="P841" s="24"/>
      <c r="Q841" s="24"/>
      <c r="R841" s="398"/>
      <c r="S841" s="398"/>
      <c r="T841" s="398"/>
      <c r="U841" s="398"/>
      <c r="V841" s="398"/>
      <c r="W841" s="398"/>
      <c r="X841" s="398"/>
      <c r="Y841" s="398"/>
      <c r="Z841" s="398"/>
      <c r="AA841" s="398"/>
      <c r="AB841" s="200"/>
      <c r="AO841" s="2" t="s">
        <v>2874</v>
      </c>
    </row>
    <row r="842" spans="1:51" ht="19.95" customHeight="1">
      <c r="A842" s="199"/>
      <c r="B842" s="392" t="s">
        <v>2916</v>
      </c>
      <c r="C842" s="24"/>
      <c r="D842" s="24"/>
      <c r="E842" s="24"/>
      <c r="F842" s="24"/>
      <c r="G842" s="24"/>
      <c r="H842" s="24"/>
      <c r="I842" s="24"/>
      <c r="J842" s="24"/>
      <c r="K842" s="24"/>
      <c r="L842" s="24"/>
      <c r="M842" s="24"/>
      <c r="N842" s="200"/>
      <c r="O842" s="199"/>
      <c r="P842" s="24"/>
      <c r="Q842" s="24"/>
      <c r="R842" s="398"/>
      <c r="S842" s="398"/>
      <c r="T842" s="398"/>
      <c r="U842" s="398"/>
      <c r="V842" s="398"/>
      <c r="W842" s="398"/>
      <c r="X842" s="398"/>
      <c r="Y842" s="398"/>
      <c r="Z842" s="398"/>
      <c r="AA842" s="398"/>
      <c r="AB842" s="200"/>
      <c r="AO842" s="2" t="s">
        <v>2903</v>
      </c>
    </row>
    <row r="843" spans="1:51" ht="19.95" customHeight="1">
      <c r="A843" s="199"/>
      <c r="B843" s="24"/>
      <c r="C843" s="24"/>
      <c r="D843" s="24"/>
      <c r="E843" s="24"/>
      <c r="F843" s="24"/>
      <c r="G843" s="24"/>
      <c r="H843" s="24"/>
      <c r="I843" s="24"/>
      <c r="J843" s="24"/>
      <c r="K843" s="24"/>
      <c r="L843" s="24"/>
      <c r="M843" s="24"/>
      <c r="N843" s="200"/>
      <c r="O843" s="199"/>
      <c r="P843" s="24"/>
      <c r="Q843" s="24"/>
      <c r="R843" s="398"/>
      <c r="S843" s="398"/>
      <c r="T843" s="398"/>
      <c r="U843" s="398"/>
      <c r="V843" s="398"/>
      <c r="W843" s="398"/>
      <c r="X843" s="398"/>
      <c r="Y843" s="398"/>
      <c r="Z843" s="398"/>
      <c r="AA843" s="398"/>
      <c r="AB843" s="200"/>
    </row>
    <row r="844" spans="1:51" ht="19.95" customHeight="1">
      <c r="A844" s="199"/>
      <c r="B844" s="24"/>
      <c r="C844" s="24"/>
      <c r="D844" s="24"/>
      <c r="E844" s="24"/>
      <c r="F844" s="24"/>
      <c r="G844" s="24"/>
      <c r="H844" s="24"/>
      <c r="I844" s="24"/>
      <c r="J844" s="24"/>
      <c r="K844" s="24"/>
      <c r="L844" s="24"/>
      <c r="M844" s="24"/>
      <c r="N844" s="200"/>
      <c r="O844" s="199"/>
      <c r="P844" s="24"/>
      <c r="Q844" s="24"/>
      <c r="R844" s="398"/>
      <c r="S844" s="398"/>
      <c r="T844" s="398"/>
      <c r="U844" s="398"/>
      <c r="V844" s="398"/>
      <c r="W844" s="398"/>
      <c r="X844" s="398"/>
      <c r="Y844" s="398"/>
      <c r="Z844" s="398"/>
      <c r="AA844" s="398"/>
      <c r="AB844" s="200"/>
    </row>
    <row r="845" spans="1:51" ht="19.95" customHeight="1">
      <c r="A845" s="199"/>
      <c r="B845" s="24"/>
      <c r="C845" s="24"/>
      <c r="D845" s="24"/>
      <c r="E845" s="24"/>
      <c r="F845" s="24"/>
      <c r="G845" s="24"/>
      <c r="H845" s="24"/>
      <c r="I845" s="24"/>
      <c r="J845" s="24"/>
      <c r="K845" s="24"/>
      <c r="L845" s="24"/>
      <c r="M845" s="24"/>
      <c r="N845" s="200"/>
      <c r="O845" s="199"/>
      <c r="P845" s="24"/>
      <c r="Q845" s="24"/>
      <c r="R845" s="398"/>
      <c r="S845" s="398"/>
      <c r="T845" s="398"/>
      <c r="U845" s="398"/>
      <c r="V845" s="398"/>
      <c r="W845" s="398"/>
      <c r="X845" s="398"/>
      <c r="Y845" s="398"/>
      <c r="Z845" s="398"/>
      <c r="AA845" s="398"/>
      <c r="AB845" s="200"/>
    </row>
    <row r="846" spans="1:51" ht="19.95" customHeight="1">
      <c r="A846" s="199"/>
      <c r="B846" s="24"/>
      <c r="C846" s="24"/>
      <c r="D846" s="24"/>
      <c r="E846" s="24"/>
      <c r="F846" s="24"/>
      <c r="G846" s="24"/>
      <c r="H846" s="24"/>
      <c r="I846" s="24"/>
      <c r="J846" s="24"/>
      <c r="K846" s="24"/>
      <c r="L846" s="24"/>
      <c r="M846" s="24"/>
      <c r="N846" s="200"/>
      <c r="O846" s="199"/>
      <c r="P846" s="24"/>
      <c r="Q846" s="24"/>
      <c r="R846" s="398"/>
      <c r="S846" s="398"/>
      <c r="T846" s="398"/>
      <c r="U846" s="398"/>
      <c r="V846" s="398"/>
      <c r="W846" s="398"/>
      <c r="X846" s="398"/>
      <c r="Y846" s="398"/>
      <c r="Z846" s="398"/>
      <c r="AA846" s="398"/>
      <c r="AB846" s="200"/>
      <c r="AI846" s="459">
        <f>IF(OR($I$1270=0,$B$1300=""),AK846,AI849)</f>
        <v>0</v>
      </c>
      <c r="AK846" s="465"/>
    </row>
    <row r="847" spans="1:51" ht="19.95" customHeight="1">
      <c r="A847" s="199"/>
      <c r="B847" s="24"/>
      <c r="C847" s="24"/>
      <c r="D847" s="24"/>
      <c r="E847" s="24"/>
      <c r="F847" s="24"/>
      <c r="G847" s="24"/>
      <c r="H847" s="24"/>
      <c r="I847" s="24"/>
      <c r="J847" s="24"/>
      <c r="K847" s="24"/>
      <c r="L847" s="24"/>
      <c r="M847" s="24"/>
      <c r="N847" s="200"/>
      <c r="O847" s="199"/>
      <c r="P847" s="24"/>
      <c r="Q847" s="24"/>
      <c r="R847" s="398"/>
      <c r="S847" s="398"/>
      <c r="T847" s="398"/>
      <c r="U847" s="398"/>
      <c r="V847" s="398"/>
      <c r="W847" s="398"/>
      <c r="X847" s="398"/>
      <c r="Y847" s="398"/>
      <c r="Z847" s="398"/>
      <c r="AA847" s="398"/>
      <c r="AB847" s="200"/>
      <c r="AI847" s="459"/>
      <c r="AK847" s="465"/>
    </row>
    <row r="848" spans="1:51" ht="19.95" customHeight="1">
      <c r="A848" s="199"/>
      <c r="B848" s="24"/>
      <c r="C848" s="24"/>
      <c r="D848" s="24"/>
      <c r="E848" s="24"/>
      <c r="F848" s="24"/>
      <c r="G848" s="24"/>
      <c r="H848" s="24"/>
      <c r="I848" s="24"/>
      <c r="J848" s="24"/>
      <c r="K848" s="24"/>
      <c r="L848" s="24"/>
      <c r="M848" s="24"/>
      <c r="N848" s="200"/>
      <c r="O848" s="199"/>
      <c r="P848" s="24"/>
      <c r="Q848" s="24"/>
      <c r="R848" s="398"/>
      <c r="S848" s="398"/>
      <c r="T848" s="398"/>
      <c r="U848" s="398"/>
      <c r="V848" s="398"/>
      <c r="W848" s="398"/>
      <c r="X848" s="398"/>
      <c r="Y848" s="398"/>
      <c r="Z848" s="398"/>
      <c r="AA848" s="398"/>
      <c r="AB848" s="200"/>
    </row>
    <row r="849" spans="1:50" ht="19.95" customHeight="1">
      <c r="A849" s="199"/>
      <c r="B849" s="603"/>
      <c r="C849" s="603"/>
      <c r="D849" s="603"/>
      <c r="E849" s="603"/>
      <c r="F849" s="603"/>
      <c r="G849" s="603"/>
      <c r="H849" s="603"/>
      <c r="I849" s="603"/>
      <c r="J849" s="603"/>
      <c r="K849" s="603"/>
      <c r="L849" s="603"/>
      <c r="M849" s="603"/>
      <c r="N849" s="200"/>
      <c r="O849" s="199"/>
      <c r="P849" s="24"/>
      <c r="Q849" s="24"/>
      <c r="R849" s="398"/>
      <c r="S849" s="398"/>
      <c r="T849" s="398"/>
      <c r="U849" s="398"/>
      <c r="V849" s="398"/>
      <c r="W849" s="398"/>
      <c r="X849" s="398"/>
      <c r="Y849" s="398"/>
      <c r="Z849" s="398"/>
      <c r="AA849" s="398"/>
      <c r="AB849" s="200"/>
      <c r="AI849" s="459" t="str">
        <f>CONCATENATE(AK849,AL849,AM849,AN849,AO849,AP849,AQ849,AL850,AM850,AN850,AO850,AP850,AQ850)</f>
        <v/>
      </c>
      <c r="AK849" s="409"/>
    </row>
    <row r="850" spans="1:50" ht="19.95" customHeight="1">
      <c r="A850" s="199"/>
      <c r="B850" s="603"/>
      <c r="C850" s="603"/>
      <c r="D850" s="603"/>
      <c r="E850" s="603"/>
      <c r="F850" s="603"/>
      <c r="G850" s="603"/>
      <c r="H850" s="603"/>
      <c r="I850" s="603"/>
      <c r="J850" s="603"/>
      <c r="K850" s="603"/>
      <c r="L850" s="603"/>
      <c r="M850" s="603"/>
      <c r="N850" s="200"/>
      <c r="O850" s="199"/>
      <c r="P850" s="24"/>
      <c r="Q850" s="24"/>
      <c r="R850" s="398"/>
      <c r="S850" s="398"/>
      <c r="T850" s="398"/>
      <c r="U850" s="398"/>
      <c r="V850" s="398"/>
      <c r="W850" s="398"/>
      <c r="X850" s="398"/>
      <c r="Y850" s="398"/>
      <c r="Z850" s="398"/>
      <c r="AA850" s="398"/>
      <c r="AB850" s="200"/>
    </row>
    <row r="851" spans="1:50" ht="19.95" customHeight="1">
      <c r="A851" s="199"/>
      <c r="B851" s="603"/>
      <c r="C851" s="24"/>
      <c r="D851" s="24"/>
      <c r="E851" s="24"/>
      <c r="F851" s="24"/>
      <c r="G851" s="24"/>
      <c r="H851" s="24"/>
      <c r="I851" s="24"/>
      <c r="J851" s="24"/>
      <c r="K851" s="24"/>
      <c r="L851" s="24"/>
      <c r="M851" s="24"/>
      <c r="N851" s="200"/>
      <c r="O851" s="199"/>
      <c r="P851" s="24"/>
      <c r="Q851" s="24"/>
      <c r="R851" s="398"/>
      <c r="S851" s="398"/>
      <c r="T851" s="398"/>
      <c r="U851" s="398"/>
      <c r="V851" s="398"/>
      <c r="W851" s="398"/>
      <c r="X851" s="398"/>
      <c r="Y851" s="398"/>
      <c r="Z851" s="398"/>
      <c r="AA851" s="398"/>
      <c r="AB851" s="200"/>
    </row>
    <row r="852" spans="1:50" ht="19.95" customHeight="1">
      <c r="A852" s="199"/>
      <c r="B852" s="603"/>
      <c r="C852" s="601"/>
      <c r="D852" s="601"/>
      <c r="E852" s="601"/>
      <c r="F852" s="601"/>
      <c r="G852" s="601"/>
      <c r="H852" s="601"/>
      <c r="I852" s="601"/>
      <c r="J852" s="601"/>
      <c r="K852" s="601"/>
      <c r="L852" s="601"/>
      <c r="M852" s="601"/>
      <c r="N852" s="200"/>
      <c r="O852" s="199"/>
      <c r="P852" s="24"/>
      <c r="Q852" s="24"/>
      <c r="R852" s="398"/>
      <c r="S852" s="398"/>
      <c r="T852" s="398"/>
      <c r="U852" s="398"/>
      <c r="V852" s="398"/>
      <c r="W852" s="398"/>
      <c r="X852" s="398"/>
      <c r="Y852" s="398"/>
      <c r="Z852" s="398"/>
      <c r="AA852" s="398"/>
      <c r="AB852" s="200"/>
    </row>
    <row r="853" spans="1:50" ht="4.95" customHeight="1">
      <c r="A853" s="199"/>
      <c r="B853" s="24"/>
      <c r="C853" s="24"/>
      <c r="D853" s="24"/>
      <c r="E853" s="24"/>
      <c r="F853" s="24"/>
      <c r="G853" s="24"/>
      <c r="H853" s="24"/>
      <c r="I853" s="24"/>
      <c r="J853" s="24"/>
      <c r="K853" s="24"/>
      <c r="L853" s="24"/>
      <c r="M853" s="24"/>
      <c r="N853" s="200"/>
      <c r="O853" s="199"/>
      <c r="P853" s="24"/>
      <c r="Q853" s="24"/>
      <c r="R853" s="398"/>
      <c r="S853" s="398"/>
      <c r="T853" s="398"/>
      <c r="U853" s="398"/>
      <c r="V853" s="398"/>
      <c r="W853" s="398"/>
      <c r="X853" s="398"/>
      <c r="Y853" s="398"/>
      <c r="Z853" s="398"/>
      <c r="AA853" s="398"/>
      <c r="AB853" s="200"/>
    </row>
    <row r="854" spans="1:50" ht="30" customHeight="1">
      <c r="A854" s="210" t="s">
        <v>1148</v>
      </c>
      <c r="B854" s="887" t="s">
        <v>2060</v>
      </c>
      <c r="C854" s="887"/>
      <c r="D854" s="887"/>
      <c r="E854" s="887"/>
      <c r="F854" s="887"/>
      <c r="G854" s="887"/>
      <c r="H854" s="373"/>
      <c r="I854" s="373"/>
      <c r="J854" s="373"/>
      <c r="K854" s="373"/>
      <c r="L854" s="373"/>
      <c r="M854" s="373"/>
      <c r="N854" s="211" t="s">
        <v>1149</v>
      </c>
      <c r="O854" s="372"/>
      <c r="P854" s="374"/>
      <c r="Q854" s="373"/>
      <c r="R854" s="373"/>
      <c r="S854" s="373"/>
      <c r="T854" s="373"/>
      <c r="U854" s="373"/>
      <c r="V854" s="373"/>
      <c r="W854" s="373"/>
      <c r="X854" s="373"/>
      <c r="Y854" s="373"/>
      <c r="Z854" s="373"/>
      <c r="AA854" s="373"/>
      <c r="AB854" s="211" t="s">
        <v>1149</v>
      </c>
      <c r="AK854" s="139"/>
      <c r="AX854" s="139"/>
    </row>
    <row r="855" spans="1:50" ht="10.050000000000001" customHeight="1">
      <c r="A855" s="199"/>
      <c r="B855" s="24"/>
      <c r="C855" s="24"/>
      <c r="D855" s="24"/>
      <c r="E855" s="24"/>
      <c r="F855" s="24"/>
      <c r="G855" s="24"/>
      <c r="H855" s="24"/>
      <c r="I855" s="24"/>
      <c r="J855" s="24"/>
      <c r="K855" s="24"/>
      <c r="L855" s="24"/>
      <c r="M855" s="24"/>
      <c r="N855" s="200"/>
      <c r="O855" s="199"/>
      <c r="P855" s="24"/>
      <c r="Q855" s="24"/>
      <c r="R855" s="398"/>
      <c r="S855" s="398"/>
      <c r="T855" s="398"/>
      <c r="U855" s="398"/>
      <c r="V855" s="398"/>
      <c r="W855" s="398"/>
      <c r="X855" s="398"/>
      <c r="Y855" s="398"/>
      <c r="Z855" s="398"/>
      <c r="AA855" s="398"/>
      <c r="AB855" s="200"/>
      <c r="AK855" s="139"/>
    </row>
    <row r="856" spans="1:50" ht="19.95" customHeight="1">
      <c r="A856" s="199"/>
      <c r="B856" s="719" t="s">
        <v>2917</v>
      </c>
      <c r="C856" s="24"/>
      <c r="D856" s="24"/>
      <c r="E856" s="24"/>
      <c r="F856" s="24"/>
      <c r="G856" s="24"/>
      <c r="H856" s="24"/>
      <c r="I856" s="24"/>
      <c r="J856" s="24"/>
      <c r="K856" s="24"/>
      <c r="L856" s="24"/>
      <c r="M856" s="24"/>
      <c r="N856" s="200"/>
      <c r="O856" s="199"/>
      <c r="P856" s="24"/>
      <c r="Q856" s="24"/>
      <c r="R856" s="398"/>
      <c r="S856" s="398"/>
      <c r="T856" s="398"/>
      <c r="U856" s="398"/>
      <c r="V856" s="398"/>
      <c r="W856" s="398"/>
      <c r="X856" s="398"/>
      <c r="Y856" s="398"/>
      <c r="Z856" s="398"/>
      <c r="AA856" s="398"/>
      <c r="AB856" s="200"/>
      <c r="AK856" s="139"/>
      <c r="AV856" s="139"/>
      <c r="AW856" s="139"/>
    </row>
    <row r="857" spans="1:50" ht="4.95" customHeight="1">
      <c r="A857" s="199"/>
      <c r="B857" s="24"/>
      <c r="C857" s="24"/>
      <c r="D857" s="24"/>
      <c r="E857" s="24"/>
      <c r="F857" s="24"/>
      <c r="G857" s="24"/>
      <c r="H857" s="24"/>
      <c r="I857" s="24"/>
      <c r="J857" s="24"/>
      <c r="K857" s="24"/>
      <c r="L857" s="24"/>
      <c r="M857" s="24"/>
      <c r="N857" s="200"/>
      <c r="O857" s="199"/>
      <c r="P857" s="24"/>
      <c r="Q857" s="24"/>
      <c r="R857" s="398"/>
      <c r="S857" s="398"/>
      <c r="T857" s="398"/>
      <c r="U857" s="398"/>
      <c r="V857" s="398"/>
      <c r="W857" s="398"/>
      <c r="X857" s="398"/>
      <c r="Y857" s="398"/>
      <c r="Z857" s="398"/>
      <c r="AA857" s="398"/>
      <c r="AB857" s="200"/>
      <c r="AK857" s="139"/>
    </row>
    <row r="858" spans="1:50" ht="22.95" customHeight="1">
      <c r="A858" s="199"/>
      <c r="B858" s="603" t="s">
        <v>2938</v>
      </c>
      <c r="C858" s="468"/>
      <c r="D858" s="468"/>
      <c r="E858" s="468"/>
      <c r="F858" s="468"/>
      <c r="G858" s="468"/>
      <c r="H858" s="468"/>
      <c r="I858" s="468"/>
      <c r="J858" s="468"/>
      <c r="K858" s="468"/>
      <c r="L858" s="468"/>
      <c r="M858" s="468"/>
      <c r="N858" s="200"/>
      <c r="O858" s="199"/>
      <c r="P858" s="24"/>
      <c r="Q858" s="24"/>
      <c r="R858" s="398"/>
      <c r="S858" s="398"/>
      <c r="T858" s="398"/>
      <c r="U858" s="398"/>
      <c r="V858" s="398"/>
      <c r="W858" s="398"/>
      <c r="X858" s="398"/>
      <c r="Y858" s="398"/>
      <c r="Z858" s="398"/>
      <c r="AA858" s="398"/>
      <c r="AB858" s="200"/>
      <c r="AK858" s="139"/>
    </row>
    <row r="859" spans="1:50" ht="18" customHeight="1" thickBot="1">
      <c r="A859" s="199"/>
      <c r="B859" s="754" t="str">
        <f>B676</f>
        <v>1: PREP phase</v>
      </c>
      <c r="C859" s="749"/>
      <c r="D859" s="749"/>
      <c r="E859" s="750" t="s">
        <v>2427</v>
      </c>
      <c r="F859" s="750" t="s">
        <v>2428</v>
      </c>
      <c r="G859" s="750" t="s">
        <v>2429</v>
      </c>
      <c r="H859" s="752" t="s">
        <v>2430</v>
      </c>
      <c r="I859" s="752" t="s">
        <v>2431</v>
      </c>
      <c r="J859" s="752" t="s">
        <v>2432</v>
      </c>
      <c r="K859" s="751"/>
      <c r="L859" s="751"/>
      <c r="M859" s="750" t="s">
        <v>2934</v>
      </c>
      <c r="N859" s="200"/>
      <c r="O859" s="199"/>
      <c r="P859" s="24"/>
      <c r="Q859" s="24"/>
      <c r="R859" s="398"/>
      <c r="S859" s="398"/>
      <c r="T859" s="398"/>
      <c r="U859" s="398"/>
      <c r="V859" s="398"/>
      <c r="W859" s="398"/>
      <c r="X859" s="398"/>
      <c r="Y859" s="398"/>
      <c r="Z859" s="398"/>
      <c r="AA859" s="398"/>
      <c r="AB859" s="200"/>
      <c r="AK859" s="139"/>
    </row>
    <row r="860" spans="1:50" ht="16.95" customHeight="1" thickBot="1">
      <c r="A860" s="199"/>
      <c r="B860" s="598" t="s">
        <v>2033</v>
      </c>
      <c r="C860" s="600">
        <f ca="1">TODAY()+14</f>
        <v>44227</v>
      </c>
      <c r="D860" s="24"/>
      <c r="E860" s="744">
        <f>E641</f>
        <v>10</v>
      </c>
      <c r="F860" s="624">
        <f>E642</f>
        <v>0</v>
      </c>
      <c r="G860" s="624">
        <f>E643</f>
        <v>0</v>
      </c>
      <c r="H860" s="624"/>
      <c r="I860" s="624"/>
      <c r="J860" s="624"/>
      <c r="K860" s="622">
        <f>SUM(E860:J860)</f>
        <v>10</v>
      </c>
      <c r="L860" s="623">
        <f>K860</f>
        <v>10</v>
      </c>
      <c r="M860" s="745">
        <f>K644</f>
        <v>0</v>
      </c>
      <c r="N860" s="200"/>
      <c r="O860" s="199"/>
      <c r="P860" s="24"/>
      <c r="Q860" s="24"/>
      <c r="R860" s="398"/>
      <c r="S860" s="398"/>
      <c r="T860" s="398"/>
      <c r="U860" s="398"/>
      <c r="V860" s="398"/>
      <c r="W860" s="398"/>
      <c r="X860" s="398"/>
      <c r="Y860" s="398"/>
      <c r="Z860" s="398"/>
      <c r="AA860" s="398"/>
      <c r="AB860" s="200"/>
      <c r="AK860" s="139"/>
    </row>
    <row r="861" spans="1:50" ht="16.95" customHeight="1">
      <c r="A861" s="199"/>
      <c r="B861" s="598" t="s">
        <v>2034</v>
      </c>
      <c r="C861" s="599">
        <f ca="1">C860+7</f>
        <v>44234</v>
      </c>
      <c r="D861" s="468"/>
      <c r="E861" s="624">
        <f t="shared" ref="E861:G863" si="5">E860</f>
        <v>10</v>
      </c>
      <c r="F861" s="624">
        <f t="shared" si="5"/>
        <v>0</v>
      </c>
      <c r="G861" s="624">
        <f t="shared" si="5"/>
        <v>0</v>
      </c>
      <c r="H861" s="624"/>
      <c r="I861" s="624"/>
      <c r="J861" s="624"/>
      <c r="K861" s="622">
        <f>SUM(E861:J861)</f>
        <v>10</v>
      </c>
      <c r="L861" s="623">
        <f>L860+K861</f>
        <v>20</v>
      </c>
      <c r="M861" s="745">
        <f>M860+K$644</f>
        <v>0</v>
      </c>
      <c r="N861" s="200"/>
      <c r="O861" s="199"/>
      <c r="P861" s="24"/>
      <c r="Q861" s="24"/>
      <c r="R861" s="398"/>
      <c r="S861" s="398"/>
      <c r="T861" s="398"/>
      <c r="U861" s="398"/>
      <c r="V861" s="398"/>
      <c r="W861" s="398"/>
      <c r="X861" s="398"/>
      <c r="Y861" s="398"/>
      <c r="Z861" s="398"/>
      <c r="AA861" s="398"/>
      <c r="AB861" s="200"/>
      <c r="AK861" s="139"/>
    </row>
    <row r="862" spans="1:50" ht="16.95" customHeight="1">
      <c r="A862" s="199"/>
      <c r="B862" s="598" t="s">
        <v>2035</v>
      </c>
      <c r="C862" s="599">
        <f ca="1">C861+7</f>
        <v>44241</v>
      </c>
      <c r="D862" s="468"/>
      <c r="E862" s="624">
        <f t="shared" si="5"/>
        <v>10</v>
      </c>
      <c r="F862" s="624">
        <f t="shared" si="5"/>
        <v>0</v>
      </c>
      <c r="G862" s="624">
        <f t="shared" si="5"/>
        <v>0</v>
      </c>
      <c r="H862" s="624"/>
      <c r="I862" s="624"/>
      <c r="J862" s="624"/>
      <c r="K862" s="622">
        <f>SUM(E862:J862)</f>
        <v>10</v>
      </c>
      <c r="L862" s="623">
        <f>L861+K862</f>
        <v>30</v>
      </c>
      <c r="M862" s="745">
        <f>M861+K$644</f>
        <v>0</v>
      </c>
      <c r="N862" s="200"/>
      <c r="O862" s="199"/>
      <c r="P862" s="24"/>
      <c r="Q862" s="24"/>
      <c r="R862" s="398"/>
      <c r="S862" s="398"/>
      <c r="T862" s="398"/>
      <c r="U862" s="398"/>
      <c r="V862" s="398"/>
      <c r="W862" s="398"/>
      <c r="X862" s="398"/>
      <c r="Y862" s="398"/>
      <c r="Z862" s="398"/>
      <c r="AA862" s="398"/>
      <c r="AB862" s="200"/>
      <c r="AK862" s="139"/>
    </row>
    <row r="863" spans="1:50" ht="16.95" customHeight="1">
      <c r="A863" s="199"/>
      <c r="B863" s="598" t="s">
        <v>2036</v>
      </c>
      <c r="C863" s="599">
        <f ca="1">C862+7</f>
        <v>44248</v>
      </c>
      <c r="D863" s="468"/>
      <c r="E863" s="624">
        <f t="shared" si="5"/>
        <v>10</v>
      </c>
      <c r="F863" s="624">
        <f t="shared" si="5"/>
        <v>0</v>
      </c>
      <c r="G863" s="624">
        <f t="shared" si="5"/>
        <v>0</v>
      </c>
      <c r="H863" s="624"/>
      <c r="I863" s="624"/>
      <c r="J863" s="624"/>
      <c r="K863" s="622">
        <f>SUM(E863:J863)</f>
        <v>10</v>
      </c>
      <c r="L863" s="623">
        <f>L862+K863</f>
        <v>40</v>
      </c>
      <c r="M863" s="745">
        <f>M862+K$644</f>
        <v>0</v>
      </c>
      <c r="N863" s="200"/>
      <c r="O863" s="199"/>
      <c r="P863" s="24"/>
      <c r="Q863" s="24"/>
      <c r="R863" s="398"/>
      <c r="S863" s="398"/>
      <c r="T863" s="398"/>
      <c r="U863" s="398"/>
      <c r="V863" s="398"/>
      <c r="W863" s="398"/>
      <c r="X863" s="398"/>
      <c r="Y863" s="398"/>
      <c r="Z863" s="398"/>
      <c r="AA863" s="398"/>
      <c r="AB863" s="200"/>
      <c r="AK863" s="139"/>
    </row>
    <row r="864" spans="1:50" ht="18" customHeight="1">
      <c r="A864" s="199"/>
      <c r="B864" s="754" t="str">
        <f>B714</f>
        <v>2: BASE phase</v>
      </c>
      <c r="C864" s="749"/>
      <c r="D864" s="749"/>
      <c r="E864" s="750" t="s">
        <v>2427</v>
      </c>
      <c r="F864" s="750" t="s">
        <v>2428</v>
      </c>
      <c r="G864" s="750" t="s">
        <v>2429</v>
      </c>
      <c r="H864" s="750" t="s">
        <v>2430</v>
      </c>
      <c r="I864" s="752" t="s">
        <v>2431</v>
      </c>
      <c r="J864" s="752" t="s">
        <v>2432</v>
      </c>
      <c r="K864" s="751"/>
      <c r="L864" s="751"/>
      <c r="M864" s="750" t="s">
        <v>2934</v>
      </c>
      <c r="N864" s="200"/>
      <c r="O864" s="199"/>
      <c r="P864" s="24"/>
      <c r="Q864" s="24"/>
      <c r="R864" s="398"/>
      <c r="S864" s="398"/>
      <c r="T864" s="398"/>
      <c r="U864" s="398"/>
      <c r="V864" s="398"/>
      <c r="W864" s="398"/>
      <c r="X864" s="398"/>
      <c r="Y864" s="398"/>
      <c r="Z864" s="398"/>
      <c r="AA864" s="398"/>
      <c r="AB864" s="200"/>
      <c r="AK864" s="139"/>
    </row>
    <row r="865" spans="1:37" ht="16.95" customHeight="1">
      <c r="A865" s="199"/>
      <c r="B865" s="598" t="s">
        <v>2037</v>
      </c>
      <c r="C865" s="599">
        <f ca="1">C863+7</f>
        <v>44255</v>
      </c>
      <c r="D865" s="468"/>
      <c r="E865" s="624">
        <f>E647</f>
        <v>10</v>
      </c>
      <c r="F865" s="624">
        <f>E654</f>
        <v>0</v>
      </c>
      <c r="G865" s="624">
        <f>E655</f>
        <v>160</v>
      </c>
      <c r="H865" s="624">
        <f>E656</f>
        <v>60</v>
      </c>
      <c r="I865" s="624"/>
      <c r="J865" s="624"/>
      <c r="K865" s="622">
        <f t="shared" ref="K865:K875" si="6">SUM(E865:J865)</f>
        <v>230</v>
      </c>
      <c r="L865" s="623">
        <f>L863+K865</f>
        <v>270</v>
      </c>
      <c r="M865" s="745">
        <f>M863+K656</f>
        <v>117</v>
      </c>
      <c r="N865" s="200"/>
      <c r="O865" s="199"/>
      <c r="P865" s="24"/>
      <c r="Q865" s="24"/>
      <c r="R865" s="398"/>
      <c r="S865" s="398"/>
      <c r="T865" s="398"/>
      <c r="U865" s="398"/>
      <c r="V865" s="398"/>
      <c r="W865" s="398"/>
      <c r="X865" s="398"/>
      <c r="Y865" s="398"/>
      <c r="Z865" s="398"/>
      <c r="AA865" s="398"/>
      <c r="AB865" s="200"/>
      <c r="AK865" s="139"/>
    </row>
    <row r="866" spans="1:37" ht="16.95" customHeight="1">
      <c r="A866" s="199"/>
      <c r="B866" s="598" t="s">
        <v>2038</v>
      </c>
      <c r="C866" s="599">
        <f ca="1">C865+7</f>
        <v>44262</v>
      </c>
      <c r="D866" s="24"/>
      <c r="E866" s="624">
        <f>E865</f>
        <v>10</v>
      </c>
      <c r="F866" s="624">
        <f>F865</f>
        <v>0</v>
      </c>
      <c r="G866" s="624">
        <f>G865</f>
        <v>160</v>
      </c>
      <c r="H866" s="624">
        <f>H865</f>
        <v>60</v>
      </c>
      <c r="I866" s="468"/>
      <c r="J866" s="468"/>
      <c r="K866" s="622">
        <f t="shared" si="6"/>
        <v>230</v>
      </c>
      <c r="L866" s="623">
        <f t="shared" ref="L866:L875" si="7">L865+K866</f>
        <v>500</v>
      </c>
      <c r="M866" s="745">
        <f>M865+K$656</f>
        <v>234</v>
      </c>
      <c r="N866" s="200"/>
      <c r="O866" s="199"/>
      <c r="P866" s="24"/>
      <c r="Q866" s="24"/>
      <c r="R866" s="398"/>
      <c r="S866" s="398"/>
      <c r="T866" s="398"/>
      <c r="U866" s="398"/>
      <c r="V866" s="398"/>
      <c r="W866" s="398"/>
      <c r="X866" s="398"/>
      <c r="Y866" s="398"/>
      <c r="Z866" s="398"/>
      <c r="AA866" s="398"/>
      <c r="AB866" s="200"/>
      <c r="AK866" s="139"/>
    </row>
    <row r="867" spans="1:37" ht="16.95" customHeight="1">
      <c r="A867" s="199"/>
      <c r="B867" s="598" t="s">
        <v>2039</v>
      </c>
      <c r="C867" s="599">
        <f ca="1">C866+7</f>
        <v>44269</v>
      </c>
      <c r="D867" s="468"/>
      <c r="E867" s="624">
        <f>E866</f>
        <v>10</v>
      </c>
      <c r="F867" s="624">
        <f t="shared" ref="F867:H868" si="8">F866</f>
        <v>0</v>
      </c>
      <c r="G867" s="624">
        <f t="shared" si="8"/>
        <v>160</v>
      </c>
      <c r="H867" s="624">
        <f t="shared" si="8"/>
        <v>60</v>
      </c>
      <c r="I867" s="468"/>
      <c r="J867" s="468"/>
      <c r="K867" s="622">
        <f t="shared" si="6"/>
        <v>230</v>
      </c>
      <c r="L867" s="623">
        <f t="shared" si="7"/>
        <v>730</v>
      </c>
      <c r="M867" s="745">
        <f t="shared" ref="M867:M875" si="9">M866+K$656</f>
        <v>351</v>
      </c>
      <c r="N867" s="200"/>
      <c r="O867" s="199"/>
      <c r="P867" s="24"/>
      <c r="Q867" s="24"/>
      <c r="R867" s="398"/>
      <c r="S867" s="398"/>
      <c r="T867" s="398"/>
      <c r="U867" s="398"/>
      <c r="V867" s="398"/>
      <c r="W867" s="398"/>
      <c r="X867" s="398"/>
      <c r="Y867" s="398"/>
      <c r="Z867" s="398"/>
      <c r="AA867" s="398"/>
      <c r="AB867" s="200"/>
      <c r="AK867" s="139"/>
    </row>
    <row r="868" spans="1:37" ht="16.95" customHeight="1">
      <c r="A868" s="199"/>
      <c r="B868" s="598" t="s">
        <v>2040</v>
      </c>
      <c r="C868" s="599">
        <f ca="1">C867+7</f>
        <v>44276</v>
      </c>
      <c r="D868" s="468"/>
      <c r="E868" s="624">
        <f>E867</f>
        <v>10</v>
      </c>
      <c r="F868" s="624">
        <f t="shared" si="8"/>
        <v>0</v>
      </c>
      <c r="G868" s="624">
        <f t="shared" si="8"/>
        <v>160</v>
      </c>
      <c r="H868" s="624">
        <f t="shared" si="8"/>
        <v>60</v>
      </c>
      <c r="I868" s="24"/>
      <c r="J868" s="24"/>
      <c r="K868" s="622">
        <f t="shared" si="6"/>
        <v>230</v>
      </c>
      <c r="L868" s="623">
        <f t="shared" si="7"/>
        <v>960</v>
      </c>
      <c r="M868" s="745">
        <f t="shared" si="9"/>
        <v>468</v>
      </c>
      <c r="N868" s="200"/>
      <c r="O868" s="199"/>
      <c r="P868" s="24"/>
      <c r="Q868" s="24"/>
      <c r="R868" s="398"/>
      <c r="S868" s="398"/>
      <c r="T868" s="398"/>
      <c r="U868" s="398"/>
      <c r="V868" s="398"/>
      <c r="W868" s="398"/>
      <c r="X868" s="398"/>
      <c r="Y868" s="398"/>
      <c r="Z868" s="398"/>
      <c r="AA868" s="398"/>
      <c r="AB868" s="200"/>
      <c r="AK868" s="139"/>
    </row>
    <row r="869" spans="1:37" ht="18" customHeight="1">
      <c r="A869" s="199"/>
      <c r="B869" s="754" t="str">
        <f>B749</f>
        <v>3: LAUNCH phase</v>
      </c>
      <c r="C869" s="749"/>
      <c r="D869" s="749"/>
      <c r="E869" s="750" t="s">
        <v>2427</v>
      </c>
      <c r="F869" s="750" t="s">
        <v>2428</v>
      </c>
      <c r="G869" s="750" t="s">
        <v>2429</v>
      </c>
      <c r="H869" s="752" t="s">
        <v>2430</v>
      </c>
      <c r="I869" s="752" t="s">
        <v>2431</v>
      </c>
      <c r="J869" s="752" t="s">
        <v>2432</v>
      </c>
      <c r="K869" s="751"/>
      <c r="L869" s="751"/>
      <c r="M869" s="750" t="s">
        <v>2934</v>
      </c>
      <c r="N869" s="200"/>
      <c r="O869" s="199"/>
      <c r="P869" s="24"/>
      <c r="Q869" s="24"/>
      <c r="R869" s="398"/>
      <c r="S869" s="398"/>
      <c r="T869" s="398"/>
      <c r="U869" s="398"/>
      <c r="V869" s="398"/>
      <c r="W869" s="398"/>
      <c r="X869" s="398"/>
      <c r="Y869" s="398"/>
      <c r="Z869" s="398"/>
      <c r="AA869" s="398"/>
      <c r="AB869" s="200"/>
      <c r="AK869" s="139"/>
    </row>
    <row r="870" spans="1:37" ht="16.95" customHeight="1">
      <c r="A870" s="199"/>
      <c r="B870" s="598" t="s">
        <v>2041</v>
      </c>
      <c r="C870" s="599">
        <f ca="1">C868+7</f>
        <v>44283</v>
      </c>
      <c r="D870" s="468"/>
      <c r="E870" s="624">
        <f>E653</f>
        <v>10</v>
      </c>
      <c r="F870" s="624">
        <f>F868</f>
        <v>0</v>
      </c>
      <c r="G870" s="624">
        <f>G868</f>
        <v>160</v>
      </c>
      <c r="H870" s="624">
        <v>100</v>
      </c>
      <c r="I870" s="468"/>
      <c r="J870" s="468"/>
      <c r="K870" s="622">
        <f t="shared" si="6"/>
        <v>270</v>
      </c>
      <c r="L870" s="623">
        <f>L868+K870</f>
        <v>1230</v>
      </c>
      <c r="M870" s="745">
        <f>M868+K$656</f>
        <v>585</v>
      </c>
      <c r="N870" s="200"/>
      <c r="O870" s="199"/>
      <c r="P870" s="24"/>
      <c r="Q870" s="24"/>
      <c r="R870" s="398"/>
      <c r="S870" s="398"/>
      <c r="T870" s="398"/>
      <c r="U870" s="398"/>
      <c r="V870" s="398"/>
      <c r="W870" s="398"/>
      <c r="X870" s="398"/>
      <c r="Y870" s="398"/>
      <c r="Z870" s="398"/>
      <c r="AA870" s="398"/>
      <c r="AB870" s="200"/>
      <c r="AK870" s="139"/>
    </row>
    <row r="871" spans="1:37" ht="16.95" customHeight="1">
      <c r="A871" s="199"/>
      <c r="B871" s="598" t="s">
        <v>2042</v>
      </c>
      <c r="C871" s="599">
        <f ca="1">C870+7</f>
        <v>44290</v>
      </c>
      <c r="D871" s="468"/>
      <c r="E871" s="624">
        <f t="shared" ref="E871:H875" si="10">E870</f>
        <v>10</v>
      </c>
      <c r="F871" s="624">
        <f t="shared" si="10"/>
        <v>0</v>
      </c>
      <c r="G871" s="624">
        <f t="shared" si="10"/>
        <v>160</v>
      </c>
      <c r="H871" s="624">
        <f t="shared" si="10"/>
        <v>100</v>
      </c>
      <c r="I871" s="468"/>
      <c r="J871" s="468"/>
      <c r="K871" s="622">
        <f t="shared" si="6"/>
        <v>270</v>
      </c>
      <c r="L871" s="623">
        <f t="shared" si="7"/>
        <v>1500</v>
      </c>
      <c r="M871" s="745">
        <f t="shared" si="9"/>
        <v>702</v>
      </c>
      <c r="N871" s="200"/>
      <c r="O871" s="199"/>
      <c r="P871" s="24"/>
      <c r="Q871" s="24"/>
      <c r="R871" s="398"/>
      <c r="S871" s="398"/>
      <c r="T871" s="398"/>
      <c r="U871" s="398"/>
      <c r="V871" s="398"/>
      <c r="W871" s="398"/>
      <c r="X871" s="398"/>
      <c r="Y871" s="398"/>
      <c r="Z871" s="398"/>
      <c r="AA871" s="398"/>
      <c r="AB871" s="200"/>
      <c r="AK871" s="139"/>
    </row>
    <row r="872" spans="1:37" ht="16.95" customHeight="1">
      <c r="A872" s="199"/>
      <c r="B872" s="598" t="s">
        <v>2043</v>
      </c>
      <c r="C872" s="599">
        <f ca="1">C871+7</f>
        <v>44297</v>
      </c>
      <c r="D872" s="468"/>
      <c r="E872" s="624">
        <f t="shared" si="10"/>
        <v>10</v>
      </c>
      <c r="F872" s="624">
        <f t="shared" si="10"/>
        <v>0</v>
      </c>
      <c r="G872" s="624">
        <f t="shared" si="10"/>
        <v>160</v>
      </c>
      <c r="H872" s="624">
        <f t="shared" si="10"/>
        <v>100</v>
      </c>
      <c r="I872" s="468"/>
      <c r="J872" s="468"/>
      <c r="K872" s="622">
        <f>SUM(E872:J872)</f>
        <v>270</v>
      </c>
      <c r="L872" s="623">
        <f>L871+K872</f>
        <v>1770</v>
      </c>
      <c r="M872" s="745">
        <f>M871+K$656</f>
        <v>819</v>
      </c>
      <c r="N872" s="200"/>
      <c r="O872" s="199"/>
      <c r="P872" s="24"/>
      <c r="Q872" s="24"/>
      <c r="R872" s="398"/>
      <c r="S872" s="398"/>
      <c r="T872" s="398"/>
      <c r="U872" s="398"/>
      <c r="V872" s="398"/>
      <c r="W872" s="398"/>
      <c r="X872" s="398"/>
      <c r="Y872" s="398"/>
      <c r="Z872" s="398"/>
      <c r="AA872" s="398"/>
      <c r="AB872" s="200"/>
      <c r="AK872" s="139"/>
    </row>
    <row r="873" spans="1:37" ht="16.95" customHeight="1">
      <c r="A873" s="199"/>
      <c r="B873" s="598" t="s">
        <v>2044</v>
      </c>
      <c r="C873" s="599">
        <f ca="1">C872+7</f>
        <v>44304</v>
      </c>
      <c r="D873" s="468"/>
      <c r="E873" s="624">
        <f t="shared" si="10"/>
        <v>10</v>
      </c>
      <c r="F873" s="624">
        <f t="shared" si="10"/>
        <v>0</v>
      </c>
      <c r="G873" s="624">
        <f t="shared" si="10"/>
        <v>160</v>
      </c>
      <c r="H873" s="624">
        <f t="shared" si="10"/>
        <v>100</v>
      </c>
      <c r="I873" s="468"/>
      <c r="J873" s="468"/>
      <c r="K873" s="622">
        <f>SUM(E873:J873)</f>
        <v>270</v>
      </c>
      <c r="L873" s="623">
        <f>L872+K873</f>
        <v>2040</v>
      </c>
      <c r="M873" s="745">
        <f>M872+K$656</f>
        <v>936</v>
      </c>
      <c r="N873" s="200"/>
      <c r="O873" s="199"/>
      <c r="P873" s="24"/>
      <c r="Q873" s="24"/>
      <c r="R873" s="398"/>
      <c r="S873" s="398"/>
      <c r="T873" s="398"/>
      <c r="U873" s="398"/>
      <c r="V873" s="398"/>
      <c r="W873" s="398"/>
      <c r="X873" s="398"/>
      <c r="Y873" s="398"/>
      <c r="Z873" s="398"/>
      <c r="AA873" s="398"/>
      <c r="AB873" s="200"/>
      <c r="AK873" s="139"/>
    </row>
    <row r="874" spans="1:37" ht="16.95" customHeight="1">
      <c r="A874" s="199"/>
      <c r="B874" s="598" t="s">
        <v>2045</v>
      </c>
      <c r="C874" s="599">
        <f ca="1">C873+7</f>
        <v>44311</v>
      </c>
      <c r="D874" s="468"/>
      <c r="E874" s="624">
        <f t="shared" si="10"/>
        <v>10</v>
      </c>
      <c r="F874" s="624">
        <f t="shared" si="10"/>
        <v>0</v>
      </c>
      <c r="G874" s="624">
        <f t="shared" si="10"/>
        <v>160</v>
      </c>
      <c r="H874" s="624">
        <f t="shared" si="10"/>
        <v>100</v>
      </c>
      <c r="I874" s="468"/>
      <c r="J874" s="468"/>
      <c r="K874" s="622">
        <f>SUM(E874:J874)</f>
        <v>270</v>
      </c>
      <c r="L874" s="623">
        <f>L873+K874</f>
        <v>2310</v>
      </c>
      <c r="M874" s="745">
        <f>M873+K$656</f>
        <v>1053</v>
      </c>
      <c r="N874" s="200"/>
      <c r="O874" s="199"/>
      <c r="P874" s="24"/>
      <c r="Q874" s="24"/>
      <c r="R874" s="398"/>
      <c r="S874" s="398"/>
      <c r="T874" s="398"/>
      <c r="U874" s="398"/>
      <c r="V874" s="398"/>
      <c r="W874" s="398"/>
      <c r="X874" s="398"/>
      <c r="Y874" s="398"/>
      <c r="Z874" s="398"/>
      <c r="AA874" s="398"/>
      <c r="AB874" s="200"/>
      <c r="AK874" s="139"/>
    </row>
    <row r="875" spans="1:37" ht="16.95" customHeight="1">
      <c r="A875" s="199"/>
      <c r="B875" s="598" t="s">
        <v>2046</v>
      </c>
      <c r="C875" s="599">
        <f ca="1">C874+7</f>
        <v>44318</v>
      </c>
      <c r="D875" s="468"/>
      <c r="E875" s="624">
        <f t="shared" si="10"/>
        <v>10</v>
      </c>
      <c r="F875" s="624">
        <f t="shared" si="10"/>
        <v>0</v>
      </c>
      <c r="G875" s="624">
        <f t="shared" si="10"/>
        <v>160</v>
      </c>
      <c r="H875" s="624">
        <f t="shared" si="10"/>
        <v>100</v>
      </c>
      <c r="I875" s="468"/>
      <c r="J875" s="468"/>
      <c r="K875" s="622">
        <f t="shared" si="6"/>
        <v>270</v>
      </c>
      <c r="L875" s="623">
        <f t="shared" si="7"/>
        <v>2580</v>
      </c>
      <c r="M875" s="745">
        <f t="shared" si="9"/>
        <v>1170</v>
      </c>
      <c r="N875" s="200"/>
      <c r="O875" s="199"/>
      <c r="P875" s="24"/>
      <c r="Q875" s="24"/>
      <c r="R875" s="398"/>
      <c r="S875" s="398"/>
      <c r="T875" s="398"/>
      <c r="U875" s="398"/>
      <c r="V875" s="398"/>
      <c r="W875" s="398"/>
      <c r="X875" s="398"/>
      <c r="Y875" s="398"/>
      <c r="Z875" s="398"/>
      <c r="AA875" s="398"/>
      <c r="AB875" s="200"/>
      <c r="AK875" s="139"/>
    </row>
    <row r="876" spans="1:37" ht="18" customHeight="1">
      <c r="A876" s="199"/>
      <c r="B876" s="754" t="str">
        <f>B783</f>
        <v>4. GROWTH phase</v>
      </c>
      <c r="C876" s="749"/>
      <c r="D876" s="749"/>
      <c r="E876" s="750" t="s">
        <v>2427</v>
      </c>
      <c r="F876" s="750" t="s">
        <v>2428</v>
      </c>
      <c r="G876" s="750" t="s">
        <v>2429</v>
      </c>
      <c r="H876" s="750" t="s">
        <v>2430</v>
      </c>
      <c r="I876" s="750" t="s">
        <v>2431</v>
      </c>
      <c r="J876" s="752" t="s">
        <v>2432</v>
      </c>
      <c r="K876" s="751"/>
      <c r="L876" s="751"/>
      <c r="M876" s="750" t="s">
        <v>2934</v>
      </c>
      <c r="N876" s="200"/>
      <c r="O876" s="199"/>
      <c r="P876" s="24"/>
      <c r="Q876" s="24"/>
      <c r="R876" s="398"/>
      <c r="S876" s="398"/>
      <c r="T876" s="398"/>
      <c r="U876" s="398"/>
      <c r="V876" s="398"/>
      <c r="W876" s="398"/>
      <c r="X876" s="398"/>
      <c r="Y876" s="398"/>
      <c r="Z876" s="398"/>
      <c r="AA876" s="398"/>
      <c r="AB876" s="200"/>
      <c r="AK876" s="139"/>
    </row>
    <row r="877" spans="1:37" ht="16.95" customHeight="1">
      <c r="A877" s="199"/>
      <c r="B877" s="598" t="s">
        <v>2047</v>
      </c>
      <c r="C877" s="599">
        <f ca="1">C875+7</f>
        <v>44325</v>
      </c>
      <c r="D877" s="24"/>
      <c r="E877" s="624">
        <f>E660</f>
        <v>10</v>
      </c>
      <c r="F877" s="624">
        <f>E661</f>
        <v>0</v>
      </c>
      <c r="G877" s="624">
        <f>E662</f>
        <v>120</v>
      </c>
      <c r="H877" s="624">
        <f>H875</f>
        <v>100</v>
      </c>
      <c r="I877" s="624">
        <f>E664</f>
        <v>80</v>
      </c>
      <c r="J877" s="624"/>
      <c r="K877" s="622">
        <f t="shared" ref="K877:K885" si="11">SUM(E877:J877)</f>
        <v>310</v>
      </c>
      <c r="L877" s="623">
        <f>L875+K877</f>
        <v>2890</v>
      </c>
      <c r="M877" s="745">
        <f>M875+K663</f>
        <v>1233</v>
      </c>
      <c r="N877" s="200"/>
      <c r="O877" s="199"/>
      <c r="P877" s="24"/>
      <c r="Q877" s="24"/>
      <c r="R877" s="398"/>
      <c r="S877" s="398"/>
      <c r="T877" s="398"/>
      <c r="U877" s="398"/>
      <c r="V877" s="398"/>
      <c r="W877" s="398"/>
      <c r="X877" s="398"/>
      <c r="Y877" s="398"/>
      <c r="Z877" s="398"/>
      <c r="AA877" s="398"/>
      <c r="AB877" s="200"/>
      <c r="AK877" s="139"/>
    </row>
    <row r="878" spans="1:37" ht="16.95" customHeight="1">
      <c r="A878" s="199"/>
      <c r="B878" s="598" t="s">
        <v>2048</v>
      </c>
      <c r="C878" s="599">
        <f t="shared" ref="C878:C885" ca="1" si="12">C877+7</f>
        <v>44332</v>
      </c>
      <c r="D878" s="24"/>
      <c r="E878" s="624">
        <f>E877</f>
        <v>10</v>
      </c>
      <c r="F878" s="624">
        <f>F877</f>
        <v>0</v>
      </c>
      <c r="G878" s="624">
        <f>G877</f>
        <v>120</v>
      </c>
      <c r="H878" s="624">
        <f>H877</f>
        <v>100</v>
      </c>
      <c r="I878" s="624">
        <f>I877</f>
        <v>80</v>
      </c>
      <c r="J878" s="24"/>
      <c r="K878" s="622">
        <f t="shared" si="11"/>
        <v>310</v>
      </c>
      <c r="L878" s="623">
        <f t="shared" ref="L878:L885" si="13">L877+K878</f>
        <v>3200</v>
      </c>
      <c r="M878" s="745">
        <f>M877+K$663</f>
        <v>1296</v>
      </c>
      <c r="N878" s="200"/>
      <c r="O878" s="199"/>
      <c r="P878" s="24"/>
      <c r="Q878" s="24"/>
      <c r="R878" s="398"/>
      <c r="S878" s="398"/>
      <c r="T878" s="398"/>
      <c r="U878" s="398"/>
      <c r="V878" s="398"/>
      <c r="W878" s="398"/>
      <c r="X878" s="398"/>
      <c r="Y878" s="398"/>
      <c r="Z878" s="398"/>
      <c r="AA878" s="398"/>
      <c r="AB878" s="200"/>
      <c r="AK878" s="139"/>
    </row>
    <row r="879" spans="1:37" ht="16.95" customHeight="1">
      <c r="A879" s="199"/>
      <c r="B879" s="598" t="s">
        <v>2049</v>
      </c>
      <c r="C879" s="599">
        <f t="shared" ca="1" si="12"/>
        <v>44339</v>
      </c>
      <c r="D879" s="24"/>
      <c r="E879" s="624">
        <f t="shared" ref="E879:E885" si="14">E878</f>
        <v>10</v>
      </c>
      <c r="F879" s="624">
        <f t="shared" ref="F879:I880" si="15">F878</f>
        <v>0</v>
      </c>
      <c r="G879" s="624">
        <f t="shared" si="15"/>
        <v>120</v>
      </c>
      <c r="H879" s="624">
        <f t="shared" si="15"/>
        <v>100</v>
      </c>
      <c r="I879" s="624">
        <f t="shared" si="15"/>
        <v>80</v>
      </c>
      <c r="J879" s="24"/>
      <c r="K879" s="622">
        <f t="shared" si="11"/>
        <v>310</v>
      </c>
      <c r="L879" s="623">
        <f t="shared" si="13"/>
        <v>3510</v>
      </c>
      <c r="M879" s="745">
        <f t="shared" ref="M879:M885" si="16">M878+K$663</f>
        <v>1359</v>
      </c>
      <c r="N879" s="200"/>
      <c r="O879" s="199"/>
      <c r="P879" s="24"/>
      <c r="Q879" s="24"/>
      <c r="R879" s="398"/>
      <c r="S879" s="398"/>
      <c r="T879" s="398"/>
      <c r="U879" s="398"/>
      <c r="V879" s="398"/>
      <c r="W879" s="398"/>
      <c r="X879" s="398"/>
      <c r="Y879" s="398"/>
      <c r="Z879" s="398"/>
      <c r="AA879" s="398"/>
      <c r="AB879" s="200"/>
      <c r="AK879" s="139"/>
    </row>
    <row r="880" spans="1:37" ht="16.95" customHeight="1">
      <c r="A880" s="199"/>
      <c r="B880" s="598" t="s">
        <v>2050</v>
      </c>
      <c r="C880" s="599">
        <f t="shared" ca="1" si="12"/>
        <v>44346</v>
      </c>
      <c r="D880" s="24"/>
      <c r="E880" s="624">
        <f t="shared" si="14"/>
        <v>10</v>
      </c>
      <c r="F880" s="624">
        <f t="shared" si="15"/>
        <v>0</v>
      </c>
      <c r="G880" s="624">
        <f t="shared" si="15"/>
        <v>120</v>
      </c>
      <c r="H880" s="624">
        <f t="shared" si="15"/>
        <v>100</v>
      </c>
      <c r="I880" s="624">
        <f t="shared" si="15"/>
        <v>80</v>
      </c>
      <c r="J880" s="24"/>
      <c r="K880" s="622">
        <f t="shared" si="11"/>
        <v>310</v>
      </c>
      <c r="L880" s="623">
        <f t="shared" si="13"/>
        <v>3820</v>
      </c>
      <c r="M880" s="745">
        <f t="shared" si="16"/>
        <v>1422</v>
      </c>
      <c r="N880" s="200"/>
      <c r="O880" s="199"/>
      <c r="P880" s="24"/>
      <c r="Q880" s="24"/>
      <c r="R880" s="398"/>
      <c r="S880" s="398"/>
      <c r="T880" s="398"/>
      <c r="U880" s="398"/>
      <c r="V880" s="398"/>
      <c r="W880" s="398"/>
      <c r="X880" s="398"/>
      <c r="Y880" s="398"/>
      <c r="Z880" s="398"/>
      <c r="AA880" s="398"/>
      <c r="AB880" s="200"/>
      <c r="AK880" s="139"/>
    </row>
    <row r="881" spans="1:37" ht="16.95" customHeight="1">
      <c r="A881" s="199"/>
      <c r="B881" s="598" t="s">
        <v>2051</v>
      </c>
      <c r="C881" s="599">
        <f t="shared" ca="1" si="12"/>
        <v>44353</v>
      </c>
      <c r="D881" s="24"/>
      <c r="E881" s="624">
        <f t="shared" si="14"/>
        <v>10</v>
      </c>
      <c r="F881" s="624">
        <f t="shared" ref="F881:G885" si="17">F880</f>
        <v>0</v>
      </c>
      <c r="G881" s="624">
        <f t="shared" si="17"/>
        <v>120</v>
      </c>
      <c r="H881" s="624">
        <v>120</v>
      </c>
      <c r="I881" s="624">
        <f>I880</f>
        <v>80</v>
      </c>
      <c r="J881" s="24"/>
      <c r="K881" s="622">
        <f t="shared" si="11"/>
        <v>330</v>
      </c>
      <c r="L881" s="623">
        <f t="shared" si="13"/>
        <v>4150</v>
      </c>
      <c r="M881" s="745">
        <f t="shared" si="16"/>
        <v>1485</v>
      </c>
      <c r="N881" s="200"/>
      <c r="O881" s="199"/>
      <c r="P881" s="24"/>
      <c r="Q881" s="24"/>
      <c r="R881" s="398"/>
      <c r="S881" s="398"/>
      <c r="T881" s="398"/>
      <c r="U881" s="398"/>
      <c r="V881" s="398"/>
      <c r="W881" s="398"/>
      <c r="X881" s="398"/>
      <c r="Y881" s="398"/>
      <c r="Z881" s="398"/>
      <c r="AA881" s="398"/>
      <c r="AB881" s="200"/>
      <c r="AK881" s="139"/>
    </row>
    <row r="882" spans="1:37" ht="16.95" customHeight="1">
      <c r="A882" s="199"/>
      <c r="B882" s="598" t="s">
        <v>2052</v>
      </c>
      <c r="C882" s="599">
        <f t="shared" ca="1" si="12"/>
        <v>44360</v>
      </c>
      <c r="D882" s="24"/>
      <c r="E882" s="624">
        <f t="shared" si="14"/>
        <v>10</v>
      </c>
      <c r="F882" s="624">
        <f t="shared" si="17"/>
        <v>0</v>
      </c>
      <c r="G882" s="624">
        <f t="shared" si="17"/>
        <v>120</v>
      </c>
      <c r="H882" s="624">
        <v>121</v>
      </c>
      <c r="I882" s="624">
        <f>I881</f>
        <v>80</v>
      </c>
      <c r="J882" s="24"/>
      <c r="K882" s="622">
        <f>SUM(E882:J882)</f>
        <v>331</v>
      </c>
      <c r="L882" s="623">
        <f>L881+K882</f>
        <v>4481</v>
      </c>
      <c r="M882" s="745">
        <f>M881+K$663</f>
        <v>1548</v>
      </c>
      <c r="N882" s="200"/>
      <c r="O882" s="199"/>
      <c r="P882" s="24"/>
      <c r="Q882" s="24"/>
      <c r="R882" s="398"/>
      <c r="S882" s="398"/>
      <c r="T882" s="398"/>
      <c r="U882" s="398"/>
      <c r="V882" s="398"/>
      <c r="W882" s="398"/>
      <c r="X882" s="398"/>
      <c r="Y882" s="398"/>
      <c r="Z882" s="398"/>
      <c r="AA882" s="398"/>
      <c r="AB882" s="200"/>
      <c r="AK882" s="139"/>
    </row>
    <row r="883" spans="1:37" ht="16.95" customHeight="1">
      <c r="A883" s="199"/>
      <c r="B883" s="598" t="s">
        <v>2053</v>
      </c>
      <c r="C883" s="599">
        <f t="shared" ca="1" si="12"/>
        <v>44367</v>
      </c>
      <c r="D883" s="468"/>
      <c r="E883" s="624">
        <f t="shared" si="14"/>
        <v>10</v>
      </c>
      <c r="F883" s="624">
        <f t="shared" si="17"/>
        <v>0</v>
      </c>
      <c r="G883" s="624">
        <f t="shared" si="17"/>
        <v>120</v>
      </c>
      <c r="H883" s="624">
        <f>H882</f>
        <v>121</v>
      </c>
      <c r="I883" s="624">
        <f>I882</f>
        <v>80</v>
      </c>
      <c r="J883" s="24"/>
      <c r="K883" s="622">
        <f t="shared" si="11"/>
        <v>331</v>
      </c>
      <c r="L883" s="623">
        <f t="shared" si="13"/>
        <v>4812</v>
      </c>
      <c r="M883" s="745">
        <f t="shared" si="16"/>
        <v>1611</v>
      </c>
      <c r="N883" s="200"/>
      <c r="O883" s="199"/>
      <c r="P883" s="24"/>
      <c r="Q883" s="24"/>
      <c r="R883" s="398"/>
      <c r="S883" s="398"/>
      <c r="T883" s="398"/>
      <c r="U883" s="398"/>
      <c r="V883" s="398"/>
      <c r="W883" s="398"/>
      <c r="X883" s="398"/>
      <c r="Y883" s="398"/>
      <c r="Z883" s="398"/>
      <c r="AA883" s="398"/>
      <c r="AB883" s="200"/>
      <c r="AK883" s="139"/>
    </row>
    <row r="884" spans="1:37" ht="16.95" customHeight="1">
      <c r="A884" s="199"/>
      <c r="B884" s="598" t="s">
        <v>2054</v>
      </c>
      <c r="C884" s="599">
        <f t="shared" ca="1" si="12"/>
        <v>44374</v>
      </c>
      <c r="D884" s="468"/>
      <c r="E884" s="624">
        <f t="shared" si="14"/>
        <v>10</v>
      </c>
      <c r="F884" s="624">
        <f t="shared" si="17"/>
        <v>0</v>
      </c>
      <c r="G884" s="624">
        <f t="shared" si="17"/>
        <v>120</v>
      </c>
      <c r="H884" s="624">
        <f>H883</f>
        <v>121</v>
      </c>
      <c r="I884" s="624">
        <f>I883</f>
        <v>80</v>
      </c>
      <c r="J884" s="468"/>
      <c r="K884" s="622">
        <f t="shared" si="11"/>
        <v>331</v>
      </c>
      <c r="L884" s="623">
        <f t="shared" si="13"/>
        <v>5143</v>
      </c>
      <c r="M884" s="745">
        <f t="shared" si="16"/>
        <v>1674</v>
      </c>
      <c r="N884" s="200"/>
      <c r="O884" s="199"/>
      <c r="P884" s="24"/>
      <c r="Q884" s="24"/>
      <c r="R884" s="398"/>
      <c r="S884" s="398"/>
      <c r="T884" s="398"/>
      <c r="U884" s="398"/>
      <c r="V884" s="398"/>
      <c r="W884" s="398"/>
      <c r="X884" s="398"/>
      <c r="Y884" s="398"/>
      <c r="Z884" s="398"/>
      <c r="AA884" s="398"/>
      <c r="AB884" s="200"/>
    </row>
    <row r="885" spans="1:37" ht="16.95" customHeight="1">
      <c r="A885" s="199"/>
      <c r="B885" s="598" t="s">
        <v>2055</v>
      </c>
      <c r="C885" s="599">
        <f t="shared" ca="1" si="12"/>
        <v>44381</v>
      </c>
      <c r="D885" s="468"/>
      <c r="E885" s="624">
        <f t="shared" si="14"/>
        <v>10</v>
      </c>
      <c r="F885" s="624">
        <f t="shared" si="17"/>
        <v>0</v>
      </c>
      <c r="G885" s="624">
        <f t="shared" si="17"/>
        <v>120</v>
      </c>
      <c r="H885" s="624">
        <f>H884</f>
        <v>121</v>
      </c>
      <c r="I885" s="624">
        <f>I884</f>
        <v>80</v>
      </c>
      <c r="J885" s="468"/>
      <c r="K885" s="622">
        <f t="shared" si="11"/>
        <v>331</v>
      </c>
      <c r="L885" s="623">
        <f t="shared" si="13"/>
        <v>5474</v>
      </c>
      <c r="M885" s="745">
        <f t="shared" si="16"/>
        <v>1737</v>
      </c>
      <c r="N885" s="200"/>
      <c r="O885" s="199"/>
      <c r="P885" s="24"/>
      <c r="Q885" s="24"/>
      <c r="R885" s="398"/>
      <c r="S885" s="398"/>
      <c r="T885" s="398"/>
      <c r="U885" s="398"/>
      <c r="V885" s="398"/>
      <c r="W885" s="398"/>
      <c r="X885" s="398"/>
      <c r="Y885" s="398"/>
      <c r="Z885" s="398"/>
      <c r="AA885" s="398"/>
      <c r="AB885" s="200"/>
    </row>
    <row r="886" spans="1:37" ht="18" customHeight="1">
      <c r="A886" s="199"/>
      <c r="B886" s="754" t="str">
        <f>B819</f>
        <v>5. CAUSE phase</v>
      </c>
      <c r="C886" s="755"/>
      <c r="D886" s="755"/>
      <c r="E886" s="750" t="s">
        <v>2427</v>
      </c>
      <c r="F886" s="750" t="s">
        <v>2428</v>
      </c>
      <c r="G886" s="750" t="s">
        <v>2429</v>
      </c>
      <c r="H886" s="750" t="s">
        <v>2430</v>
      </c>
      <c r="I886" s="750" t="s">
        <v>2431</v>
      </c>
      <c r="J886" s="750" t="s">
        <v>2432</v>
      </c>
      <c r="K886" s="751"/>
      <c r="L886" s="751"/>
      <c r="M886" s="750" t="s">
        <v>2934</v>
      </c>
      <c r="N886" s="200"/>
      <c r="O886" s="199"/>
      <c r="P886" s="24"/>
      <c r="Q886" s="24"/>
      <c r="R886" s="398"/>
      <c r="S886" s="398"/>
      <c r="T886" s="398"/>
      <c r="U886" s="398"/>
      <c r="V886" s="398"/>
      <c r="W886" s="398"/>
      <c r="X886" s="398"/>
      <c r="Y886" s="398"/>
      <c r="Z886" s="398"/>
      <c r="AA886" s="398"/>
      <c r="AB886" s="200"/>
    </row>
    <row r="887" spans="1:37" ht="16.95" customHeight="1">
      <c r="A887" s="199"/>
      <c r="B887" s="598" t="s">
        <v>2056</v>
      </c>
      <c r="C887" s="599">
        <f ca="1">C885+7</f>
        <v>44388</v>
      </c>
      <c r="D887" s="468"/>
      <c r="E887" s="624">
        <f>E668</f>
        <v>10</v>
      </c>
      <c r="F887" s="624">
        <f>E669</f>
        <v>0</v>
      </c>
      <c r="G887" s="624">
        <f>E670</f>
        <v>360</v>
      </c>
      <c r="H887" s="624">
        <f>E671</f>
        <v>60</v>
      </c>
      <c r="I887" s="624">
        <f>E672</f>
        <v>160</v>
      </c>
      <c r="J887" s="624">
        <f>E673</f>
        <v>540</v>
      </c>
      <c r="K887" s="622">
        <f>SUM(E887:J887)</f>
        <v>1130</v>
      </c>
      <c r="L887" s="623">
        <f>L885+K887</f>
        <v>6604</v>
      </c>
      <c r="M887" s="745">
        <f>M885+K887</f>
        <v>2867</v>
      </c>
      <c r="N887" s="200"/>
      <c r="O887" s="199"/>
      <c r="P887" s="24"/>
      <c r="Q887" s="24"/>
      <c r="R887" s="398"/>
      <c r="S887" s="398"/>
      <c r="T887" s="398"/>
      <c r="U887" s="398"/>
      <c r="V887" s="398"/>
      <c r="W887" s="398"/>
      <c r="X887" s="398"/>
      <c r="Y887" s="398"/>
      <c r="Z887" s="398"/>
      <c r="AA887" s="398"/>
      <c r="AB887" s="200"/>
    </row>
    <row r="888" spans="1:37" ht="16.95" customHeight="1">
      <c r="A888" s="199"/>
      <c r="B888" s="598" t="s">
        <v>2057</v>
      </c>
      <c r="C888" s="599">
        <f ca="1">C887+7</f>
        <v>44395</v>
      </c>
      <c r="D888" s="468"/>
      <c r="E888" s="624">
        <f t="shared" ref="E888:J888" si="18">E887</f>
        <v>10</v>
      </c>
      <c r="F888" s="624">
        <f t="shared" si="18"/>
        <v>0</v>
      </c>
      <c r="G888" s="624">
        <f t="shared" si="18"/>
        <v>360</v>
      </c>
      <c r="H888" s="624">
        <f t="shared" si="18"/>
        <v>60</v>
      </c>
      <c r="I888" s="624">
        <f t="shared" si="18"/>
        <v>160</v>
      </c>
      <c r="J888" s="624">
        <f t="shared" si="18"/>
        <v>540</v>
      </c>
      <c r="K888" s="622">
        <f>SUM(E888:J888)</f>
        <v>1130</v>
      </c>
      <c r="L888" s="623">
        <f>L887+K888</f>
        <v>7734</v>
      </c>
      <c r="M888" s="745">
        <f>M887+K671</f>
        <v>3524</v>
      </c>
      <c r="N888" s="200"/>
      <c r="O888" s="199"/>
      <c r="P888" s="24"/>
      <c r="Q888" s="24"/>
      <c r="R888" s="398"/>
      <c r="S888" s="398"/>
      <c r="T888" s="398"/>
      <c r="U888" s="398"/>
      <c r="V888" s="398"/>
      <c r="W888" s="398"/>
      <c r="X888" s="398"/>
      <c r="Y888" s="398"/>
      <c r="Z888" s="398"/>
      <c r="AA888" s="398"/>
      <c r="AB888" s="200"/>
    </row>
    <row r="889" spans="1:37" ht="16.95" customHeight="1">
      <c r="A889" s="199"/>
      <c r="B889" s="598" t="s">
        <v>2058</v>
      </c>
      <c r="C889" s="599">
        <f ca="1">C888+7</f>
        <v>44402</v>
      </c>
      <c r="D889" s="468"/>
      <c r="E889" s="624">
        <f t="shared" ref="E889:J890" si="19">E888</f>
        <v>10</v>
      </c>
      <c r="F889" s="624">
        <f t="shared" si="19"/>
        <v>0</v>
      </c>
      <c r="G889" s="624">
        <f t="shared" si="19"/>
        <v>360</v>
      </c>
      <c r="H889" s="624">
        <f t="shared" si="19"/>
        <v>60</v>
      </c>
      <c r="I889" s="624">
        <f t="shared" si="19"/>
        <v>160</v>
      </c>
      <c r="J889" s="624">
        <f t="shared" si="19"/>
        <v>540</v>
      </c>
      <c r="K889" s="622">
        <f>SUM(E889:J889)</f>
        <v>1130</v>
      </c>
      <c r="L889" s="623">
        <f>L888+K889</f>
        <v>8864</v>
      </c>
      <c r="M889" s="745">
        <f>M888+K671</f>
        <v>4181</v>
      </c>
      <c r="N889" s="200"/>
      <c r="O889" s="199"/>
      <c r="P889" s="24"/>
      <c r="Q889" s="24"/>
      <c r="R889" s="398"/>
      <c r="S889" s="398"/>
      <c r="T889" s="398"/>
      <c r="U889" s="398"/>
      <c r="V889" s="398"/>
      <c r="W889" s="398"/>
      <c r="X889" s="398"/>
      <c r="Y889" s="398"/>
      <c r="Z889" s="398"/>
      <c r="AA889" s="398"/>
      <c r="AB889" s="200"/>
    </row>
    <row r="890" spans="1:37" ht="16.95" customHeight="1">
      <c r="A890" s="199"/>
      <c r="B890" s="598" t="s">
        <v>2059</v>
      </c>
      <c r="C890" s="599">
        <f ca="1">C889+7</f>
        <v>44409</v>
      </c>
      <c r="D890" s="468"/>
      <c r="E890" s="624">
        <f t="shared" si="19"/>
        <v>10</v>
      </c>
      <c r="F890" s="624">
        <f t="shared" si="19"/>
        <v>0</v>
      </c>
      <c r="G890" s="624">
        <f t="shared" si="19"/>
        <v>360</v>
      </c>
      <c r="H890" s="624">
        <f t="shared" si="19"/>
        <v>60</v>
      </c>
      <c r="I890" s="624">
        <f t="shared" si="19"/>
        <v>160</v>
      </c>
      <c r="J890" s="624">
        <f t="shared" si="19"/>
        <v>540</v>
      </c>
      <c r="K890" s="622">
        <f>SUM(E890:J890)</f>
        <v>1130</v>
      </c>
      <c r="L890" s="623">
        <f>L889+K890</f>
        <v>9994</v>
      </c>
      <c r="M890" s="745">
        <f>M889+K671</f>
        <v>4838</v>
      </c>
      <c r="N890" s="200"/>
      <c r="O890" s="199"/>
      <c r="P890" s="24"/>
      <c r="Q890" s="24"/>
      <c r="R890" s="398"/>
      <c r="S890" s="398"/>
      <c r="T890" s="398"/>
      <c r="U890" s="398"/>
      <c r="V890" s="398"/>
      <c r="W890" s="398"/>
      <c r="X890" s="398"/>
      <c r="Y890" s="398"/>
      <c r="Z890" s="398"/>
      <c r="AA890" s="398"/>
      <c r="AB890" s="200"/>
    </row>
    <row r="891" spans="1:37" ht="25.05" customHeight="1">
      <c r="A891" s="199"/>
      <c r="B891" s="603" t="s">
        <v>2937</v>
      </c>
      <c r="C891" s="468"/>
      <c r="D891" s="468"/>
      <c r="E891" s="468"/>
      <c r="F891" s="468"/>
      <c r="G891" s="468"/>
      <c r="H891" s="468"/>
      <c r="I891" s="468"/>
      <c r="J891" s="468"/>
      <c r="K891" s="468"/>
      <c r="L891" s="468"/>
      <c r="M891" s="468"/>
      <c r="N891" s="200"/>
      <c r="O891" s="199"/>
      <c r="P891" s="24"/>
      <c r="Q891" s="24"/>
      <c r="R891" s="398"/>
      <c r="S891" s="398"/>
      <c r="T891" s="398"/>
      <c r="U891" s="398"/>
      <c r="V891" s="398"/>
      <c r="W891" s="398"/>
      <c r="X891" s="398"/>
      <c r="Y891" s="398"/>
      <c r="Z891" s="398"/>
      <c r="AA891" s="398"/>
      <c r="AB891" s="200"/>
    </row>
    <row r="892" spans="1:37" ht="10.050000000000001" customHeight="1">
      <c r="A892" s="199"/>
      <c r="B892" s="24"/>
      <c r="C892" s="24"/>
      <c r="D892" s="24"/>
      <c r="E892" s="24"/>
      <c r="F892" s="24"/>
      <c r="G892" s="24"/>
      <c r="H892" s="24"/>
      <c r="I892" s="24"/>
      <c r="J892" s="24"/>
      <c r="K892" s="24"/>
      <c r="L892" s="24"/>
      <c r="M892" s="24"/>
      <c r="N892" s="200"/>
      <c r="O892" s="199"/>
      <c r="P892" s="24"/>
      <c r="Q892" s="24"/>
      <c r="R892" s="398"/>
      <c r="S892" s="398"/>
      <c r="T892" s="398"/>
      <c r="U892" s="398"/>
      <c r="V892" s="398"/>
      <c r="W892" s="398"/>
      <c r="X892" s="398"/>
      <c r="Y892" s="398"/>
      <c r="Z892" s="398"/>
      <c r="AA892" s="398"/>
      <c r="AB892" s="200"/>
    </row>
    <row r="893" spans="1:37" ht="30" customHeight="1">
      <c r="A893" s="210" t="s">
        <v>1148</v>
      </c>
      <c r="B893" s="399" t="s">
        <v>3158</v>
      </c>
      <c r="C893" s="582"/>
      <c r="D893" s="582"/>
      <c r="E893" s="583"/>
      <c r="F893" s="584"/>
      <c r="G893" s="582"/>
      <c r="H893" s="582"/>
      <c r="I893" s="582"/>
      <c r="J893" s="582"/>
      <c r="K893" s="582"/>
      <c r="L893" s="373"/>
      <c r="M893" s="373"/>
      <c r="N893" s="211" t="s">
        <v>1149</v>
      </c>
      <c r="O893" s="372"/>
      <c r="P893" s="396" t="s">
        <v>2563</v>
      </c>
      <c r="Q893" s="373"/>
      <c r="R893" s="373"/>
      <c r="S893" s="373"/>
      <c r="T893" s="373"/>
      <c r="U893" s="373"/>
      <c r="V893" s="373"/>
      <c r="W893" s="373"/>
      <c r="X893" s="373"/>
      <c r="Y893" s="373"/>
      <c r="Z893" s="373"/>
      <c r="AA893" s="373"/>
      <c r="AB893" s="211" t="s">
        <v>1149</v>
      </c>
    </row>
    <row r="894" spans="1:37" ht="10.050000000000001" customHeight="1">
      <c r="A894" s="199"/>
      <c r="B894" s="24"/>
      <c r="C894" s="24"/>
      <c r="D894" s="24"/>
      <c r="E894" s="24"/>
      <c r="F894" s="24"/>
      <c r="G894" s="24"/>
      <c r="H894" s="24"/>
      <c r="I894" s="24"/>
      <c r="J894" s="24"/>
      <c r="K894" s="24"/>
      <c r="L894" s="24"/>
      <c r="M894" s="24"/>
      <c r="N894" s="200"/>
      <c r="O894" s="199"/>
      <c r="P894" s="24"/>
      <c r="Q894" s="24"/>
      <c r="R894" s="398"/>
      <c r="S894" s="398"/>
      <c r="T894" s="398"/>
      <c r="U894" s="398"/>
      <c r="V894" s="398"/>
      <c r="W894" s="398"/>
      <c r="X894" s="398"/>
      <c r="Y894" s="398"/>
      <c r="Z894" s="398"/>
      <c r="AA894" s="398"/>
      <c r="AB894" s="200"/>
    </row>
    <row r="895" spans="1:37" ht="19.95" customHeight="1">
      <c r="A895" s="199"/>
      <c r="B895" s="762" t="s">
        <v>3000</v>
      </c>
      <c r="C895" s="719"/>
      <c r="D895" s="719"/>
      <c r="E895" s="719"/>
      <c r="F895" s="719"/>
      <c r="G895" s="719"/>
      <c r="H895" s="719"/>
      <c r="I895" s="719"/>
      <c r="J895" s="719"/>
      <c r="K895" s="719"/>
      <c r="L895" s="719"/>
      <c r="M895" s="719"/>
      <c r="N895" s="200"/>
      <c r="O895" s="199"/>
      <c r="P895" s="719"/>
      <c r="Q895" s="24"/>
      <c r="R895" s="398"/>
      <c r="S895" s="398"/>
      <c r="T895" s="398"/>
      <c r="U895" s="398"/>
      <c r="V895" s="398"/>
      <c r="W895" s="398"/>
      <c r="X895" s="398"/>
      <c r="Y895" s="398"/>
      <c r="Z895" s="398"/>
      <c r="AA895" s="398"/>
      <c r="AB895" s="200"/>
    </row>
    <row r="896" spans="1:37" ht="4.95" customHeight="1">
      <c r="A896" s="199"/>
      <c r="B896" s="24"/>
      <c r="C896" s="24"/>
      <c r="D896" s="24"/>
      <c r="E896" s="24"/>
      <c r="F896" s="24"/>
      <c r="G896" s="24"/>
      <c r="H896" s="719"/>
      <c r="I896" s="24"/>
      <c r="J896" s="24"/>
      <c r="K896" s="24"/>
      <c r="L896" s="24"/>
      <c r="M896" s="24"/>
      <c r="N896" s="200"/>
      <c r="O896" s="199"/>
      <c r="P896" s="24"/>
      <c r="Q896" s="24"/>
      <c r="R896" s="398"/>
      <c r="S896" s="398"/>
      <c r="T896" s="398"/>
      <c r="U896" s="398"/>
      <c r="V896" s="398"/>
      <c r="W896" s="398"/>
      <c r="X896" s="398"/>
      <c r="Y896" s="398"/>
      <c r="Z896" s="398"/>
      <c r="AA896" s="398"/>
      <c r="AB896" s="200"/>
    </row>
    <row r="897" spans="1:42" ht="19.95" customHeight="1">
      <c r="A897" s="199"/>
      <c r="B897" s="24"/>
      <c r="C897" s="24"/>
      <c r="D897" s="24"/>
      <c r="E897" s="24"/>
      <c r="F897" s="24"/>
      <c r="G897" s="24"/>
      <c r="H897" s="719"/>
      <c r="I897" s="24"/>
      <c r="J897" s="24"/>
      <c r="K897" s="24"/>
      <c r="L897" s="24"/>
      <c r="M897" s="24"/>
      <c r="N897" s="200"/>
      <c r="O897" s="199"/>
      <c r="P897" s="24"/>
      <c r="Q897" s="24"/>
      <c r="R897" s="398"/>
      <c r="S897" s="398"/>
      <c r="T897" s="398"/>
      <c r="U897" s="398"/>
      <c r="V897" s="398"/>
      <c r="W897" s="398"/>
      <c r="X897" s="398"/>
      <c r="Y897" s="398"/>
      <c r="Z897" s="398"/>
      <c r="AA897" s="398"/>
      <c r="AB897" s="200"/>
    </row>
    <row r="898" spans="1:42" ht="25.05" customHeight="1">
      <c r="A898" s="199"/>
      <c r="B898" s="24"/>
      <c r="C898" s="24"/>
      <c r="D898" s="24"/>
      <c r="E898" s="24"/>
      <c r="F898" s="24"/>
      <c r="G898" s="24"/>
      <c r="H898" s="719"/>
      <c r="I898" s="24"/>
      <c r="J898" s="24"/>
      <c r="K898" s="24"/>
      <c r="L898" s="24"/>
      <c r="M898" s="24"/>
      <c r="N898" s="200"/>
      <c r="O898" s="199"/>
      <c r="P898" s="24"/>
      <c r="Q898" s="24"/>
      <c r="R898" s="398"/>
      <c r="S898" s="398"/>
      <c r="T898" s="398"/>
      <c r="U898" s="398"/>
      <c r="V898" s="398"/>
      <c r="W898" s="398"/>
      <c r="X898" s="398"/>
      <c r="Y898" s="398"/>
      <c r="Z898" s="398"/>
      <c r="AA898" s="398"/>
      <c r="AB898" s="200"/>
    </row>
    <row r="899" spans="1:42" ht="25.05" customHeight="1" thickBot="1">
      <c r="A899" s="199"/>
      <c r="B899" s="24"/>
      <c r="C899" s="24"/>
      <c r="D899" s="24"/>
      <c r="E899" s="24"/>
      <c r="F899" s="24"/>
      <c r="G899" s="24"/>
      <c r="H899" s="719"/>
      <c r="I899" s="24"/>
      <c r="J899" s="24"/>
      <c r="K899" s="24"/>
      <c r="L899" s="24"/>
      <c r="M899" s="24"/>
      <c r="N899" s="200"/>
      <c r="O899" s="199"/>
      <c r="P899" s="24"/>
      <c r="Q899" s="24"/>
      <c r="R899" s="398"/>
      <c r="S899" s="398"/>
      <c r="T899" s="398"/>
      <c r="U899" s="398"/>
      <c r="V899" s="398"/>
      <c r="W899" s="398"/>
      <c r="X899" s="398"/>
      <c r="Y899" s="398"/>
      <c r="Z899" s="398"/>
      <c r="AA899" s="398"/>
      <c r="AB899" s="200"/>
    </row>
    <row r="900" spans="1:42" ht="19.95" customHeight="1" thickBot="1">
      <c r="A900" s="199"/>
      <c r="B900" s="391"/>
      <c r="C900" s="759" t="s">
        <v>2969</v>
      </c>
      <c r="D900" s="1363"/>
      <c r="E900" s="1364"/>
      <c r="F900" s="1365"/>
      <c r="G900" s="24"/>
      <c r="H900" s="719"/>
      <c r="I900" s="24"/>
      <c r="J900" s="24"/>
      <c r="K900" s="24"/>
      <c r="L900" s="24"/>
      <c r="M900" s="24"/>
      <c r="N900" s="200"/>
      <c r="O900" s="199"/>
      <c r="P900" s="24"/>
      <c r="Q900" s="24"/>
      <c r="R900" s="398"/>
      <c r="S900" s="398"/>
      <c r="T900" s="398"/>
      <c r="U900" s="398"/>
      <c r="V900" s="398"/>
      <c r="W900" s="398"/>
      <c r="X900" s="398"/>
      <c r="Y900" s="398"/>
      <c r="Z900" s="398"/>
      <c r="AA900" s="398"/>
      <c r="AB900" s="200"/>
    </row>
    <row r="901" spans="1:42" ht="18" customHeight="1">
      <c r="A901" s="199"/>
      <c r="B901" s="391"/>
      <c r="C901" s="391"/>
      <c r="D901" s="391"/>
      <c r="E901" s="391"/>
      <c r="F901" s="391"/>
      <c r="G901" s="391"/>
      <c r="H901" s="391"/>
      <c r="I901" s="1433" t="s">
        <v>2957</v>
      </c>
      <c r="J901" s="1433"/>
      <c r="K901" s="1433"/>
      <c r="L901" s="758"/>
      <c r="M901" s="24"/>
      <c r="N901" s="200"/>
      <c r="O901" s="199"/>
      <c r="P901" s="24"/>
      <c r="Q901" s="24"/>
      <c r="R901" s="398"/>
      <c r="S901" s="398"/>
      <c r="T901" s="398"/>
      <c r="U901" s="398"/>
      <c r="V901" s="398"/>
      <c r="W901" s="398"/>
      <c r="X901" s="398"/>
      <c r="Y901" s="398"/>
      <c r="Z901" s="398"/>
      <c r="AA901" s="200"/>
      <c r="AB901" s="200"/>
      <c r="AI901" s="459" t="str">
        <f>CONCATENATE(AK901,AL901,AM901,AN901)</f>
        <v/>
      </c>
      <c r="AK901" s="409" t="str">
        <f>IF($D$900=AO$901,AK908,IF($D$900=AO$902,AK911,IF($D$900=AO$903,AK914,IF($D$900=AO$904,AK917,IF($D$900=AO$905,AK920,IF($D$900=AO$906,AK923,""))))))</f>
        <v/>
      </c>
      <c r="AO901" s="2" t="s">
        <v>2950</v>
      </c>
    </row>
    <row r="902" spans="1:42" ht="18" customHeight="1">
      <c r="A902" s="199"/>
      <c r="B902" s="391"/>
      <c r="C902" s="391"/>
      <c r="D902" s="391"/>
      <c r="E902" s="391"/>
      <c r="F902" s="391"/>
      <c r="G902" s="391"/>
      <c r="H902" s="1432" t="str">
        <f>AI901</f>
        <v/>
      </c>
      <c r="I902" s="1432"/>
      <c r="J902" s="1432"/>
      <c r="K902" s="1432"/>
      <c r="L902" s="1432"/>
      <c r="M902" s="24"/>
      <c r="N902" s="200"/>
      <c r="O902" s="199"/>
      <c r="P902" s="24"/>
      <c r="Q902" s="24"/>
      <c r="R902" s="398"/>
      <c r="S902" s="398"/>
      <c r="T902" s="398"/>
      <c r="U902" s="398"/>
      <c r="V902" s="398"/>
      <c r="W902" s="398"/>
      <c r="X902" s="398"/>
      <c r="Y902" s="398"/>
      <c r="Z902" s="398"/>
      <c r="AA902" s="398"/>
      <c r="AB902" s="200"/>
      <c r="AO902" s="2" t="s">
        <v>2959</v>
      </c>
    </row>
    <row r="903" spans="1:42" ht="18" customHeight="1">
      <c r="A903" s="199"/>
      <c r="B903" s="391"/>
      <c r="C903" s="391"/>
      <c r="D903" s="391"/>
      <c r="E903" s="391"/>
      <c r="F903" s="391"/>
      <c r="G903" s="391"/>
      <c r="H903" s="391"/>
      <c r="I903" s="1433" t="s">
        <v>2931</v>
      </c>
      <c r="J903" s="1433"/>
      <c r="K903" s="1433"/>
      <c r="L903" s="758"/>
      <c r="M903" s="24"/>
      <c r="N903" s="200"/>
      <c r="O903" s="199"/>
      <c r="P903" s="24"/>
      <c r="Q903" s="24"/>
      <c r="R903" s="398"/>
      <c r="S903" s="398"/>
      <c r="T903" s="398"/>
      <c r="U903" s="398"/>
      <c r="V903" s="398"/>
      <c r="W903" s="398"/>
      <c r="X903" s="398"/>
      <c r="Y903" s="398"/>
      <c r="Z903" s="398"/>
      <c r="AA903" s="398"/>
      <c r="AB903" s="200"/>
      <c r="AI903" s="459" t="str">
        <f>CONCATENATE(AK903,AL903,AM903,AN903)</f>
        <v/>
      </c>
      <c r="AK903" s="409" t="str">
        <f>IF($D$900=AO$901,AK909,IF($D$900=AO$902,AK912,IF($D$900=AO$903,AK915,IF($D$900=AO$904,AK918,IF($D$900=AO$905,AK921,IF($D$900=AO$906,AK924,""))))))</f>
        <v/>
      </c>
      <c r="AO903" s="2" t="s">
        <v>2412</v>
      </c>
    </row>
    <row r="904" spans="1:42" ht="18" customHeight="1">
      <c r="A904" s="199"/>
      <c r="B904" s="391"/>
      <c r="C904" s="391"/>
      <c r="D904" s="391"/>
      <c r="E904" s="391"/>
      <c r="F904" s="391"/>
      <c r="G904" s="391"/>
      <c r="H904" s="1432" t="str">
        <f>AI903</f>
        <v/>
      </c>
      <c r="I904" s="1432"/>
      <c r="J904" s="1432"/>
      <c r="K904" s="1432"/>
      <c r="L904" s="1432"/>
      <c r="M904" s="24"/>
      <c r="N904" s="200"/>
      <c r="O904" s="199"/>
      <c r="P904" s="24"/>
      <c r="Q904" s="24"/>
      <c r="R904" s="398"/>
      <c r="S904" s="398"/>
      <c r="T904" s="398"/>
      <c r="U904" s="398"/>
      <c r="V904" s="398"/>
      <c r="W904" s="398"/>
      <c r="X904" s="398"/>
      <c r="Y904" s="398"/>
      <c r="Z904" s="398"/>
      <c r="AA904" s="398"/>
      <c r="AB904" s="200"/>
      <c r="AO904" s="2" t="s">
        <v>2422</v>
      </c>
    </row>
    <row r="905" spans="1:42" ht="18" customHeight="1">
      <c r="A905" s="199"/>
      <c r="B905" s="391"/>
      <c r="C905" s="391"/>
      <c r="D905" s="391"/>
      <c r="E905" s="391"/>
      <c r="F905" s="391"/>
      <c r="G905" s="391"/>
      <c r="H905" s="391"/>
      <c r="I905" s="1433" t="s">
        <v>2957</v>
      </c>
      <c r="J905" s="1433"/>
      <c r="K905" s="1433"/>
      <c r="L905" s="758"/>
      <c r="M905" s="24"/>
      <c r="N905" s="200"/>
      <c r="O905" s="199"/>
      <c r="P905" s="24"/>
      <c r="Q905" s="24"/>
      <c r="R905" s="398"/>
      <c r="S905" s="398"/>
      <c r="T905" s="398"/>
      <c r="U905" s="398"/>
      <c r="V905" s="398"/>
      <c r="W905" s="398"/>
      <c r="X905" s="398"/>
      <c r="Y905" s="398"/>
      <c r="Z905" s="398"/>
      <c r="AA905" s="398"/>
      <c r="AB905" s="200"/>
      <c r="AI905" s="459" t="str">
        <f>CONCATENATE(AK905,AL905,AM905,AN905)</f>
        <v/>
      </c>
      <c r="AK905" s="409" t="str">
        <f>IF($D$900=AO$901,AK910,IF($D$900=AO$902,AK913,IF($D$900=AO$903,AK916,IF($D$900=AO$904,AK919,IF($D$900=AO$905,AK922,IF($D$900=AO$906,AK925,""))))))</f>
        <v/>
      </c>
      <c r="AO905" s="2" t="s">
        <v>2949</v>
      </c>
    </row>
    <row r="906" spans="1:42" ht="18" customHeight="1">
      <c r="A906" s="199"/>
      <c r="B906" s="391"/>
      <c r="C906" s="391"/>
      <c r="D906" s="391"/>
      <c r="E906" s="391"/>
      <c r="F906" s="391"/>
      <c r="G906" s="391"/>
      <c r="H906" s="1432" t="str">
        <f>AI905</f>
        <v/>
      </c>
      <c r="I906" s="1432"/>
      <c r="J906" s="1432"/>
      <c r="K906" s="1432"/>
      <c r="L906" s="1432"/>
      <c r="M906" s="757"/>
      <c r="N906" s="200"/>
      <c r="O906" s="199"/>
      <c r="P906" s="24"/>
      <c r="Q906" s="24"/>
      <c r="R906" s="398"/>
      <c r="S906" s="398"/>
      <c r="T906" s="398"/>
      <c r="U906" s="398"/>
      <c r="V906" s="398"/>
      <c r="W906" s="398"/>
      <c r="X906" s="398"/>
      <c r="Y906" s="398"/>
      <c r="Z906" s="398"/>
      <c r="AA906" s="398"/>
      <c r="AB906" s="200"/>
      <c r="AO906" s="2" t="s">
        <v>2960</v>
      </c>
    </row>
    <row r="907" spans="1:42" ht="19.95" customHeight="1">
      <c r="A907" s="199"/>
      <c r="B907" s="391"/>
      <c r="C907" s="391"/>
      <c r="D907" s="391"/>
      <c r="E907" s="391"/>
      <c r="F907" s="391"/>
      <c r="G907" s="391"/>
      <c r="H907" s="391"/>
      <c r="I907" s="24"/>
      <c r="J907" s="24"/>
      <c r="K907" s="24"/>
      <c r="L907" s="24"/>
      <c r="M907" s="24"/>
      <c r="N907" s="200"/>
      <c r="O907" s="199"/>
      <c r="P907" s="24"/>
      <c r="Q907" s="24"/>
      <c r="R907" s="398"/>
      <c r="S907" s="398"/>
      <c r="T907" s="398"/>
      <c r="U907" s="398"/>
      <c r="V907" s="398"/>
      <c r="W907" s="398"/>
      <c r="X907" s="398"/>
      <c r="Y907" s="398"/>
      <c r="Z907" s="398"/>
      <c r="AA907" s="398"/>
      <c r="AB907" s="200"/>
    </row>
    <row r="908" spans="1:42" ht="22.95" customHeight="1">
      <c r="A908" s="199"/>
      <c r="B908" s="748" t="s">
        <v>2939</v>
      </c>
      <c r="C908" s="746"/>
      <c r="D908" s="746"/>
      <c r="E908" s="746"/>
      <c r="F908" s="746"/>
      <c r="G908" s="746"/>
      <c r="H908" s="746"/>
      <c r="I908" s="747"/>
      <c r="J908" s="1368" t="s">
        <v>1140</v>
      </c>
      <c r="K908" s="1368"/>
      <c r="L908" s="1367" t="s">
        <v>2068</v>
      </c>
      <c r="M908" s="1367"/>
      <c r="N908" s="200"/>
      <c r="O908" s="199"/>
      <c r="P908" s="24"/>
      <c r="Q908" s="24"/>
      <c r="R908" s="398"/>
      <c r="S908" s="398"/>
      <c r="T908" s="398"/>
      <c r="U908" s="398"/>
      <c r="V908" s="398"/>
      <c r="W908" s="398"/>
      <c r="X908" s="398"/>
      <c r="Y908" s="398"/>
      <c r="Z908" s="398"/>
      <c r="AA908" s="398"/>
      <c r="AB908" s="200"/>
      <c r="AI908" s="2" t="s">
        <v>2991</v>
      </c>
      <c r="AJ908" s="2">
        <v>1</v>
      </c>
      <c r="AK908" s="2" t="s">
        <v>2966</v>
      </c>
      <c r="AP908" s="2" t="s">
        <v>2958</v>
      </c>
    </row>
    <row r="909" spans="1:42" ht="19.95" customHeight="1">
      <c r="A909" s="199"/>
      <c r="B909" s="1456" t="s">
        <v>2997</v>
      </c>
      <c r="C909" s="1456"/>
      <c r="D909" s="1456"/>
      <c r="E909" s="1456"/>
      <c r="F909" s="1456"/>
      <c r="G909" s="1456"/>
      <c r="H909" s="1456"/>
      <c r="I909" s="1456"/>
      <c r="J909" s="1456"/>
      <c r="K909" s="1456"/>
      <c r="L909" s="1456"/>
      <c r="M909" s="1456"/>
      <c r="N909" s="200"/>
      <c r="O909" s="199"/>
      <c r="P909" s="778" t="s">
        <v>3206</v>
      </c>
      <c r="Q909" s="24"/>
      <c r="R909" s="398"/>
      <c r="S909" s="398"/>
      <c r="T909" s="398"/>
      <c r="U909" s="398"/>
      <c r="V909" s="398"/>
      <c r="W909" s="398"/>
      <c r="X909" s="398"/>
      <c r="Y909" s="398"/>
      <c r="Z909" s="398"/>
      <c r="AA909" s="398"/>
      <c r="AB909" s="200"/>
      <c r="AI909" s="2" t="s">
        <v>2990</v>
      </c>
      <c r="AJ909" s="2">
        <v>1</v>
      </c>
      <c r="AK909" s="2" t="s">
        <v>2967</v>
      </c>
      <c r="AP909" s="2" t="s">
        <v>2958</v>
      </c>
    </row>
    <row r="910" spans="1:42" ht="19.95" customHeight="1">
      <c r="A910" s="199"/>
      <c r="B910" s="1277"/>
      <c r="C910" s="1277"/>
      <c r="D910" s="1277"/>
      <c r="E910" s="1277"/>
      <c r="F910" s="1277"/>
      <c r="G910" s="1277"/>
      <c r="H910" s="1277"/>
      <c r="I910" s="1277"/>
      <c r="J910" s="1277"/>
      <c r="K910" s="1277"/>
      <c r="L910" s="1277"/>
      <c r="M910" s="1277"/>
      <c r="N910" s="200"/>
      <c r="O910" s="199"/>
      <c r="P910" s="778" t="s">
        <v>2944</v>
      </c>
      <c r="Q910" s="24"/>
      <c r="R910" s="398"/>
      <c r="S910" s="398"/>
      <c r="T910" s="398"/>
      <c r="U910" s="398"/>
      <c r="V910" s="398"/>
      <c r="W910" s="398"/>
      <c r="X910" s="398"/>
      <c r="Y910" s="398"/>
      <c r="Z910" s="398"/>
      <c r="AA910" s="398"/>
      <c r="AB910" s="200"/>
      <c r="AI910" s="2" t="s">
        <v>2992</v>
      </c>
      <c r="AJ910" s="2">
        <v>1</v>
      </c>
      <c r="AK910" s="2" t="s">
        <v>2968</v>
      </c>
      <c r="AP910" s="2" t="s">
        <v>2958</v>
      </c>
    </row>
    <row r="911" spans="1:42" ht="4.95" customHeight="1">
      <c r="A911" s="199"/>
      <c r="B911" s="601"/>
      <c r="C911" s="601"/>
      <c r="D911" s="601"/>
      <c r="E911" s="601"/>
      <c r="F911" s="601"/>
      <c r="G911" s="601"/>
      <c r="H911" s="601"/>
      <c r="I911" s="601"/>
      <c r="J911" s="601"/>
      <c r="K911" s="601"/>
      <c r="L911" s="601"/>
      <c r="M911" s="24"/>
      <c r="N911" s="200"/>
      <c r="O911" s="199"/>
      <c r="P911" s="904"/>
      <c r="Q911" s="24"/>
      <c r="R911" s="398"/>
      <c r="S911" s="398"/>
      <c r="T911" s="398"/>
      <c r="U911" s="398"/>
      <c r="V911" s="398"/>
      <c r="W911" s="398"/>
      <c r="X911" s="398"/>
      <c r="Y911" s="398"/>
      <c r="Z911" s="398"/>
      <c r="AA911" s="398"/>
      <c r="AB911" s="200"/>
      <c r="AI911" s="2" t="s">
        <v>2982</v>
      </c>
      <c r="AJ911" s="2">
        <v>2</v>
      </c>
      <c r="AK911" s="2" t="s">
        <v>2970</v>
      </c>
      <c r="AP911" s="2" t="s">
        <v>2961</v>
      </c>
    </row>
    <row r="912" spans="1:42" ht="22.95" customHeight="1">
      <c r="A912" s="199"/>
      <c r="B912" s="748" t="s">
        <v>2940</v>
      </c>
      <c r="C912" s="746"/>
      <c r="D912" s="746"/>
      <c r="E912" s="746"/>
      <c r="F912" s="746"/>
      <c r="G912" s="746"/>
      <c r="H912" s="746"/>
      <c r="I912" s="747"/>
      <c r="J912" s="1368" t="s">
        <v>1140</v>
      </c>
      <c r="K912" s="1368"/>
      <c r="L912" s="1367" t="s">
        <v>2068</v>
      </c>
      <c r="M912" s="1367"/>
      <c r="N912" s="200"/>
      <c r="O912" s="199"/>
      <c r="P912" s="904"/>
      <c r="Q912" s="24"/>
      <c r="R912" s="398"/>
      <c r="S912" s="398"/>
      <c r="T912" s="398"/>
      <c r="U912" s="398"/>
      <c r="V912" s="398"/>
      <c r="W912" s="398"/>
      <c r="X912" s="398"/>
      <c r="Y912" s="398"/>
      <c r="Z912" s="398"/>
      <c r="AA912" s="398"/>
      <c r="AB912" s="200"/>
      <c r="AI912" s="2" t="s">
        <v>2986</v>
      </c>
      <c r="AJ912" s="2">
        <v>2</v>
      </c>
      <c r="AK912" s="2" t="s">
        <v>2971</v>
      </c>
      <c r="AP912" s="2" t="s">
        <v>2961</v>
      </c>
    </row>
    <row r="913" spans="1:42" ht="19.95" customHeight="1">
      <c r="A913" s="199"/>
      <c r="B913" s="1456" t="s">
        <v>3152</v>
      </c>
      <c r="C913" s="1456"/>
      <c r="D913" s="1456"/>
      <c r="E913" s="1456"/>
      <c r="F913" s="1456"/>
      <c r="G913" s="1456"/>
      <c r="H913" s="1456"/>
      <c r="I913" s="1456"/>
      <c r="J913" s="1456"/>
      <c r="K913" s="1456"/>
      <c r="L913" s="1456"/>
      <c r="M913" s="1456"/>
      <c r="N913" s="200"/>
      <c r="O913" s="199"/>
      <c r="P913" s="778" t="s">
        <v>3207</v>
      </c>
      <c r="Q913" s="24"/>
      <c r="R913" s="398"/>
      <c r="S913" s="398"/>
      <c r="T913" s="398"/>
      <c r="U913" s="398"/>
      <c r="V913" s="398"/>
      <c r="W913" s="398"/>
      <c r="X913" s="398"/>
      <c r="Y913" s="398"/>
      <c r="Z913" s="398"/>
      <c r="AA913" s="398"/>
      <c r="AB913" s="200"/>
      <c r="AI913" s="2" t="s">
        <v>2993</v>
      </c>
      <c r="AJ913" s="2">
        <v>2</v>
      </c>
      <c r="AK913" s="2" t="s">
        <v>2972</v>
      </c>
      <c r="AP913" s="2" t="s">
        <v>2961</v>
      </c>
    </row>
    <row r="914" spans="1:42" ht="19.95" customHeight="1">
      <c r="A914" s="199"/>
      <c r="B914" s="1277"/>
      <c r="C914" s="1277"/>
      <c r="D914" s="1277"/>
      <c r="E914" s="1277"/>
      <c r="F914" s="1277"/>
      <c r="G914" s="1277"/>
      <c r="H914" s="1277"/>
      <c r="I914" s="1277"/>
      <c r="J914" s="1277"/>
      <c r="K914" s="1277"/>
      <c r="L914" s="1277"/>
      <c r="M914" s="1277"/>
      <c r="N914" s="200"/>
      <c r="O914" s="199"/>
      <c r="P914" s="778" t="s">
        <v>2945</v>
      </c>
      <c r="Q914" s="24"/>
      <c r="R914" s="398"/>
      <c r="S914" s="398"/>
      <c r="T914" s="398"/>
      <c r="U914" s="398"/>
      <c r="V914" s="398"/>
      <c r="W914" s="398"/>
      <c r="X914" s="398"/>
      <c r="Y914" s="398"/>
      <c r="Z914" s="398"/>
      <c r="AA914" s="398"/>
      <c r="AB914" s="200"/>
      <c r="AI914" s="2" t="s">
        <v>2983</v>
      </c>
      <c r="AJ914" s="2">
        <v>3</v>
      </c>
      <c r="AK914" s="2" t="s">
        <v>2973</v>
      </c>
      <c r="AP914" s="2" t="s">
        <v>2962</v>
      </c>
    </row>
    <row r="915" spans="1:42" ht="4.95" customHeight="1">
      <c r="A915" s="199"/>
      <c r="B915" s="601"/>
      <c r="C915" s="601"/>
      <c r="D915" s="601"/>
      <c r="E915" s="601"/>
      <c r="F915" s="601"/>
      <c r="G915" s="601"/>
      <c r="H915" s="601"/>
      <c r="I915" s="601"/>
      <c r="J915" s="601"/>
      <c r="K915" s="601"/>
      <c r="L915" s="601"/>
      <c r="M915" s="24"/>
      <c r="N915" s="200"/>
      <c r="O915" s="24"/>
      <c r="P915" s="904"/>
      <c r="Q915" s="24"/>
      <c r="R915" s="398"/>
      <c r="S915" s="398"/>
      <c r="T915" s="398"/>
      <c r="U915" s="398"/>
      <c r="V915" s="398"/>
      <c r="W915" s="398"/>
      <c r="X915" s="398"/>
      <c r="Y915" s="398"/>
      <c r="Z915" s="398"/>
      <c r="AA915" s="398"/>
      <c r="AB915" s="200"/>
      <c r="AI915" s="2" t="s">
        <v>2987</v>
      </c>
      <c r="AJ915" s="2">
        <v>3</v>
      </c>
      <c r="AK915" s="2" t="s">
        <v>2974</v>
      </c>
      <c r="AP915" s="2" t="s">
        <v>2962</v>
      </c>
    </row>
    <row r="916" spans="1:42" ht="22.95" customHeight="1">
      <c r="A916" s="199"/>
      <c r="B916" s="748" t="s">
        <v>2941</v>
      </c>
      <c r="C916" s="746"/>
      <c r="D916" s="746"/>
      <c r="E916" s="746"/>
      <c r="F916" s="746"/>
      <c r="G916" s="746"/>
      <c r="H916" s="746"/>
      <c r="I916" s="747"/>
      <c r="J916" s="1368" t="s">
        <v>1140</v>
      </c>
      <c r="K916" s="1368"/>
      <c r="L916" s="1367" t="s">
        <v>2068</v>
      </c>
      <c r="M916" s="1367"/>
      <c r="N916" s="200"/>
      <c r="O916" s="24"/>
      <c r="P916" s="904"/>
      <c r="Q916" s="24"/>
      <c r="R916" s="398"/>
      <c r="S916" s="398"/>
      <c r="T916" s="398"/>
      <c r="U916" s="398"/>
      <c r="V916" s="398"/>
      <c r="W916" s="398"/>
      <c r="X916" s="398"/>
      <c r="Y916" s="398"/>
      <c r="Z916" s="398"/>
      <c r="AA916" s="398"/>
      <c r="AB916" s="200"/>
      <c r="AI916" s="2" t="s">
        <v>2994</v>
      </c>
      <c r="AJ916" s="2">
        <v>3</v>
      </c>
      <c r="AK916" s="2" t="s">
        <v>2975</v>
      </c>
      <c r="AP916" s="2" t="s">
        <v>2962</v>
      </c>
    </row>
    <row r="917" spans="1:42" ht="19.95" customHeight="1">
      <c r="A917" s="199"/>
      <c r="B917" s="1456" t="s">
        <v>2998</v>
      </c>
      <c r="C917" s="1456"/>
      <c r="D917" s="1456"/>
      <c r="E917" s="1456"/>
      <c r="F917" s="1456"/>
      <c r="G917" s="1456"/>
      <c r="H917" s="1456"/>
      <c r="I917" s="1456"/>
      <c r="J917" s="1456"/>
      <c r="K917" s="1456"/>
      <c r="L917" s="1456"/>
      <c r="M917" s="1456"/>
      <c r="N917" s="200"/>
      <c r="O917" s="199"/>
      <c r="P917" s="778" t="s">
        <v>3208</v>
      </c>
      <c r="Q917" s="24"/>
      <c r="R917" s="398"/>
      <c r="S917" s="398"/>
      <c r="T917" s="398"/>
      <c r="U917" s="398"/>
      <c r="V917" s="398"/>
      <c r="W917" s="398"/>
      <c r="X917" s="398"/>
      <c r="Y917" s="398"/>
      <c r="Z917" s="398"/>
      <c r="AA917" s="398"/>
      <c r="AB917" s="200"/>
      <c r="AI917" s="2" t="s">
        <v>2984</v>
      </c>
      <c r="AJ917" s="2">
        <v>4</v>
      </c>
      <c r="AK917" s="2" t="s">
        <v>2976</v>
      </c>
      <c r="AP917" s="2" t="s">
        <v>2963</v>
      </c>
    </row>
    <row r="918" spans="1:42" ht="19.95" customHeight="1">
      <c r="A918" s="199"/>
      <c r="B918" s="1277"/>
      <c r="C918" s="1277"/>
      <c r="D918" s="1277"/>
      <c r="E918" s="1277"/>
      <c r="F918" s="1277"/>
      <c r="G918" s="1277"/>
      <c r="H918" s="1277"/>
      <c r="I918" s="1277"/>
      <c r="J918" s="1277"/>
      <c r="K918" s="1277"/>
      <c r="L918" s="1277"/>
      <c r="M918" s="1277"/>
      <c r="N918" s="200"/>
      <c r="O918" s="199"/>
      <c r="P918" s="778" t="s">
        <v>2069</v>
      </c>
      <c r="Q918" s="24"/>
      <c r="R918" s="398"/>
      <c r="S918" s="398"/>
      <c r="T918" s="398"/>
      <c r="U918" s="398"/>
      <c r="V918" s="398"/>
      <c r="W918" s="398"/>
      <c r="X918" s="398"/>
      <c r="Y918" s="398"/>
      <c r="Z918" s="398"/>
      <c r="AA918" s="398"/>
      <c r="AB918" s="200"/>
      <c r="AI918" s="2" t="s">
        <v>2988</v>
      </c>
      <c r="AJ918" s="2">
        <v>4</v>
      </c>
      <c r="AK918" s="2" t="s">
        <v>2977</v>
      </c>
      <c r="AP918" s="2" t="s">
        <v>2963</v>
      </c>
    </row>
    <row r="919" spans="1:42" ht="4.95" customHeight="1">
      <c r="A919" s="199"/>
      <c r="B919" s="601"/>
      <c r="C919" s="601"/>
      <c r="D919" s="601"/>
      <c r="E919" s="601"/>
      <c r="F919" s="601"/>
      <c r="G919" s="601"/>
      <c r="H919" s="601"/>
      <c r="I919" s="601"/>
      <c r="J919" s="601"/>
      <c r="K919" s="601"/>
      <c r="L919" s="601"/>
      <c r="M919" s="24"/>
      <c r="N919" s="200"/>
      <c r="O919" s="199"/>
      <c r="P919" s="904"/>
      <c r="Q919" s="24"/>
      <c r="R919" s="398"/>
      <c r="S919" s="398"/>
      <c r="T919" s="398"/>
      <c r="U919" s="398"/>
      <c r="V919" s="398"/>
      <c r="W919" s="398"/>
      <c r="X919" s="398"/>
      <c r="Y919" s="398"/>
      <c r="Z919" s="398"/>
      <c r="AA919" s="398"/>
      <c r="AB919" s="200"/>
      <c r="AI919" s="2" t="s">
        <v>2996</v>
      </c>
      <c r="AJ919" s="2">
        <v>4</v>
      </c>
      <c r="AK919" s="2" t="s">
        <v>2978</v>
      </c>
      <c r="AP919" s="2" t="s">
        <v>2963</v>
      </c>
    </row>
    <row r="920" spans="1:42" ht="22.95" customHeight="1">
      <c r="A920" s="199"/>
      <c r="B920" s="748" t="s">
        <v>2942</v>
      </c>
      <c r="C920" s="746"/>
      <c r="D920" s="746"/>
      <c r="E920" s="746"/>
      <c r="F920" s="746"/>
      <c r="G920" s="746"/>
      <c r="H920" s="746"/>
      <c r="I920" s="747"/>
      <c r="J920" s="1368" t="s">
        <v>1140</v>
      </c>
      <c r="K920" s="1368"/>
      <c r="L920" s="1367" t="s">
        <v>2068</v>
      </c>
      <c r="M920" s="1367"/>
      <c r="N920" s="200"/>
      <c r="O920" s="199"/>
      <c r="P920" s="904"/>
      <c r="Q920" s="24"/>
      <c r="R920" s="398"/>
      <c r="S920" s="398"/>
      <c r="T920" s="398"/>
      <c r="U920" s="398"/>
      <c r="V920" s="398"/>
      <c r="W920" s="398"/>
      <c r="X920" s="398"/>
      <c r="Y920" s="398"/>
      <c r="Z920" s="398"/>
      <c r="AA920" s="398"/>
      <c r="AB920" s="200"/>
      <c r="AI920" s="2" t="s">
        <v>2985</v>
      </c>
      <c r="AJ920" s="2">
        <v>5</v>
      </c>
      <c r="AK920" s="2" t="s">
        <v>2979</v>
      </c>
      <c r="AP920" s="2" t="s">
        <v>2964</v>
      </c>
    </row>
    <row r="921" spans="1:42" ht="19.95" customHeight="1">
      <c r="A921" s="199"/>
      <c r="B921" s="1456" t="s">
        <v>2999</v>
      </c>
      <c r="C921" s="1456"/>
      <c r="D921" s="1456"/>
      <c r="E921" s="1456"/>
      <c r="F921" s="1456"/>
      <c r="G921" s="1456"/>
      <c r="H921" s="1456"/>
      <c r="I921" s="1456"/>
      <c r="J921" s="1456"/>
      <c r="K921" s="1456"/>
      <c r="L921" s="1456"/>
      <c r="M921" s="1456"/>
      <c r="N921" s="200"/>
      <c r="O921" s="199"/>
      <c r="P921" s="778" t="s">
        <v>3209</v>
      </c>
      <c r="Q921" s="24"/>
      <c r="R921" s="398"/>
      <c r="S921" s="398"/>
      <c r="T921" s="398"/>
      <c r="U921" s="398"/>
      <c r="V921" s="398"/>
      <c r="W921" s="398"/>
      <c r="X921" s="398"/>
      <c r="Y921" s="398"/>
      <c r="Z921" s="398"/>
      <c r="AA921" s="398"/>
      <c r="AB921" s="200"/>
      <c r="AI921" s="2" t="s">
        <v>2989</v>
      </c>
      <c r="AJ921" s="2">
        <v>5</v>
      </c>
      <c r="AK921" s="2" t="s">
        <v>2980</v>
      </c>
      <c r="AP921" s="2" t="s">
        <v>2964</v>
      </c>
    </row>
    <row r="922" spans="1:42" ht="19.95" customHeight="1">
      <c r="A922" s="199"/>
      <c r="B922" s="1277"/>
      <c r="C922" s="1277"/>
      <c r="D922" s="1277"/>
      <c r="E922" s="1277"/>
      <c r="F922" s="1277"/>
      <c r="G922" s="1277"/>
      <c r="H922" s="1277"/>
      <c r="I922" s="1277"/>
      <c r="J922" s="1277"/>
      <c r="K922" s="1277"/>
      <c r="L922" s="1277"/>
      <c r="M922" s="1277"/>
      <c r="N922" s="200"/>
      <c r="O922" s="199"/>
      <c r="P922" s="778" t="s">
        <v>2070</v>
      </c>
      <c r="Q922" s="24"/>
      <c r="R922" s="398"/>
      <c r="S922" s="398"/>
      <c r="T922" s="398"/>
      <c r="U922" s="398"/>
      <c r="V922" s="398"/>
      <c r="W922" s="398"/>
      <c r="X922" s="398"/>
      <c r="Y922" s="398"/>
      <c r="Z922" s="398"/>
      <c r="AA922" s="398"/>
      <c r="AB922" s="200"/>
      <c r="AI922" s="2" t="s">
        <v>2995</v>
      </c>
      <c r="AJ922" s="2">
        <v>5</v>
      </c>
      <c r="AK922" s="2" t="s">
        <v>2981</v>
      </c>
      <c r="AP922" s="2" t="s">
        <v>2964</v>
      </c>
    </row>
    <row r="923" spans="1:42" ht="4.95" customHeight="1">
      <c r="A923" s="199"/>
      <c r="B923" s="601"/>
      <c r="C923" s="601"/>
      <c r="D923" s="601"/>
      <c r="E923" s="601"/>
      <c r="F923" s="601"/>
      <c r="G923" s="601"/>
      <c r="H923" s="601"/>
      <c r="I923" s="601"/>
      <c r="J923" s="601"/>
      <c r="K923" s="601"/>
      <c r="L923" s="601"/>
      <c r="M923" s="24"/>
      <c r="N923" s="200"/>
      <c r="O923" s="199"/>
      <c r="P923" s="904"/>
      <c r="Q923" s="24"/>
      <c r="R923" s="398"/>
      <c r="S923" s="398"/>
      <c r="T923" s="398"/>
      <c r="U923" s="398"/>
      <c r="V923" s="398"/>
      <c r="W923" s="398"/>
      <c r="X923" s="398"/>
      <c r="Y923" s="398"/>
      <c r="Z923" s="398"/>
      <c r="AA923" s="398"/>
      <c r="AB923" s="200"/>
      <c r="AJ923" s="2">
        <v>6</v>
      </c>
      <c r="AK923" s="2" t="s">
        <v>2965</v>
      </c>
      <c r="AP923" s="2" t="s">
        <v>2965</v>
      </c>
    </row>
    <row r="924" spans="1:42" ht="22.95" customHeight="1">
      <c r="A924" s="199"/>
      <c r="B924" s="748" t="s">
        <v>2943</v>
      </c>
      <c r="C924" s="746"/>
      <c r="D924" s="746"/>
      <c r="E924" s="746"/>
      <c r="F924" s="746"/>
      <c r="G924" s="746"/>
      <c r="H924" s="746"/>
      <c r="I924" s="747"/>
      <c r="J924" s="1368" t="s">
        <v>1140</v>
      </c>
      <c r="K924" s="1368"/>
      <c r="L924" s="1367" t="s">
        <v>2068</v>
      </c>
      <c r="M924" s="1367"/>
      <c r="N924" s="200"/>
      <c r="O924" s="199"/>
      <c r="P924" s="904"/>
      <c r="Q924" s="24"/>
      <c r="R924" s="398"/>
      <c r="S924" s="398"/>
      <c r="T924" s="398"/>
      <c r="U924" s="398"/>
      <c r="V924" s="398"/>
      <c r="W924" s="398"/>
      <c r="X924" s="398"/>
      <c r="Y924" s="398"/>
      <c r="Z924" s="398"/>
      <c r="AA924" s="398"/>
      <c r="AB924" s="200"/>
      <c r="AJ924" s="2">
        <v>6</v>
      </c>
      <c r="AK924" s="2" t="s">
        <v>2965</v>
      </c>
      <c r="AP924" s="2" t="s">
        <v>2965</v>
      </c>
    </row>
    <row r="925" spans="1:42" ht="19.95" customHeight="1">
      <c r="A925" s="199"/>
      <c r="B925" s="1456" t="s">
        <v>3211</v>
      </c>
      <c r="C925" s="1456"/>
      <c r="D925" s="1456"/>
      <c r="E925" s="1456"/>
      <c r="F925" s="1456"/>
      <c r="G925" s="1456"/>
      <c r="H925" s="1456"/>
      <c r="I925" s="1456"/>
      <c r="J925" s="1456"/>
      <c r="K925" s="1456"/>
      <c r="L925" s="1456"/>
      <c r="M925" s="1456"/>
      <c r="N925" s="200"/>
      <c r="O925" s="199"/>
      <c r="P925" s="778" t="s">
        <v>3210</v>
      </c>
      <c r="Q925" s="24"/>
      <c r="R925" s="398"/>
      <c r="S925" s="398"/>
      <c r="T925" s="398"/>
      <c r="U925" s="398"/>
      <c r="V925" s="398"/>
      <c r="W925" s="398"/>
      <c r="X925" s="398"/>
      <c r="Y925" s="398"/>
      <c r="Z925" s="398"/>
      <c r="AA925" s="398"/>
      <c r="AB925" s="200"/>
      <c r="AJ925" s="2">
        <v>6</v>
      </c>
      <c r="AK925" s="2" t="s">
        <v>2965</v>
      </c>
      <c r="AP925" s="2" t="s">
        <v>2965</v>
      </c>
    </row>
    <row r="926" spans="1:42" ht="19.95" customHeight="1">
      <c r="A926" s="199"/>
      <c r="B926" s="1277"/>
      <c r="C926" s="1277"/>
      <c r="D926" s="1277"/>
      <c r="E926" s="1277"/>
      <c r="F926" s="1277"/>
      <c r="G926" s="1277"/>
      <c r="H926" s="1277"/>
      <c r="I926" s="1277"/>
      <c r="J926" s="1277"/>
      <c r="K926" s="1277"/>
      <c r="L926" s="1277"/>
      <c r="M926" s="1277"/>
      <c r="N926" s="200"/>
      <c r="O926" s="199"/>
      <c r="P926" s="778" t="s">
        <v>2071</v>
      </c>
      <c r="Q926" s="24"/>
      <c r="R926" s="398"/>
      <c r="S926" s="398"/>
      <c r="T926" s="398"/>
      <c r="U926" s="398"/>
      <c r="V926" s="398"/>
      <c r="W926" s="398"/>
      <c r="X926" s="398"/>
      <c r="Y926" s="398"/>
      <c r="Z926" s="398"/>
      <c r="AA926" s="398"/>
      <c r="AB926" s="200"/>
    </row>
    <row r="927" spans="1:42" ht="4.95" customHeight="1">
      <c r="A927" s="199"/>
      <c r="B927" s="391"/>
      <c r="C927" s="391"/>
      <c r="D927" s="391"/>
      <c r="E927" s="391"/>
      <c r="F927" s="391"/>
      <c r="G927" s="391"/>
      <c r="H927" s="391"/>
      <c r="I927" s="391"/>
      <c r="J927" s="24"/>
      <c r="K927" s="24"/>
      <c r="L927" s="24"/>
      <c r="M927" s="24"/>
      <c r="N927" s="200"/>
      <c r="O927" s="199"/>
      <c r="P927" s="24"/>
      <c r="Q927" s="24"/>
      <c r="R927" s="398"/>
      <c r="S927" s="398"/>
      <c r="T927" s="398"/>
      <c r="U927" s="398"/>
      <c r="V927" s="398"/>
      <c r="W927" s="398"/>
      <c r="X927" s="398"/>
      <c r="Y927" s="398"/>
      <c r="Z927" s="398"/>
      <c r="AA927" s="398"/>
      <c r="AB927" s="200"/>
    </row>
    <row r="928" spans="1:42" ht="19.95" customHeight="1">
      <c r="A928" s="199"/>
      <c r="B928" s="391"/>
      <c r="C928" s="391"/>
      <c r="D928" s="391"/>
      <c r="E928" s="391"/>
      <c r="F928" s="391"/>
      <c r="G928" s="391"/>
      <c r="H928" s="391"/>
      <c r="I928" s="391"/>
      <c r="J928" s="391"/>
      <c r="K928" s="391"/>
      <c r="L928" s="391"/>
      <c r="M928" s="391"/>
      <c r="N928" s="200"/>
      <c r="O928" s="199"/>
      <c r="P928" s="24"/>
      <c r="Q928" s="24"/>
      <c r="R928" s="398"/>
      <c r="S928" s="398"/>
      <c r="T928" s="398"/>
      <c r="U928" s="398"/>
      <c r="V928" s="398"/>
      <c r="W928" s="398"/>
      <c r="X928" s="398"/>
      <c r="Y928" s="398"/>
      <c r="Z928" s="398"/>
      <c r="AA928" s="398"/>
      <c r="AB928" s="200"/>
    </row>
    <row r="929" spans="1:49" ht="19.95" customHeight="1">
      <c r="A929" s="199"/>
      <c r="B929" s="391"/>
      <c r="C929" s="391"/>
      <c r="D929" s="391"/>
      <c r="E929" s="391"/>
      <c r="F929" s="391"/>
      <c r="G929" s="391"/>
      <c r="H929" s="391"/>
      <c r="I929" s="391"/>
      <c r="J929" s="391"/>
      <c r="K929" s="391"/>
      <c r="L929" s="391"/>
      <c r="M929" s="391"/>
      <c r="N929" s="200"/>
      <c r="O929" s="199"/>
      <c r="P929" s="24"/>
      <c r="Q929" s="24"/>
      <c r="R929" s="398"/>
      <c r="S929" s="398"/>
      <c r="T929" s="398"/>
      <c r="U929" s="398"/>
      <c r="V929" s="398"/>
      <c r="W929" s="398"/>
      <c r="X929" s="398"/>
      <c r="Y929" s="398"/>
      <c r="Z929" s="398"/>
      <c r="AA929" s="398"/>
      <c r="AB929" s="200"/>
    </row>
    <row r="930" spans="1:49" ht="4.95" customHeight="1">
      <c r="A930" s="199"/>
      <c r="B930" s="24"/>
      <c r="C930" s="24"/>
      <c r="D930" s="24"/>
      <c r="E930" s="24"/>
      <c r="F930" s="24"/>
      <c r="G930" s="24"/>
      <c r="H930" s="24"/>
      <c r="I930" s="24"/>
      <c r="J930" s="24"/>
      <c r="K930" s="24"/>
      <c r="L930" s="24"/>
      <c r="M930" s="24"/>
      <c r="N930" s="200"/>
      <c r="O930" s="199"/>
      <c r="P930" s="24"/>
      <c r="Q930" s="24"/>
      <c r="R930" s="398"/>
      <c r="S930" s="398"/>
      <c r="T930" s="398"/>
      <c r="U930" s="398"/>
      <c r="V930" s="398"/>
      <c r="W930" s="398"/>
      <c r="X930" s="398"/>
      <c r="Y930" s="398"/>
      <c r="Z930" s="398"/>
      <c r="AA930" s="398"/>
      <c r="AB930" s="200"/>
    </row>
    <row r="931" spans="1:49" ht="30" customHeight="1">
      <c r="A931" s="210" t="s">
        <v>1148</v>
      </c>
      <c r="B931" s="399" t="s">
        <v>3097</v>
      </c>
      <c r="C931" s="582"/>
      <c r="D931" s="582"/>
      <c r="E931" s="583"/>
      <c r="F931" s="584"/>
      <c r="G931" s="582"/>
      <c r="H931" s="582"/>
      <c r="I931" s="582"/>
      <c r="J931" s="582"/>
      <c r="K931" s="582"/>
      <c r="L931" s="373"/>
      <c r="M931" s="373"/>
      <c r="N931" s="211" t="s">
        <v>1149</v>
      </c>
      <c r="O931" s="372"/>
      <c r="P931" s="374"/>
      <c r="Q931" s="373"/>
      <c r="R931" s="373"/>
      <c r="S931" s="373"/>
      <c r="T931" s="373"/>
      <c r="U931" s="373"/>
      <c r="V931" s="373"/>
      <c r="W931" s="373"/>
      <c r="X931" s="373"/>
      <c r="Y931" s="373"/>
      <c r="Z931" s="373"/>
      <c r="AA931" s="373"/>
      <c r="AB931" s="211" t="s">
        <v>1149</v>
      </c>
    </row>
    <row r="932" spans="1:49" ht="15" customHeight="1">
      <c r="A932" s="199"/>
      <c r="B932" s="24"/>
      <c r="C932" s="24"/>
      <c r="D932" s="24"/>
      <c r="E932" s="24"/>
      <c r="F932" s="24"/>
      <c r="G932" s="24"/>
      <c r="H932" s="24"/>
      <c r="I932" s="24"/>
      <c r="J932" s="24"/>
      <c r="K932" s="24"/>
      <c r="L932" s="24"/>
      <c r="M932" s="24"/>
      <c r="N932" s="200"/>
      <c r="O932" s="199"/>
      <c r="P932" s="24"/>
      <c r="Q932" s="24"/>
      <c r="R932" s="398"/>
      <c r="S932" s="398"/>
      <c r="T932" s="398"/>
      <c r="U932" s="398"/>
      <c r="V932" s="398"/>
      <c r="W932" s="398"/>
      <c r="X932" s="398"/>
      <c r="Y932" s="398"/>
      <c r="Z932" s="398"/>
      <c r="AA932" s="398"/>
      <c r="AB932" s="200"/>
    </row>
    <row r="933" spans="1:49" ht="19.95" customHeight="1">
      <c r="A933" s="199"/>
      <c r="B933" s="719" t="s">
        <v>3084</v>
      </c>
      <c r="C933" s="481"/>
      <c r="D933" s="481"/>
      <c r="E933" s="481"/>
      <c r="F933" s="481"/>
      <c r="G933" s="481"/>
      <c r="H933" s="481"/>
      <c r="I933" s="481"/>
      <c r="J933" s="481"/>
      <c r="K933" s="481"/>
      <c r="L933" s="481"/>
      <c r="M933" s="481"/>
      <c r="N933" s="200"/>
      <c r="O933" s="199"/>
      <c r="P933" s="24"/>
      <c r="Q933" s="24"/>
      <c r="R933" s="398"/>
      <c r="S933" s="398"/>
      <c r="T933" s="398"/>
      <c r="U933" s="398"/>
      <c r="V933" s="398"/>
      <c r="W933" s="398"/>
      <c r="X933" s="398"/>
      <c r="Y933" s="398"/>
      <c r="Z933" s="398"/>
      <c r="AA933" s="398"/>
      <c r="AB933" s="200"/>
    </row>
    <row r="934" spans="1:49" ht="4.95" customHeight="1">
      <c r="A934" s="199"/>
      <c r="B934" s="24"/>
      <c r="C934" s="24"/>
      <c r="D934" s="24"/>
      <c r="E934" s="24"/>
      <c r="F934" s="24"/>
      <c r="G934" s="24"/>
      <c r="H934" s="24"/>
      <c r="I934" s="24"/>
      <c r="J934" s="24"/>
      <c r="K934" s="24"/>
      <c r="L934" s="24"/>
      <c r="M934" s="24"/>
      <c r="N934" s="200"/>
      <c r="O934" s="199"/>
      <c r="P934" s="24"/>
      <c r="Q934" s="24"/>
      <c r="R934" s="398"/>
      <c r="S934" s="398"/>
      <c r="T934" s="398"/>
      <c r="U934" s="398"/>
      <c r="V934" s="398"/>
      <c r="W934" s="398"/>
      <c r="X934" s="398"/>
      <c r="Y934" s="398"/>
      <c r="Z934" s="398"/>
      <c r="AA934" s="398"/>
      <c r="AB934" s="200"/>
    </row>
    <row r="935" spans="1:49" ht="34.950000000000003" customHeight="1">
      <c r="A935" s="199"/>
      <c r="B935" s="481"/>
      <c r="C935" s="24"/>
      <c r="D935" s="24"/>
      <c r="E935" s="24"/>
      <c r="F935" s="24"/>
      <c r="G935" s="24"/>
      <c r="H935" s="24"/>
      <c r="I935" s="24"/>
      <c r="J935" s="24"/>
      <c r="K935" s="24"/>
      <c r="L935" s="24"/>
      <c r="M935" s="24"/>
      <c r="N935" s="200"/>
      <c r="O935" s="199"/>
      <c r="P935" s="24"/>
      <c r="Q935" s="24"/>
      <c r="R935" s="398"/>
      <c r="S935" s="398"/>
      <c r="T935" s="398"/>
      <c r="U935" s="398"/>
      <c r="V935" s="398"/>
      <c r="W935" s="398"/>
      <c r="X935" s="398"/>
      <c r="Y935" s="398"/>
      <c r="Z935" s="398"/>
      <c r="AA935" s="398"/>
      <c r="AB935" s="200"/>
      <c r="AO935" s="2">
        <v>1</v>
      </c>
      <c r="AP935" s="2" t="s">
        <v>3024</v>
      </c>
    </row>
    <row r="936" spans="1:49" ht="22.95" customHeight="1">
      <c r="A936" s="199"/>
      <c r="B936" s="601"/>
      <c r="C936" s="601"/>
      <c r="D936" s="601"/>
      <c r="E936" s="601"/>
      <c r="F936" s="601"/>
      <c r="G936" s="601"/>
      <c r="H936" s="601"/>
      <c r="I936" s="601"/>
      <c r="J936" s="601"/>
      <c r="K936" s="601"/>
      <c r="L936" s="601"/>
      <c r="M936" s="601"/>
      <c r="N936" s="200"/>
      <c r="O936" s="199"/>
      <c r="P936" s="24"/>
      <c r="Q936" s="24"/>
      <c r="R936" s="398"/>
      <c r="S936" s="398"/>
      <c r="T936" s="398"/>
      <c r="U936" s="398"/>
      <c r="V936" s="398"/>
      <c r="W936" s="398"/>
      <c r="X936" s="398"/>
      <c r="Y936" s="398"/>
      <c r="Z936" s="398"/>
      <c r="AA936" s="398"/>
      <c r="AB936" s="200"/>
      <c r="AO936" s="2">
        <v>5</v>
      </c>
      <c r="AP936" s="2" t="s">
        <v>989</v>
      </c>
    </row>
    <row r="937" spans="1:49" ht="22.95" customHeight="1" thickBot="1">
      <c r="A937" s="199"/>
      <c r="B937" s="781" t="s">
        <v>3018</v>
      </c>
      <c r="C937" s="393"/>
      <c r="D937" s="1436"/>
      <c r="E937" s="1437"/>
      <c r="F937" s="782" t="s">
        <v>3019</v>
      </c>
      <c r="G937" s="393"/>
      <c r="H937" s="1436">
        <f ca="1">TODAY()</f>
        <v>44213</v>
      </c>
      <c r="I937" s="1437"/>
      <c r="J937" s="782"/>
      <c r="K937" s="783" t="s">
        <v>3022</v>
      </c>
      <c r="L937" s="1462" t="str">
        <f>AI937</f>
        <v>1 year</v>
      </c>
      <c r="M937" s="1462"/>
      <c r="N937" s="200"/>
      <c r="O937" s="199"/>
      <c r="P937" s="24"/>
      <c r="Q937" s="24"/>
      <c r="R937" s="398"/>
      <c r="S937" s="398"/>
      <c r="T937" s="398"/>
      <c r="U937" s="398"/>
      <c r="V937" s="398"/>
      <c r="W937" s="398"/>
      <c r="X937" s="398"/>
      <c r="Y937" s="398"/>
      <c r="Z937" s="398"/>
      <c r="AA937" s="398"/>
      <c r="AB937" s="200"/>
      <c r="AI937" s="2" t="str">
        <f>IF(D937="",CONCATENATE(AM937,AN937),CONCATENATE(AK937,AL937))</f>
        <v>1 year</v>
      </c>
      <c r="AJ937" s="779">
        <f ca="1">TODAY()</f>
        <v>44213</v>
      </c>
      <c r="AK937" s="2">
        <f ca="1">IF(OR(D937="",H937=""),0,ROUND((H937-D937)/365.25,2))</f>
        <v>0</v>
      </c>
      <c r="AL937" s="2" t="s">
        <v>3027</v>
      </c>
      <c r="AM937" s="2">
        <v>1</v>
      </c>
      <c r="AN937" s="2" t="s">
        <v>3028</v>
      </c>
      <c r="AO937" s="2">
        <v>25</v>
      </c>
      <c r="AP937" s="2" t="s">
        <v>999</v>
      </c>
    </row>
    <row r="938" spans="1:49" ht="22.95" customHeight="1" thickTop="1">
      <c r="A938" s="199"/>
      <c r="B938" s="781" t="s">
        <v>3020</v>
      </c>
      <c r="C938" s="393"/>
      <c r="D938" s="1434"/>
      <c r="E938" s="1435"/>
      <c r="F938" s="1444" t="s">
        <v>3021</v>
      </c>
      <c r="G938" s="1445"/>
      <c r="H938" s="1438"/>
      <c r="I938" s="1439"/>
      <c r="J938" s="782"/>
      <c r="K938" s="783" t="s">
        <v>3026</v>
      </c>
      <c r="L938" s="1462" t="str">
        <f>AI938</f>
        <v>$0</v>
      </c>
      <c r="M938" s="1462"/>
      <c r="N938" s="200"/>
      <c r="O938" s="199"/>
      <c r="P938" s="24"/>
      <c r="Q938" s="24"/>
      <c r="R938" s="398"/>
      <c r="S938" s="398"/>
      <c r="T938" s="398"/>
      <c r="U938" s="398"/>
      <c r="V938" s="398"/>
      <c r="W938" s="398"/>
      <c r="X938" s="398"/>
      <c r="Y938" s="398"/>
      <c r="Z938" s="398"/>
      <c r="AA938" s="398"/>
      <c r="AB938" s="200"/>
      <c r="AI938" s="2" t="str">
        <f>CONCATENATE(AL938,AM938)</f>
        <v>$0</v>
      </c>
      <c r="AJ938" s="2">
        <f>IF(D938="",0,ROUND((AJ937-D938)/365.25,0))</f>
        <v>0</v>
      </c>
      <c r="AK938" s="2">
        <f>IF(H938=AP935,AO935,IF(H938=AP936,AO936,IF(H938=AP937,AO937,IF(H938=AP938,AO938,IF(H938=AP939,AO939,0)))))</f>
        <v>0</v>
      </c>
      <c r="AL938" s="785" t="s">
        <v>1149</v>
      </c>
      <c r="AM938" s="2">
        <f>IF((AJ938*AK938)&lt;99.99,AJ938*AK938,TEXT((AJ938*AK938),"0,00"))</f>
        <v>0</v>
      </c>
      <c r="AO938" s="2">
        <v>125</v>
      </c>
      <c r="AP938" s="2" t="s">
        <v>990</v>
      </c>
    </row>
    <row r="939" spans="1:49" ht="4.95" customHeight="1" thickBot="1">
      <c r="A939" s="199"/>
      <c r="B939" s="778"/>
      <c r="C939" s="601"/>
      <c r="D939" s="601"/>
      <c r="E939" s="601"/>
      <c r="F939" s="601"/>
      <c r="G939" s="601"/>
      <c r="H939" s="601"/>
      <c r="I939" s="601"/>
      <c r="J939" s="601"/>
      <c r="K939" s="601"/>
      <c r="L939" s="601"/>
      <c r="M939" s="601"/>
      <c r="N939" s="200"/>
      <c r="O939" s="199"/>
      <c r="P939" s="24"/>
      <c r="Q939" s="24"/>
      <c r="R939" s="398"/>
      <c r="S939" s="398"/>
      <c r="T939" s="398"/>
      <c r="U939" s="398"/>
      <c r="V939" s="398"/>
      <c r="W939" s="398"/>
      <c r="X939" s="398"/>
      <c r="Y939" s="398"/>
      <c r="Z939" s="398"/>
      <c r="AA939" s="398"/>
      <c r="AB939" s="200"/>
      <c r="AO939" s="2">
        <v>625</v>
      </c>
      <c r="AP939" s="2" t="s">
        <v>3025</v>
      </c>
    </row>
    <row r="940" spans="1:49" ht="30" customHeight="1" thickTop="1">
      <c r="A940" s="199"/>
      <c r="B940" s="804" t="s">
        <v>3094</v>
      </c>
      <c r="C940" s="765"/>
      <c r="D940" s="765"/>
      <c r="E940" s="765"/>
      <c r="F940" s="765"/>
      <c r="G940" s="765"/>
      <c r="H940" s="765"/>
      <c r="I940" s="765"/>
      <c r="J940" s="765"/>
      <c r="K940" s="765"/>
      <c r="L940" s="805" t="s">
        <v>3095</v>
      </c>
      <c r="M940" s="766"/>
      <c r="N940" s="200"/>
      <c r="O940" s="199"/>
      <c r="P940" s="24"/>
      <c r="Q940" s="24"/>
      <c r="R940" s="398"/>
      <c r="S940" s="398"/>
      <c r="T940" s="398"/>
      <c r="U940" s="398"/>
      <c r="V940" s="398"/>
      <c r="W940" s="398"/>
      <c r="X940" s="398"/>
      <c r="Y940" s="398"/>
      <c r="Z940" s="398"/>
      <c r="AA940" s="398"/>
      <c r="AB940" s="200"/>
    </row>
    <row r="941" spans="1:49" ht="22.95" customHeight="1">
      <c r="A941" s="199"/>
      <c r="B941" s="780" t="s">
        <v>3012</v>
      </c>
      <c r="C941" s="774" t="s">
        <v>3011</v>
      </c>
      <c r="D941" s="774"/>
      <c r="E941" s="774"/>
      <c r="F941" s="774"/>
      <c r="G941" s="774" t="s">
        <v>3023</v>
      </c>
      <c r="H941" s="774"/>
      <c r="I941" s="774" t="s">
        <v>3016</v>
      </c>
      <c r="J941" s="775"/>
      <c r="K941" s="774"/>
      <c r="L941" s="775" t="s">
        <v>3013</v>
      </c>
      <c r="M941" s="768"/>
      <c r="N941" s="200"/>
      <c r="O941" s="199"/>
      <c r="P941" s="24"/>
      <c r="Q941" s="24"/>
      <c r="R941" s="398"/>
      <c r="S941" s="398"/>
      <c r="T941" s="398"/>
      <c r="U941" s="398"/>
      <c r="V941" s="398"/>
      <c r="W941" s="398"/>
      <c r="X941" s="398"/>
      <c r="Y941" s="398"/>
      <c r="Z941" s="398"/>
      <c r="AA941" s="398"/>
      <c r="AB941" s="200"/>
      <c r="AM941" s="786" t="s">
        <v>3002</v>
      </c>
      <c r="AO941" s="786" t="s">
        <v>3042</v>
      </c>
      <c r="AQ941" s="786" t="s">
        <v>3043</v>
      </c>
      <c r="AS941" s="786" t="s">
        <v>3044</v>
      </c>
      <c r="AU941" s="786" t="s">
        <v>3045</v>
      </c>
      <c r="AW941" s="786" t="s">
        <v>3046</v>
      </c>
    </row>
    <row r="942" spans="1:49" ht="4.95" customHeight="1" thickBot="1">
      <c r="A942" s="199"/>
      <c r="B942" s="769"/>
      <c r="C942" s="764"/>
      <c r="D942" s="773"/>
      <c r="E942" s="773"/>
      <c r="F942" s="773"/>
      <c r="G942" s="773"/>
      <c r="H942" s="773"/>
      <c r="I942" s="773"/>
      <c r="J942" s="773"/>
      <c r="K942" s="773"/>
      <c r="L942" s="773"/>
      <c r="M942" s="770"/>
      <c r="N942" s="200"/>
      <c r="O942" s="199"/>
      <c r="P942" s="24"/>
      <c r="Q942" s="24"/>
      <c r="R942" s="398"/>
      <c r="S942" s="398"/>
      <c r="T942" s="398"/>
      <c r="U942" s="398"/>
      <c r="V942" s="398"/>
      <c r="W942" s="398"/>
      <c r="X942" s="398"/>
      <c r="Y942" s="398"/>
      <c r="Z942" s="398"/>
      <c r="AA942" s="398"/>
      <c r="AB942" s="200"/>
    </row>
    <row r="943" spans="1:49" ht="19.95" customHeight="1" thickBot="1">
      <c r="A943" s="798"/>
      <c r="B943" s="1446"/>
      <c r="C943" s="1446"/>
      <c r="D943" s="1446"/>
      <c r="E943" s="1446"/>
      <c r="F943" s="1447"/>
      <c r="G943" s="1440" t="str">
        <f>AI937</f>
        <v>1 year</v>
      </c>
      <c r="H943" s="1441"/>
      <c r="I943" s="1442">
        <f>IF(B943="",0,AI938)</f>
        <v>0</v>
      </c>
      <c r="J943" s="1443"/>
      <c r="K943" s="1451">
        <f ca="1">(AK937*I943)</f>
        <v>0</v>
      </c>
      <c r="L943" s="1452"/>
      <c r="M943" s="770"/>
      <c r="N943" s="200"/>
      <c r="O943" s="199"/>
      <c r="P943" s="24"/>
      <c r="Q943" s="24"/>
      <c r="R943" s="398"/>
      <c r="S943" s="398"/>
      <c r="T943" s="398"/>
      <c r="U943" s="398"/>
      <c r="V943" s="398"/>
      <c r="W943" s="398"/>
      <c r="X943" s="398"/>
      <c r="Y943" s="398"/>
      <c r="Z943" s="398"/>
      <c r="AA943" s="398"/>
      <c r="AB943" s="200"/>
      <c r="AJ943" s="784">
        <f t="shared" ref="AJ943:AJ948" si="20">AJ$938*AK$938</f>
        <v>0</v>
      </c>
      <c r="AM943" s="787" t="s">
        <v>3047</v>
      </c>
      <c r="AN943" s="2">
        <v>0</v>
      </c>
      <c r="AO943" s="787" t="s">
        <v>3053</v>
      </c>
      <c r="AP943" s="2">
        <f>AN943</f>
        <v>0</v>
      </c>
      <c r="AQ943" s="787" t="s">
        <v>3057</v>
      </c>
      <c r="AR943" s="2">
        <f>AP943</f>
        <v>0</v>
      </c>
      <c r="AS943" s="787" t="s">
        <v>3067</v>
      </c>
      <c r="AT943" s="2">
        <f>AR943</f>
        <v>0</v>
      </c>
      <c r="AU943" s="787" t="s">
        <v>3062</v>
      </c>
      <c r="AV943" s="2">
        <f>AT943</f>
        <v>0</v>
      </c>
      <c r="AW943" s="2" t="s">
        <v>3073</v>
      </c>
    </row>
    <row r="944" spans="1:49" ht="19.95" customHeight="1">
      <c r="A944" s="199"/>
      <c r="B944" s="777" t="s">
        <v>3003</v>
      </c>
      <c r="C944" s="1459"/>
      <c r="D944" s="1460"/>
      <c r="E944" s="1460"/>
      <c r="F944" s="1461"/>
      <c r="G944" s="789"/>
      <c r="H944" s="790"/>
      <c r="I944" s="790"/>
      <c r="J944" s="791" t="str">
        <f>IF(K944&gt;0,"plus",IF(K944&lt;0,"less",""))</f>
        <v/>
      </c>
      <c r="K944" s="1457">
        <f>AI944</f>
        <v>0</v>
      </c>
      <c r="L944" s="1458"/>
      <c r="M944" s="770"/>
      <c r="N944" s="200"/>
      <c r="O944" s="199"/>
      <c r="P944" s="24"/>
      <c r="Q944" s="24"/>
      <c r="R944" s="398"/>
      <c r="S944" s="398"/>
      <c r="T944" s="398"/>
      <c r="U944" s="398"/>
      <c r="V944" s="398"/>
      <c r="W944" s="398"/>
      <c r="X944" s="398"/>
      <c r="Y944" s="398"/>
      <c r="Z944" s="398"/>
      <c r="AA944" s="398"/>
      <c r="AB944" s="200"/>
      <c r="AI944" s="788">
        <f>AJ944*AK944</f>
        <v>0</v>
      </c>
      <c r="AJ944" s="784">
        <f t="shared" si="20"/>
        <v>0</v>
      </c>
      <c r="AK944" s="2">
        <f>IF(C944=AO943,AN943,IF(C944=AO944,AN944,IF(C944=AO945,AN945,IF(C944=AO946,AN946,IF(C944=AO947,AN947,0)))))</f>
        <v>0</v>
      </c>
      <c r="AM944" s="787" t="s">
        <v>3048</v>
      </c>
      <c r="AN944" s="2">
        <v>0.1</v>
      </c>
      <c r="AO944" s="787" t="s">
        <v>3054</v>
      </c>
      <c r="AP944" s="2">
        <f>AN944</f>
        <v>0.1</v>
      </c>
      <c r="AQ944" s="787" t="s">
        <v>3058</v>
      </c>
      <c r="AR944" s="2">
        <f t="shared" ref="AR944:AV947" si="21">AP944</f>
        <v>0.1</v>
      </c>
      <c r="AS944" s="787" t="s">
        <v>3068</v>
      </c>
      <c r="AT944" s="2">
        <f t="shared" si="21"/>
        <v>0.1</v>
      </c>
      <c r="AU944" s="787" t="s">
        <v>3063</v>
      </c>
      <c r="AV944" s="2">
        <f t="shared" si="21"/>
        <v>0.1</v>
      </c>
      <c r="AW944" s="2" t="s">
        <v>3074</v>
      </c>
    </row>
    <row r="945" spans="1:49" ht="19.95" customHeight="1">
      <c r="A945" s="199"/>
      <c r="B945" s="777" t="s">
        <v>3005</v>
      </c>
      <c r="C945" s="1448"/>
      <c r="D945" s="1449"/>
      <c r="E945" s="1449"/>
      <c r="F945" s="1450"/>
      <c r="G945" s="789"/>
      <c r="H945" s="790"/>
      <c r="I945" s="790"/>
      <c r="J945" s="791" t="str">
        <f>IF(K945&gt;0,"plus",IF(K945&lt;0,"less",""))</f>
        <v/>
      </c>
      <c r="K945" s="1457">
        <f>AI945</f>
        <v>0</v>
      </c>
      <c r="L945" s="1458"/>
      <c r="M945" s="770"/>
      <c r="N945" s="200"/>
      <c r="O945" s="199"/>
      <c r="P945" s="24"/>
      <c r="Q945" s="24"/>
      <c r="R945" s="398"/>
      <c r="S945" s="398"/>
      <c r="T945" s="398"/>
      <c r="U945" s="398"/>
      <c r="V945" s="398"/>
      <c r="W945" s="398"/>
      <c r="X945" s="398"/>
      <c r="Y945" s="398"/>
      <c r="Z945" s="398"/>
      <c r="AA945" s="398"/>
      <c r="AB945" s="200"/>
      <c r="AI945" s="788">
        <f>AJ945*AK945</f>
        <v>0</v>
      </c>
      <c r="AJ945" s="784">
        <f t="shared" si="20"/>
        <v>0</v>
      </c>
      <c r="AK945" s="2">
        <f>IF(C945=AQ943,AP943,IF(C945=AQ944,AP944,IF(C945=AQ945,AP945,IF(C945=AQ946,AP946,IF(C945=AQ947,AP947,0)))))</f>
        <v>0</v>
      </c>
      <c r="AM945" s="787" t="s">
        <v>3049</v>
      </c>
      <c r="AN945" s="2">
        <v>0.2</v>
      </c>
      <c r="AO945" s="787" t="s">
        <v>3055</v>
      </c>
      <c r="AP945" s="2">
        <f>AN945</f>
        <v>0.2</v>
      </c>
      <c r="AQ945" s="787" t="s">
        <v>3059</v>
      </c>
      <c r="AR945" s="2">
        <f t="shared" si="21"/>
        <v>0.2</v>
      </c>
      <c r="AS945" s="787" t="s">
        <v>3069</v>
      </c>
      <c r="AT945" s="2">
        <f t="shared" si="21"/>
        <v>0.2</v>
      </c>
      <c r="AU945" s="787" t="s">
        <v>3064</v>
      </c>
      <c r="AV945" s="2">
        <f t="shared" si="21"/>
        <v>0.2</v>
      </c>
      <c r="AW945" s="2" t="s">
        <v>3075</v>
      </c>
    </row>
    <row r="946" spans="1:49" ht="19.95" customHeight="1">
      <c r="A946" s="199"/>
      <c r="B946" s="777" t="s">
        <v>3005</v>
      </c>
      <c r="C946" s="1448"/>
      <c r="D946" s="1449"/>
      <c r="E946" s="1449"/>
      <c r="F946" s="1450"/>
      <c r="G946" s="789"/>
      <c r="H946" s="790"/>
      <c r="I946" s="790"/>
      <c r="J946" s="791" t="str">
        <f>IF(K946&gt;0,"plus",IF(K946&lt;0,"less",""))</f>
        <v/>
      </c>
      <c r="K946" s="1457">
        <f>AI946</f>
        <v>0</v>
      </c>
      <c r="L946" s="1458"/>
      <c r="M946" s="770"/>
      <c r="N946" s="200"/>
      <c r="O946" s="199"/>
      <c r="P946" s="24"/>
      <c r="Q946" s="24"/>
      <c r="R946" s="398"/>
      <c r="S946" s="398"/>
      <c r="T946" s="398"/>
      <c r="U946" s="398"/>
      <c r="V946" s="398"/>
      <c r="W946" s="398"/>
      <c r="X946" s="398"/>
      <c r="Y946" s="398"/>
      <c r="Z946" s="398"/>
      <c r="AA946" s="398"/>
      <c r="AB946" s="200"/>
      <c r="AI946" s="788">
        <f>AJ946*AK946</f>
        <v>0</v>
      </c>
      <c r="AJ946" s="784">
        <f t="shared" si="20"/>
        <v>0</v>
      </c>
      <c r="AK946" s="2">
        <f>IF(C946=AS943,AR943,IF(C946=AS944,AR944,IF(C946=AS945,AR945,IF(C946=AS946,AR946,IF(C946=AS947,AR947,IF(C946=AS948,AR948,0))))))</f>
        <v>0</v>
      </c>
      <c r="AM946" s="787" t="s">
        <v>3050</v>
      </c>
      <c r="AN946" s="2">
        <v>0.3</v>
      </c>
      <c r="AO946" s="787" t="s">
        <v>3056</v>
      </c>
      <c r="AP946" s="2">
        <f>AN946</f>
        <v>0.3</v>
      </c>
      <c r="AQ946" s="787" t="s">
        <v>3060</v>
      </c>
      <c r="AR946" s="2">
        <f t="shared" si="21"/>
        <v>0.3</v>
      </c>
      <c r="AS946" s="787" t="s">
        <v>3070</v>
      </c>
      <c r="AT946" s="2">
        <f t="shared" si="21"/>
        <v>0.3</v>
      </c>
      <c r="AU946" s="787" t="s">
        <v>3065</v>
      </c>
      <c r="AV946" s="2">
        <f t="shared" si="21"/>
        <v>0.3</v>
      </c>
      <c r="AW946" s="2" t="s">
        <v>3076</v>
      </c>
    </row>
    <row r="947" spans="1:49" ht="19.95" customHeight="1">
      <c r="A947" s="199"/>
      <c r="B947" s="777" t="s">
        <v>3006</v>
      </c>
      <c r="C947" s="1448"/>
      <c r="D947" s="1449"/>
      <c r="E947" s="1449"/>
      <c r="F947" s="1450"/>
      <c r="G947" s="789"/>
      <c r="H947" s="790"/>
      <c r="I947" s="790"/>
      <c r="J947" s="791" t="str">
        <f>IF(K947&gt;0,"plus",IF(K947&lt;0,"less",""))</f>
        <v/>
      </c>
      <c r="K947" s="1457">
        <f>AI947</f>
        <v>0</v>
      </c>
      <c r="L947" s="1458"/>
      <c r="M947" s="770"/>
      <c r="N947" s="200"/>
      <c r="O947" s="199"/>
      <c r="P947" s="24"/>
      <c r="Q947" s="24"/>
      <c r="R947" s="398"/>
      <c r="S947" s="398"/>
      <c r="T947" s="398"/>
      <c r="U947" s="398"/>
      <c r="V947" s="398"/>
      <c r="W947" s="398"/>
      <c r="X947" s="398"/>
      <c r="Y947" s="398"/>
      <c r="Z947" s="398"/>
      <c r="AA947" s="398"/>
      <c r="AB947" s="200"/>
      <c r="AI947" s="788">
        <f>AJ947*AK947</f>
        <v>0</v>
      </c>
      <c r="AJ947" s="784">
        <f t="shared" si="20"/>
        <v>0</v>
      </c>
      <c r="AK947" s="2">
        <f>IF(C947=AU943,AT943,IF(C947=AU944,AT944,IF(C947=AU945,AT945,IF(C947=AU946,AT946,IF(C947=AU947,AT947,0)))))</f>
        <v>0</v>
      </c>
      <c r="AM947" s="787" t="s">
        <v>3051</v>
      </c>
      <c r="AN947" s="2">
        <v>0.4</v>
      </c>
      <c r="AO947" s="787" t="s">
        <v>3085</v>
      </c>
      <c r="AP947" s="2">
        <f>AN947</f>
        <v>0.4</v>
      </c>
      <c r="AQ947" s="787" t="s">
        <v>3061</v>
      </c>
      <c r="AR947" s="2">
        <f t="shared" si="21"/>
        <v>0.4</v>
      </c>
      <c r="AS947" s="787" t="s">
        <v>3071</v>
      </c>
      <c r="AT947" s="2">
        <f t="shared" si="21"/>
        <v>0.4</v>
      </c>
      <c r="AU947" s="787" t="s">
        <v>3066</v>
      </c>
      <c r="AV947" s="2">
        <f t="shared" si="21"/>
        <v>0.4</v>
      </c>
      <c r="AW947" s="2" t="s">
        <v>3091</v>
      </c>
    </row>
    <row r="948" spans="1:49" ht="19.95" customHeight="1">
      <c r="A948" s="199"/>
      <c r="B948" s="777" t="s">
        <v>3007</v>
      </c>
      <c r="C948" s="1448"/>
      <c r="D948" s="1449"/>
      <c r="E948" s="1449"/>
      <c r="F948" s="1450"/>
      <c r="G948" s="789"/>
      <c r="H948" s="790"/>
      <c r="I948" s="790"/>
      <c r="J948" s="791" t="str">
        <f>IF(K948&gt;0,"plus",IF(K948&lt;0,"less",""))</f>
        <v/>
      </c>
      <c r="K948" s="1457">
        <f>AI948</f>
        <v>0</v>
      </c>
      <c r="L948" s="1458"/>
      <c r="M948" s="770"/>
      <c r="N948" s="200"/>
      <c r="O948" s="199"/>
      <c r="P948" s="24"/>
      <c r="Q948" s="24"/>
      <c r="R948" s="398"/>
      <c r="S948" s="398"/>
      <c r="T948" s="398"/>
      <c r="U948" s="398"/>
      <c r="V948" s="398"/>
      <c r="W948" s="398"/>
      <c r="X948" s="398"/>
      <c r="Y948" s="398"/>
      <c r="Z948" s="398"/>
      <c r="AA948" s="398"/>
      <c r="AB948" s="200"/>
      <c r="AI948" s="788">
        <f>AJ948*AK948</f>
        <v>0</v>
      </c>
      <c r="AJ948" s="784">
        <f t="shared" si="20"/>
        <v>0</v>
      </c>
      <c r="AK948" s="2">
        <f>IF(C948=AW943,AV943,IF(C948=AW944,AV944,IF(C948=AW945,AV945,IF(C948=AW946,AV946,IF(C948=AW947,AV947,0)))))</f>
        <v>0</v>
      </c>
      <c r="AM948" s="787" t="s">
        <v>3052</v>
      </c>
      <c r="AR948" s="2">
        <f>AR944+AR947</f>
        <v>0.5</v>
      </c>
      <c r="AS948" s="787" t="s">
        <v>3072</v>
      </c>
    </row>
    <row r="949" spans="1:49" ht="19.95" customHeight="1">
      <c r="A949" s="199"/>
      <c r="B949" s="776" t="s">
        <v>3077</v>
      </c>
      <c r="C949" s="763"/>
      <c r="D949" s="763"/>
      <c r="E949" s="763"/>
      <c r="F949" s="763"/>
      <c r="G949" s="774"/>
      <c r="H949" s="764"/>
      <c r="I949" s="772"/>
      <c r="J949" s="794" t="s">
        <v>3014</v>
      </c>
      <c r="K949" s="1451">
        <f ca="1">(AK937*I943)+SUM(K944:L948)</f>
        <v>0</v>
      </c>
      <c r="L949" s="1452"/>
      <c r="M949" s="770"/>
      <c r="N949" s="200"/>
      <c r="O949" s="199"/>
      <c r="P949" s="24"/>
      <c r="Q949" s="24"/>
      <c r="R949" s="398"/>
      <c r="S949" s="398"/>
      <c r="T949" s="398"/>
      <c r="U949" s="398"/>
      <c r="V949" s="398"/>
      <c r="W949" s="398"/>
      <c r="X949" s="398"/>
      <c r="Y949" s="398"/>
      <c r="Z949" s="398"/>
      <c r="AA949" s="398"/>
      <c r="AB949" s="200"/>
      <c r="AM949" s="787"/>
      <c r="AQ949" s="786" t="s">
        <v>3030</v>
      </c>
      <c r="AS949" s="786" t="s">
        <v>3031</v>
      </c>
      <c r="AU949" s="786" t="s">
        <v>3029</v>
      </c>
      <c r="AW949" s="786" t="s">
        <v>3032</v>
      </c>
    </row>
    <row r="950" spans="1:49" ht="19.95" customHeight="1">
      <c r="A950" s="199"/>
      <c r="B950" s="777" t="s">
        <v>3004</v>
      </c>
      <c r="C950" s="1448"/>
      <c r="D950" s="1449"/>
      <c r="E950" s="1449"/>
      <c r="F950" s="1450"/>
      <c r="G950" s="789"/>
      <c r="H950" s="790"/>
      <c r="I950" s="790"/>
      <c r="J950" s="791" t="str">
        <f ca="1">IF(K950&gt;0,"plus",IF(K950&lt;0,"less",""))</f>
        <v/>
      </c>
      <c r="K950" s="1457">
        <f ca="1">AI950</f>
        <v>0</v>
      </c>
      <c r="L950" s="1458"/>
      <c r="M950" s="770"/>
      <c r="N950" s="200"/>
      <c r="O950" s="199"/>
      <c r="P950" s="24"/>
      <c r="Q950" s="24"/>
      <c r="R950" s="398"/>
      <c r="S950" s="398"/>
      <c r="T950" s="398"/>
      <c r="U950" s="398"/>
      <c r="V950" s="398"/>
      <c r="W950" s="398"/>
      <c r="X950" s="398"/>
      <c r="Y950" s="398"/>
      <c r="Z950" s="398"/>
      <c r="AA950" s="398"/>
      <c r="AB950" s="200"/>
      <c r="AI950" s="788">
        <f ca="1">IF(AND(C952=AU955,C953=AW953),0,AJ950*AK950)</f>
        <v>0</v>
      </c>
      <c r="AJ950" s="793">
        <f ca="1">K$949</f>
        <v>0</v>
      </c>
      <c r="AK950" s="2">
        <f>IF(C950=AQ950,AP950,IF(C950=AQ951,AP951,IF(C950=AQ952,AP952,IF(C950=AQ953,AP953,0))))</f>
        <v>0</v>
      </c>
      <c r="AM950" s="787"/>
      <c r="AP950" s="2">
        <v>0.2</v>
      </c>
      <c r="AQ950" s="2" t="s">
        <v>3034</v>
      </c>
      <c r="AR950" s="2">
        <v>0.1</v>
      </c>
      <c r="AS950" s="46" t="s">
        <v>2558</v>
      </c>
      <c r="AT950" s="2">
        <v>0.8</v>
      </c>
      <c r="AU950" s="2" t="s">
        <v>2560</v>
      </c>
      <c r="AV950" s="2">
        <v>0.5</v>
      </c>
      <c r="AW950" s="142" t="s">
        <v>2560</v>
      </c>
    </row>
    <row r="951" spans="1:49" ht="19.95" customHeight="1">
      <c r="A951" s="199"/>
      <c r="B951" s="777" t="s">
        <v>3008</v>
      </c>
      <c r="C951" s="1448"/>
      <c r="D951" s="1449"/>
      <c r="E951" s="1449"/>
      <c r="F951" s="1450"/>
      <c r="G951" s="789"/>
      <c r="H951" s="790"/>
      <c r="I951" s="790"/>
      <c r="J951" s="791" t="str">
        <f ca="1">IF(K951&gt;0,"plus",IF(K951&lt;0,"less",""))</f>
        <v/>
      </c>
      <c r="K951" s="1457">
        <f ca="1">AI951</f>
        <v>0</v>
      </c>
      <c r="L951" s="1458"/>
      <c r="M951" s="770"/>
      <c r="N951" s="200"/>
      <c r="O951" s="199"/>
      <c r="P951" s="24"/>
      <c r="Q951" s="24"/>
      <c r="R951" s="398"/>
      <c r="S951" s="398"/>
      <c r="T951" s="398"/>
      <c r="U951" s="398"/>
      <c r="V951" s="398"/>
      <c r="W951" s="398"/>
      <c r="X951" s="398"/>
      <c r="Y951" s="398"/>
      <c r="Z951" s="398"/>
      <c r="AA951" s="398"/>
      <c r="AB951" s="200"/>
      <c r="AI951" s="788">
        <f ca="1">IF(AND(C952=AU955,C953=AW953),0,AJ951*AK951)</f>
        <v>0</v>
      </c>
      <c r="AJ951" s="793">
        <f ca="1">K$949</f>
        <v>0</v>
      </c>
      <c r="AK951" s="2">
        <f>IF(C951=AS950,AR950,IF(C951=AS951,AR951,IF(C951=AS952,AR952,IF(C951=AS953,AR953,0))))</f>
        <v>0</v>
      </c>
      <c r="AP951" s="2">
        <v>-0.05</v>
      </c>
      <c r="AQ951" s="2" t="s">
        <v>3035</v>
      </c>
      <c r="AR951" s="2">
        <v>-1E-3</v>
      </c>
      <c r="AS951" s="46" t="s">
        <v>2438</v>
      </c>
      <c r="AT951" s="2">
        <v>0.6</v>
      </c>
      <c r="AU951" s="2" t="s">
        <v>3041</v>
      </c>
      <c r="AV951" s="2">
        <v>-0.25</v>
      </c>
      <c r="AW951" s="142" t="s">
        <v>2561</v>
      </c>
    </row>
    <row r="952" spans="1:49" ht="19.95" customHeight="1">
      <c r="A952" s="199"/>
      <c r="B952" s="777" t="s">
        <v>3009</v>
      </c>
      <c r="C952" s="1448"/>
      <c r="D952" s="1449"/>
      <c r="E952" s="1449"/>
      <c r="F952" s="1450"/>
      <c r="G952" s="789"/>
      <c r="H952" s="790"/>
      <c r="I952" s="790"/>
      <c r="J952" s="791" t="str">
        <f ca="1">IF(K952&gt;0,"plus",IF(K952&lt;0,"less",""))</f>
        <v/>
      </c>
      <c r="K952" s="1457">
        <f ca="1">AI952</f>
        <v>0</v>
      </c>
      <c r="L952" s="1458"/>
      <c r="M952" s="770"/>
      <c r="N952" s="200"/>
      <c r="O952" s="199"/>
      <c r="P952" s="24"/>
      <c r="Q952" s="24"/>
      <c r="R952" s="398"/>
      <c r="S952" s="398"/>
      <c r="T952" s="398"/>
      <c r="U952" s="398"/>
      <c r="V952" s="398"/>
      <c r="W952" s="398"/>
      <c r="X952" s="398"/>
      <c r="Y952" s="398"/>
      <c r="Z952" s="398"/>
      <c r="AA952" s="398"/>
      <c r="AB952" s="200"/>
      <c r="AI952" s="788">
        <f ca="1">AJ952*AK952</f>
        <v>0</v>
      </c>
      <c r="AJ952" s="793">
        <f ca="1">K$949</f>
        <v>0</v>
      </c>
      <c r="AK952" s="2">
        <f>IF(C952=AU950,AT950,IF(C952=AU951,AT951,IF(C952=AU952,AT952,IF(C952=AU953,AT953,IF(C952=AU954,AT954,IF(C952=AU955,AT955,0))))))</f>
        <v>0</v>
      </c>
      <c r="AP952" s="2">
        <v>-0.1</v>
      </c>
      <c r="AQ952" s="2" t="s">
        <v>3033</v>
      </c>
      <c r="AR952" s="2">
        <v>-5.0000000000000001E-3</v>
      </c>
      <c r="AS952" s="46" t="s">
        <v>2559</v>
      </c>
      <c r="AT952" s="2">
        <v>0.4</v>
      </c>
      <c r="AU952" s="2" t="s">
        <v>3037</v>
      </c>
      <c r="AV952" s="2">
        <v>-0.5</v>
      </c>
      <c r="AW952" s="142" t="s">
        <v>2544</v>
      </c>
    </row>
    <row r="953" spans="1:49" ht="19.95" customHeight="1">
      <c r="A953" s="199"/>
      <c r="B953" s="777" t="s">
        <v>3010</v>
      </c>
      <c r="C953" s="1448"/>
      <c r="D953" s="1449"/>
      <c r="E953" s="1449"/>
      <c r="F953" s="1450"/>
      <c r="G953" s="789"/>
      <c r="H953" s="790"/>
      <c r="I953" s="790"/>
      <c r="J953" s="791" t="str">
        <f ca="1">IF(K953&gt;0,"plus",IF(K953&lt;0,"less",""))</f>
        <v/>
      </c>
      <c r="K953" s="1457">
        <f ca="1">AI953</f>
        <v>0</v>
      </c>
      <c r="L953" s="1458"/>
      <c r="M953" s="770"/>
      <c r="N953" s="200"/>
      <c r="O953" s="199"/>
      <c r="P953" s="24"/>
      <c r="Q953" s="24"/>
      <c r="R953" s="398"/>
      <c r="S953" s="398"/>
      <c r="T953" s="398"/>
      <c r="U953" s="398"/>
      <c r="V953" s="398"/>
      <c r="W953" s="398"/>
      <c r="X953" s="398"/>
      <c r="Y953" s="398"/>
      <c r="Z953" s="398"/>
      <c r="AA953" s="398"/>
      <c r="AB953" s="200"/>
      <c r="AI953" s="788">
        <f ca="1">AJ953*AK953</f>
        <v>0</v>
      </c>
      <c r="AJ953" s="793">
        <f ca="1">K$949</f>
        <v>0</v>
      </c>
      <c r="AK953" s="2">
        <f>IF(C953=AW950,AV950,IF(C953=AW951,AV951,IF(C953=AW952,AV952,IF(C953=AW953,AV953,0))))</f>
        <v>0</v>
      </c>
      <c r="AP953" s="2">
        <v>0</v>
      </c>
      <c r="AQ953" s="2" t="s">
        <v>1363</v>
      </c>
      <c r="AR953" s="2">
        <v>0</v>
      </c>
      <c r="AS953" s="2" t="s">
        <v>3036</v>
      </c>
      <c r="AT953" s="2">
        <v>0.2</v>
      </c>
      <c r="AU953" s="2" t="s">
        <v>3040</v>
      </c>
      <c r="AV953" s="2">
        <v>-0.75</v>
      </c>
      <c r="AW953" s="142" t="s">
        <v>2562</v>
      </c>
    </row>
    <row r="954" spans="1:49" ht="4.95" customHeight="1">
      <c r="A954" s="199"/>
      <c r="B954" s="767"/>
      <c r="C954" s="763"/>
      <c r="D954" s="763"/>
      <c r="E954" s="763"/>
      <c r="F954" s="763"/>
      <c r="G954" s="763"/>
      <c r="H954" s="764"/>
      <c r="I954" s="764"/>
      <c r="J954" s="764"/>
      <c r="K954" s="764"/>
      <c r="L954" s="764"/>
      <c r="M954" s="764"/>
      <c r="N954" s="200"/>
      <c r="O954" s="199"/>
      <c r="P954" s="24"/>
      <c r="Q954" s="24"/>
      <c r="R954" s="398"/>
      <c r="S954" s="398"/>
      <c r="T954" s="398"/>
      <c r="U954" s="398"/>
      <c r="V954" s="398"/>
      <c r="W954" s="398"/>
      <c r="X954" s="398"/>
      <c r="Y954" s="398"/>
      <c r="Z954" s="398"/>
      <c r="AA954" s="398"/>
      <c r="AB954" s="200"/>
      <c r="AT954" s="2">
        <v>-0.1</v>
      </c>
      <c r="AU954" s="2" t="s">
        <v>3038</v>
      </c>
    </row>
    <row r="955" spans="1:49" ht="19.95" customHeight="1" thickBot="1">
      <c r="A955" s="199"/>
      <c r="B955" s="776" t="s">
        <v>3015</v>
      </c>
      <c r="C955" s="763"/>
      <c r="D955" s="763"/>
      <c r="E955" s="763"/>
      <c r="F955" s="763"/>
      <c r="G955" s="763"/>
      <c r="H955" s="764"/>
      <c r="I955" s="764"/>
      <c r="J955" s="795" t="s">
        <v>3080</v>
      </c>
      <c r="K955" s="1463" t="str">
        <f ca="1">AI955</f>
        <v>$0.00</v>
      </c>
      <c r="L955" s="1464"/>
      <c r="M955" s="770"/>
      <c r="N955" s="200"/>
      <c r="O955" s="199"/>
      <c r="P955" s="24"/>
      <c r="Q955" s="24"/>
      <c r="R955" s="398"/>
      <c r="S955" s="398"/>
      <c r="T955" s="398"/>
      <c r="U955" s="398"/>
      <c r="V955" s="398"/>
      <c r="W955" s="398"/>
      <c r="X955" s="398"/>
      <c r="Y955" s="398"/>
      <c r="Z955" s="398"/>
      <c r="AA955" s="398"/>
      <c r="AB955" s="200"/>
      <c r="AI955" s="797" t="str">
        <f ca="1">IF(AJ955=0,"$0.00",AJ955)</f>
        <v>$0.00</v>
      </c>
      <c r="AJ955" s="792">
        <f ca="1">K949+K950+K951+K952+K953</f>
        <v>0</v>
      </c>
      <c r="AT955" s="2">
        <v>-0.25</v>
      </c>
      <c r="AU955" s="2" t="s">
        <v>3039</v>
      </c>
    </row>
    <row r="956" spans="1:49" ht="19.95" customHeight="1" thickBot="1">
      <c r="A956" s="199"/>
      <c r="B956" s="776"/>
      <c r="C956" s="763"/>
      <c r="D956" s="763"/>
      <c r="E956" s="763"/>
      <c r="F956" s="763"/>
      <c r="G956" s="763"/>
      <c r="H956" s="763"/>
      <c r="I956" s="763"/>
      <c r="J956" s="795" t="s">
        <v>3092</v>
      </c>
      <c r="K956" s="1465"/>
      <c r="L956" s="1466"/>
      <c r="M956" s="770"/>
      <c r="N956" s="200"/>
      <c r="O956" s="199"/>
      <c r="P956" s="24"/>
      <c r="Q956" s="24"/>
      <c r="R956" s="398"/>
      <c r="S956" s="398"/>
      <c r="T956" s="398"/>
      <c r="U956" s="398"/>
      <c r="V956" s="398"/>
      <c r="W956" s="398"/>
      <c r="X956" s="398"/>
      <c r="Y956" s="398"/>
      <c r="Z956" s="398"/>
      <c r="AA956" s="398"/>
      <c r="AB956" s="200"/>
      <c r="AI956" s="905" t="s">
        <v>3017</v>
      </c>
    </row>
    <row r="957" spans="1:49" ht="19.95" customHeight="1">
      <c r="A957" s="199"/>
      <c r="B957" s="776"/>
      <c r="C957" s="763"/>
      <c r="D957" s="763"/>
      <c r="E957" s="763"/>
      <c r="F957" s="763"/>
      <c r="G957" s="763"/>
      <c r="H957" s="764"/>
      <c r="I957" s="764"/>
      <c r="J957" s="796" t="str">
        <f>IF(C953="","TOTAL",AI957)</f>
        <v>TOTAL</v>
      </c>
      <c r="K957" s="1467">
        <f ca="1">IF(AND(C952=AU955,C953=AW953),"$0.00",K955-K956)</f>
        <v>0</v>
      </c>
      <c r="L957" s="1468"/>
      <c r="M957" s="770"/>
      <c r="N957" s="200"/>
      <c r="O957" s="199"/>
      <c r="P957" s="24"/>
      <c r="Q957" s="24"/>
      <c r="R957" s="398"/>
      <c r="S957" s="398"/>
      <c r="T957" s="398"/>
      <c r="U957" s="398"/>
      <c r="V957" s="398"/>
      <c r="W957" s="398"/>
      <c r="X957" s="398"/>
      <c r="Y957" s="398"/>
      <c r="Z957" s="398"/>
      <c r="AA957" s="398"/>
      <c r="AB957" s="200"/>
      <c r="AI957" s="46" t="str">
        <f ca="1">IF(K957&lt;0.00001,AL957,AM957)</f>
        <v>With recipient's cooperation, no amount is directly billed.</v>
      </c>
      <c r="AL957" s="46" t="s">
        <v>3078</v>
      </c>
      <c r="AM957" s="46" t="s">
        <v>3079</v>
      </c>
    </row>
    <row r="958" spans="1:49" ht="19.95" customHeight="1">
      <c r="A958" s="199"/>
      <c r="B958" s="767"/>
      <c r="C958" s="763"/>
      <c r="D958" s="763"/>
      <c r="E958" s="763"/>
      <c r="F958" s="763"/>
      <c r="G958" s="763"/>
      <c r="H958" s="764"/>
      <c r="I958" s="764"/>
      <c r="J958" s="764"/>
      <c r="K958" s="764"/>
      <c r="L958" s="764"/>
      <c r="M958" s="770"/>
      <c r="N958" s="200"/>
      <c r="O958" s="199"/>
      <c r="P958" s="24"/>
      <c r="Q958" s="24"/>
      <c r="R958" s="398"/>
      <c r="S958" s="398"/>
      <c r="T958" s="398"/>
      <c r="U958" s="398"/>
      <c r="V958" s="398"/>
      <c r="W958" s="398"/>
      <c r="X958" s="398"/>
      <c r="Y958" s="398"/>
      <c r="Z958" s="398"/>
      <c r="AA958" s="398"/>
      <c r="AB958" s="200"/>
    </row>
    <row r="959" spans="1:49" ht="19.95" customHeight="1">
      <c r="A959" s="199"/>
      <c r="B959" s="1476" t="str">
        <f ca="1">AI959</f>
        <v>This is not a literal invoice. It sybolically bills powerholders in power relations (i.e., ascribed impactors) to illuminate the hidden costs of coercive power. They receive the value of vital data for improving their impact on vulnerable others.</v>
      </c>
      <c r="C959" s="1477"/>
      <c r="D959" s="1477"/>
      <c r="E959" s="1477"/>
      <c r="F959" s="1477"/>
      <c r="G959" s="1477"/>
      <c r="H959" s="1477"/>
      <c r="I959" s="1477"/>
      <c r="J959" s="1477"/>
      <c r="K959" s="1477"/>
      <c r="L959" s="1477"/>
      <c r="M959" s="770"/>
      <c r="N959" s="200"/>
      <c r="O959" s="199"/>
      <c r="P959" s="24"/>
      <c r="Q959" s="24"/>
      <c r="R959" s="398"/>
      <c r="S959" s="398"/>
      <c r="T959" s="398"/>
      <c r="U959" s="398"/>
      <c r="V959" s="398"/>
      <c r="W959" s="398"/>
      <c r="X959" s="398"/>
      <c r="Y959" s="398"/>
      <c r="Z959" s="398"/>
      <c r="AA959" s="398"/>
      <c r="AB959" s="200"/>
      <c r="AI959" s="2" t="str">
        <f ca="1">IF(K955="$0.00",AM961,AK959)</f>
        <v>This is not a literal invoice. It sybolically bills powerholders in power relations (i.e., ascribed impactors) to illuminate the hidden costs of coercive power. They receive the value of vital data for improving their impact on vulnerable others.</v>
      </c>
      <c r="AK959" s="2" t="str">
        <f>IF(C950=AQ950,AM959,AM960)</f>
        <v>The recipient can sponsor the sender's need-resolving cause. Or become a patron to the cause. Each recipient outbids the others to earn the privilege as lead investor. The leading patron must qualify for competitive legitimacy.</v>
      </c>
      <c r="AM959" s="46" t="s">
        <v>3081</v>
      </c>
    </row>
    <row r="960" spans="1:49" ht="19.95" customHeight="1">
      <c r="A960" s="199"/>
      <c r="B960" s="1476"/>
      <c r="C960" s="1477"/>
      <c r="D960" s="1477"/>
      <c r="E960" s="1477"/>
      <c r="F960" s="1477"/>
      <c r="G960" s="1477"/>
      <c r="H960" s="1477"/>
      <c r="I960" s="1477"/>
      <c r="J960" s="1477"/>
      <c r="K960" s="1477"/>
      <c r="L960" s="1477"/>
      <c r="M960" s="770"/>
      <c r="N960" s="200"/>
      <c r="O960" s="199"/>
      <c r="P960" s="24"/>
      <c r="Q960" s="24"/>
      <c r="R960" s="398"/>
      <c r="S960" s="398"/>
      <c r="T960" s="398"/>
      <c r="U960" s="398"/>
      <c r="V960" s="398"/>
      <c r="W960" s="398"/>
      <c r="X960" s="398"/>
      <c r="Y960" s="398"/>
      <c r="Z960" s="398"/>
      <c r="AA960" s="398"/>
      <c r="AB960" s="200"/>
      <c r="AJ960" s="803" t="s">
        <v>3087</v>
      </c>
      <c r="AM960" s="46" t="s">
        <v>3082</v>
      </c>
    </row>
    <row r="961" spans="1:41" ht="19.95" customHeight="1" thickBot="1">
      <c r="A961" s="199"/>
      <c r="B961" s="1476"/>
      <c r="C961" s="1477"/>
      <c r="D961" s="1477"/>
      <c r="E961" s="1477"/>
      <c r="F961" s="1477"/>
      <c r="G961" s="1477"/>
      <c r="H961" s="1477"/>
      <c r="I961" s="1477"/>
      <c r="J961" s="1477"/>
      <c r="K961" s="1477"/>
      <c r="L961" s="1477"/>
      <c r="M961" s="770"/>
      <c r="N961" s="200"/>
      <c r="O961" s="199"/>
      <c r="P961" s="24"/>
      <c r="Q961" s="24"/>
      <c r="R961" s="398"/>
      <c r="S961" s="398"/>
      <c r="T961" s="398"/>
      <c r="U961" s="398"/>
      <c r="V961" s="398"/>
      <c r="W961" s="398"/>
      <c r="X961" s="398"/>
      <c r="Y961" s="398"/>
      <c r="Z961" s="398"/>
      <c r="AA961" s="398"/>
      <c r="AB961" s="200"/>
      <c r="AJ961" s="803" t="s">
        <v>3088</v>
      </c>
      <c r="AM961" s="46" t="s">
        <v>3083</v>
      </c>
    </row>
    <row r="962" spans="1:41" ht="19.95" customHeight="1" thickBot="1">
      <c r="A962" s="199"/>
      <c r="B962" s="1476" t="str">
        <f>AI962</f>
        <v xml:space="preserve">I, the sending Reporting Impactee, verify the accuracy of this invoice to the best of my knowledge. I do not expect to ever receive the billed amount, but to demonstrate the value I am coerced to forfeit to another who has some power over me. </v>
      </c>
      <c r="C962" s="1477"/>
      <c r="D962" s="1477"/>
      <c r="E962" s="1477"/>
      <c r="F962" s="1477"/>
      <c r="G962" s="1477"/>
      <c r="H962" s="1477"/>
      <c r="I962" s="1477"/>
      <c r="J962" s="1477"/>
      <c r="K962" s="1480"/>
      <c r="L962" s="1481"/>
      <c r="M962" s="770"/>
      <c r="N962" s="200"/>
      <c r="O962" s="199"/>
      <c r="P962" s="24"/>
      <c r="Q962" s="24"/>
      <c r="R962" s="398"/>
      <c r="S962" s="398"/>
      <c r="T962" s="398"/>
      <c r="U962" s="398"/>
      <c r="V962" s="398"/>
      <c r="W962" s="398"/>
      <c r="X962" s="398"/>
      <c r="Y962" s="398"/>
      <c r="Z962" s="398"/>
      <c r="AA962" s="398"/>
      <c r="AB962" s="200"/>
      <c r="AI962" s="2" t="str">
        <f>IF(K962=AJ960,AK962,IF(K962=AJ961,AK963,AK962))</f>
        <v xml:space="preserve">I, the sending Reporting Impactee, verify the accuracy of this invoice to the best of my knowledge. I do not expect to ever receive the billed amount, but to demonstrate the value I am coerced to forfeit to another who has some power over me. </v>
      </c>
      <c r="AK962" s="46" t="s">
        <v>3086</v>
      </c>
      <c r="AM962" s="46"/>
    </row>
    <row r="963" spans="1:41" ht="19.95" customHeight="1">
      <c r="A963" s="199"/>
      <c r="B963" s="1476"/>
      <c r="C963" s="1477"/>
      <c r="D963" s="1477"/>
      <c r="E963" s="1477"/>
      <c r="F963" s="1477"/>
      <c r="G963" s="1477"/>
      <c r="H963" s="1477"/>
      <c r="I963" s="1477"/>
      <c r="J963" s="1477"/>
      <c r="K963" s="801"/>
      <c r="L963" s="802" t="s">
        <v>3090</v>
      </c>
      <c r="M963" s="770"/>
      <c r="N963" s="200"/>
      <c r="O963" s="199"/>
      <c r="P963" s="24"/>
      <c r="Q963" s="24"/>
      <c r="R963" s="398"/>
      <c r="S963" s="398"/>
      <c r="T963" s="398"/>
      <c r="U963" s="398"/>
      <c r="V963" s="398"/>
      <c r="W963" s="398"/>
      <c r="X963" s="398"/>
      <c r="Y963" s="398"/>
      <c r="Z963" s="398"/>
      <c r="AA963" s="398"/>
      <c r="AB963" s="200"/>
      <c r="AK963" s="46" t="s">
        <v>3093</v>
      </c>
    </row>
    <row r="964" spans="1:41" ht="24" customHeight="1" thickBot="1">
      <c r="A964" s="199"/>
      <c r="B964" s="1478"/>
      <c r="C964" s="1479"/>
      <c r="D964" s="1479"/>
      <c r="E964" s="1479"/>
      <c r="F964" s="1479"/>
      <c r="G964" s="1479"/>
      <c r="H964" s="1479"/>
      <c r="I964" s="1479"/>
      <c r="J964" s="1479"/>
      <c r="K964" s="800" t="str">
        <f>AI964</f>
        <v/>
      </c>
      <c r="L964" s="799"/>
      <c r="M964" s="771"/>
      <c r="N964" s="200"/>
      <c r="O964" s="199"/>
      <c r="P964" s="24"/>
      <c r="Q964" s="24"/>
      <c r="R964" s="398"/>
      <c r="S964" s="398"/>
      <c r="T964" s="398"/>
      <c r="U964" s="398"/>
      <c r="V964" s="398"/>
      <c r="W964" s="398"/>
      <c r="X964" s="398"/>
      <c r="Y964" s="398"/>
      <c r="Z964" s="398"/>
      <c r="AA964" s="398"/>
      <c r="AB964" s="200"/>
      <c r="AI964" s="2" t="str">
        <f>IF(K962=AJ960,AK964,"")</f>
        <v/>
      </c>
      <c r="AK964" s="2" t="s">
        <v>3089</v>
      </c>
    </row>
    <row r="965" spans="1:41" ht="10.050000000000001" customHeight="1" thickTop="1">
      <c r="A965" s="201"/>
      <c r="B965" s="202"/>
      <c r="C965" s="202"/>
      <c r="D965" s="202"/>
      <c r="E965" s="202"/>
      <c r="F965" s="202"/>
      <c r="G965" s="202"/>
      <c r="H965" s="202"/>
      <c r="I965" s="202"/>
      <c r="J965" s="202"/>
      <c r="K965" s="202"/>
      <c r="L965" s="202"/>
      <c r="M965" s="202"/>
      <c r="N965" s="200"/>
      <c r="O965" s="199"/>
      <c r="P965" s="202"/>
      <c r="Q965" s="202"/>
      <c r="R965" s="202"/>
      <c r="S965" s="202"/>
      <c r="T965" s="202"/>
      <c r="U965" s="202"/>
      <c r="V965" s="202"/>
      <c r="W965" s="202"/>
      <c r="X965" s="202"/>
      <c r="Y965" s="202"/>
      <c r="Z965" s="202"/>
      <c r="AA965" s="202"/>
      <c r="AB965" s="203"/>
    </row>
    <row r="966" spans="1:41" ht="30" customHeight="1">
      <c r="A966" s="210" t="s">
        <v>1148</v>
      </c>
      <c r="B966" s="399" t="s">
        <v>3096</v>
      </c>
      <c r="C966" s="582"/>
      <c r="D966" s="582"/>
      <c r="E966" s="583"/>
      <c r="F966" s="584"/>
      <c r="G966" s="582"/>
      <c r="H966" s="582"/>
      <c r="I966" s="582"/>
      <c r="J966" s="582"/>
      <c r="K966" s="582"/>
      <c r="L966" s="373"/>
      <c r="M966" s="373"/>
      <c r="N966" s="211" t="s">
        <v>1149</v>
      </c>
      <c r="O966" s="372"/>
      <c r="P966" s="396" t="s">
        <v>1273</v>
      </c>
      <c r="Q966" s="373"/>
      <c r="R966" s="373"/>
      <c r="S966" s="373"/>
      <c r="T966" s="373"/>
      <c r="U966" s="373"/>
      <c r="V966" s="373"/>
      <c r="W966" s="373"/>
      <c r="X966" s="373"/>
      <c r="Y966" s="373"/>
      <c r="Z966" s="373"/>
      <c r="AA966" s="373"/>
      <c r="AB966" s="211" t="s">
        <v>1149</v>
      </c>
    </row>
    <row r="967" spans="1:41" ht="10.050000000000001" customHeight="1">
      <c r="A967" s="199"/>
      <c r="B967" s="24"/>
      <c r="C967" s="24"/>
      <c r="D967" s="24"/>
      <c r="E967" s="24"/>
      <c r="F967" s="24"/>
      <c r="G967" s="24"/>
      <c r="H967" s="24"/>
      <c r="I967" s="24"/>
      <c r="J967" s="24"/>
      <c r="K967" s="24"/>
      <c r="L967" s="24"/>
      <c r="M967" s="24"/>
      <c r="N967" s="200"/>
      <c r="O967" s="199"/>
      <c r="P967" s="24"/>
      <c r="Q967" s="24"/>
      <c r="R967" s="398"/>
      <c r="S967" s="398"/>
      <c r="T967" s="398"/>
      <c r="U967" s="398"/>
      <c r="V967" s="398"/>
      <c r="W967" s="398"/>
      <c r="X967" s="398"/>
      <c r="Y967" s="398"/>
      <c r="Z967" s="398"/>
      <c r="AA967" s="398"/>
      <c r="AB967" s="200"/>
    </row>
    <row r="968" spans="1:41" ht="19.95" customHeight="1">
      <c r="A968" s="199"/>
      <c r="B968" s="720" t="s">
        <v>3098</v>
      </c>
      <c r="C968" s="586"/>
      <c r="D968" s="586"/>
      <c r="E968" s="586"/>
      <c r="F968" s="586"/>
      <c r="G968" s="586"/>
      <c r="H968" s="586"/>
      <c r="I968" s="586"/>
      <c r="J968" s="586"/>
      <c r="K968" s="586"/>
      <c r="L968" s="586"/>
      <c r="M968" s="24"/>
      <c r="N968" s="200"/>
      <c r="O968" s="199"/>
      <c r="P968" s="720"/>
      <c r="Q968" s="24"/>
      <c r="R968" s="398"/>
      <c r="S968" s="398"/>
      <c r="T968" s="398"/>
      <c r="U968" s="398"/>
      <c r="V968" s="398"/>
      <c r="W968" s="398"/>
      <c r="X968" s="398"/>
      <c r="Y968" s="398"/>
      <c r="Z968" s="398"/>
      <c r="AA968" s="398"/>
      <c r="AB968" s="200"/>
    </row>
    <row r="969" spans="1:41" ht="4.95" customHeight="1">
      <c r="A969" s="199"/>
      <c r="B969" s="24"/>
      <c r="C969" s="24"/>
      <c r="D969" s="24"/>
      <c r="E969" s="24"/>
      <c r="F969" s="24"/>
      <c r="G969" s="24"/>
      <c r="H969" s="24"/>
      <c r="I969" s="24"/>
      <c r="J969" s="24"/>
      <c r="K969" s="24"/>
      <c r="L969" s="24"/>
      <c r="M969" s="24"/>
      <c r="N969" s="200"/>
      <c r="O969" s="199"/>
      <c r="P969" s="24"/>
      <c r="Q969" s="24"/>
      <c r="R969" s="398"/>
      <c r="S969" s="398"/>
      <c r="T969" s="398"/>
      <c r="U969" s="398"/>
      <c r="V969" s="398"/>
      <c r="W969" s="398"/>
      <c r="X969" s="398"/>
      <c r="Y969" s="398"/>
      <c r="Z969" s="398"/>
      <c r="AA969" s="398"/>
      <c r="AB969" s="200"/>
    </row>
    <row r="970" spans="1:41" ht="19.95" customHeight="1">
      <c r="A970" s="199"/>
      <c r="B970" s="603"/>
      <c r="C970" s="603"/>
      <c r="D970" s="603"/>
      <c r="E970" s="603"/>
      <c r="F970" s="603"/>
      <c r="G970" s="603"/>
      <c r="H970" s="603"/>
      <c r="I970" s="603"/>
      <c r="J970" s="603"/>
      <c r="K970" s="603"/>
      <c r="L970" s="603"/>
      <c r="M970" s="603"/>
      <c r="N970" s="200"/>
      <c r="O970" s="199"/>
      <c r="P970" s="603"/>
      <c r="Q970" s="24"/>
      <c r="R970" s="398"/>
      <c r="S970" s="398"/>
      <c r="T970" s="398"/>
      <c r="U970" s="398"/>
      <c r="V970" s="398"/>
      <c r="W970" s="398"/>
      <c r="X970" s="398"/>
      <c r="Y970" s="398"/>
      <c r="Z970" s="398"/>
      <c r="AA970" s="398"/>
      <c r="AB970" s="200"/>
      <c r="AI970" s="459" t="str">
        <f>CONCATENATE(AK970,AL970,AM970,AN970,AO970,AP970,AQ970,AR970)</f>
        <v/>
      </c>
      <c r="AK970" s="469"/>
    </row>
    <row r="971" spans="1:41" ht="19.95" customHeight="1">
      <c r="A971" s="199"/>
      <c r="B971" s="603"/>
      <c r="C971" s="603"/>
      <c r="D971" s="603"/>
      <c r="E971" s="603"/>
      <c r="F971" s="603"/>
      <c r="G971" s="603"/>
      <c r="H971" s="603"/>
      <c r="I971" s="603"/>
      <c r="J971" s="603"/>
      <c r="K971" s="603"/>
      <c r="L971" s="603"/>
      <c r="M971" s="603"/>
      <c r="N971" s="200"/>
      <c r="O971" s="199"/>
      <c r="P971" s="24"/>
      <c r="Q971" s="24"/>
      <c r="R971" s="398"/>
      <c r="S971" s="398"/>
      <c r="T971" s="398"/>
      <c r="U971" s="398"/>
      <c r="V971" s="398"/>
      <c r="W971" s="398"/>
      <c r="X971" s="398"/>
      <c r="Y971" s="398"/>
      <c r="Z971" s="398"/>
      <c r="AA971" s="398"/>
      <c r="AB971" s="200"/>
      <c r="AI971" s="2">
        <v>2</v>
      </c>
      <c r="AJ971" s="2">
        <v>1</v>
      </c>
      <c r="AK971" s="2">
        <v>0</v>
      </c>
      <c r="AL971" s="2">
        <v>0</v>
      </c>
      <c r="AN971" s="2">
        <f>AI972/5</f>
        <v>3.6</v>
      </c>
    </row>
    <row r="972" spans="1:41" ht="19.95" customHeight="1">
      <c r="A972" s="199"/>
      <c r="B972" s="603"/>
      <c r="C972" s="603"/>
      <c r="D972" s="603"/>
      <c r="E972" s="603"/>
      <c r="F972" s="603"/>
      <c r="G972" s="603"/>
      <c r="H972" s="603"/>
      <c r="I972" s="603"/>
      <c r="J972" s="603"/>
      <c r="K972" s="603"/>
      <c r="L972" s="603"/>
      <c r="M972" s="603"/>
      <c r="N972" s="200"/>
      <c r="O972" s="199"/>
      <c r="P972" s="24"/>
      <c r="Q972" s="24"/>
      <c r="R972" s="398"/>
      <c r="S972" s="398"/>
      <c r="T972" s="398"/>
      <c r="U972" s="398"/>
      <c r="V972" s="398"/>
      <c r="W972" s="398"/>
      <c r="X972" s="398"/>
      <c r="Y972" s="398"/>
      <c r="Z972" s="398"/>
      <c r="AA972" s="398"/>
      <c r="AB972" s="200"/>
      <c r="AI972" s="2">
        <f>AI971*9</f>
        <v>18</v>
      </c>
      <c r="AJ972" s="2">
        <f>AJ971*9</f>
        <v>9</v>
      </c>
      <c r="AK972" s="2">
        <f>AK971*9</f>
        <v>0</v>
      </c>
    </row>
    <row r="973" spans="1:41" ht="19.95" customHeight="1" thickBot="1">
      <c r="A973" s="199"/>
      <c r="B973" s="603"/>
      <c r="C973" s="603"/>
      <c r="D973" s="603"/>
      <c r="E973" s="603"/>
      <c r="F973" s="603"/>
      <c r="G973" s="603"/>
      <c r="H973" s="603"/>
      <c r="I973" s="603"/>
      <c r="J973" s="603"/>
      <c r="K973" s="603"/>
      <c r="L973" s="603"/>
      <c r="M973" s="603"/>
      <c r="N973" s="200"/>
      <c r="O973" s="199"/>
      <c r="P973" s="24"/>
      <c r="Q973" s="24"/>
      <c r="R973" s="398"/>
      <c r="S973" s="398"/>
      <c r="T973" s="398"/>
      <c r="U973" s="398"/>
      <c r="V973" s="398"/>
      <c r="W973" s="398"/>
      <c r="X973" s="398"/>
      <c r="Y973" s="398"/>
      <c r="Z973" s="398"/>
      <c r="AA973" s="398"/>
      <c r="AB973" s="200"/>
    </row>
    <row r="974" spans="1:41" ht="19.95" customHeight="1">
      <c r="A974" s="716" t="s">
        <v>2674</v>
      </c>
      <c r="B974" s="496"/>
      <c r="C974" s="24"/>
      <c r="D974" s="1044"/>
      <c r="E974" s="1045"/>
      <c r="F974" s="1045"/>
      <c r="G974" s="1045"/>
      <c r="H974" s="1045"/>
      <c r="I974" s="1045"/>
      <c r="J974" s="1046"/>
      <c r="K974" s="1343" t="str">
        <f>AI974</f>
        <v/>
      </c>
      <c r="L974" s="1344"/>
      <c r="M974" s="1344"/>
      <c r="N974" s="200"/>
      <c r="O974" s="199"/>
      <c r="P974" s="24"/>
      <c r="Q974" s="24"/>
      <c r="R974" s="398"/>
      <c r="S974" s="398"/>
      <c r="T974" s="398"/>
      <c r="U974" s="398"/>
      <c r="V974" s="398"/>
      <c r="W974" s="398"/>
      <c r="X974" s="398"/>
      <c r="Y974" s="398"/>
      <c r="Z974" s="398"/>
      <c r="AA974" s="398"/>
      <c r="AB974" s="200"/>
      <c r="AH974" s="910">
        <v>1</v>
      </c>
      <c r="AI974" s="821" t="str">
        <f>IF(D974=AK974,AJ974,IF(D974=AK975,AJ975,IF(D974=AK976,AJ976,"")))</f>
        <v/>
      </c>
      <c r="AJ974" s="717" t="s">
        <v>2690</v>
      </c>
      <c r="AK974" s="824" t="s">
        <v>2687</v>
      </c>
      <c r="AL974" s="825">
        <f>IF(D974="",1,0)</f>
        <v>1</v>
      </c>
      <c r="AN974" s="821" t="str">
        <f>IF(K974=AJ974,AO974,IF(K974=AJ975,AO975,IF(K974=AJ976,AO976,"")))</f>
        <v/>
      </c>
      <c r="AO974" s="2" t="s">
        <v>2686</v>
      </c>
    </row>
    <row r="975" spans="1:41" ht="19.95" customHeight="1" thickBot="1">
      <c r="A975" s="716"/>
      <c r="B975" s="496"/>
      <c r="C975" s="24"/>
      <c r="D975" s="1047"/>
      <c r="E975" s="1048"/>
      <c r="F975" s="1048"/>
      <c r="G975" s="1048"/>
      <c r="H975" s="1048"/>
      <c r="I975" s="1048"/>
      <c r="J975" s="1049"/>
      <c r="K975" s="714"/>
      <c r="L975" s="714"/>
      <c r="M975" s="826" t="str">
        <f>AN974</f>
        <v/>
      </c>
      <c r="N975" s="200"/>
      <c r="O975" s="199"/>
      <c r="P975" s="24"/>
      <c r="Q975" s="24"/>
      <c r="R975" s="398"/>
      <c r="S975" s="398"/>
      <c r="T975" s="398"/>
      <c r="U975" s="398"/>
      <c r="V975" s="398"/>
      <c r="W975" s="398"/>
      <c r="X975" s="398"/>
      <c r="Y975" s="398"/>
      <c r="Z975" s="398"/>
      <c r="AA975" s="398"/>
      <c r="AB975" s="200"/>
      <c r="AH975" s="910"/>
      <c r="AI975" s="822">
        <f>IF(AI974=AJ974,AI$971,IF(AI974=AJ975,AJ$971,IF(AI974=AJ976,AK$971,AL$971)))</f>
        <v>0</v>
      </c>
      <c r="AJ975" s="718" t="s">
        <v>2691</v>
      </c>
      <c r="AK975" s="824" t="s">
        <v>2688</v>
      </c>
      <c r="AO975" s="2" t="s">
        <v>3116</v>
      </c>
    </row>
    <row r="976" spans="1:41" ht="4.05" customHeight="1" thickBot="1">
      <c r="A976" s="716"/>
      <c r="B976" s="496"/>
      <c r="C976" s="496"/>
      <c r="D976" s="496"/>
      <c r="E976" s="496"/>
      <c r="F976" s="496"/>
      <c r="G976" s="496"/>
      <c r="H976" s="496"/>
      <c r="I976" s="496"/>
      <c r="J976" s="496"/>
      <c r="K976" s="496"/>
      <c r="L976" s="714"/>
      <c r="M976" s="714"/>
      <c r="N976" s="200"/>
      <c r="O976" s="199"/>
      <c r="P976" s="24"/>
      <c r="Q976" s="24"/>
      <c r="R976" s="398"/>
      <c r="S976" s="398"/>
      <c r="T976" s="398"/>
      <c r="U976" s="398"/>
      <c r="V976" s="398"/>
      <c r="W976" s="398"/>
      <c r="X976" s="398"/>
      <c r="Y976" s="398"/>
      <c r="Z976" s="398"/>
      <c r="AA976" s="398"/>
      <c r="AB976" s="200"/>
      <c r="AH976" s="910"/>
      <c r="AI976" s="2" t="s">
        <v>2692</v>
      </c>
      <c r="AJ976" s="718" t="s">
        <v>2692</v>
      </c>
      <c r="AK976" s="824" t="s">
        <v>2689</v>
      </c>
      <c r="AO976" s="2" t="s">
        <v>3117</v>
      </c>
    </row>
    <row r="977" spans="1:41" ht="19.95" customHeight="1">
      <c r="A977" s="716" t="s">
        <v>2678</v>
      </c>
      <c r="B977" s="496"/>
      <c r="C977" s="24"/>
      <c r="D977" s="1044"/>
      <c r="E977" s="1045"/>
      <c r="F977" s="1045"/>
      <c r="G977" s="1045"/>
      <c r="H977" s="1045"/>
      <c r="I977" s="1045"/>
      <c r="J977" s="1046"/>
      <c r="K977" s="1343" t="str">
        <f>AI977</f>
        <v/>
      </c>
      <c r="L977" s="1344"/>
      <c r="M977" s="1344"/>
      <c r="N977" s="200"/>
      <c r="O977" s="199"/>
      <c r="P977" s="24"/>
      <c r="Q977" s="24"/>
      <c r="R977" s="398"/>
      <c r="S977" s="398"/>
      <c r="T977" s="398"/>
      <c r="U977" s="398"/>
      <c r="V977" s="398"/>
      <c r="W977" s="398"/>
      <c r="X977" s="398"/>
      <c r="Y977" s="398"/>
      <c r="Z977" s="398"/>
      <c r="AA977" s="398"/>
      <c r="AB977" s="200"/>
      <c r="AH977" s="910">
        <v>2</v>
      </c>
      <c r="AI977" s="595" t="str">
        <f>IF(D977=AK977,AJ977,IF(D977=AK978,AJ978,IF(D977=AK979,AJ979,"")))</f>
        <v/>
      </c>
      <c r="AJ977" s="717" t="s">
        <v>2675</v>
      </c>
      <c r="AK977" s="824" t="s">
        <v>2710</v>
      </c>
      <c r="AL977" s="825">
        <f>IF(D977="",1,0)</f>
        <v>1</v>
      </c>
      <c r="AN977" s="821" t="str">
        <f>IF(K977=AJ977,AO977,IF(K977=AJ978,AO978,IF(K977=AJ979,AO979,"")))</f>
        <v/>
      </c>
      <c r="AO977" s="2" t="s">
        <v>2686</v>
      </c>
    </row>
    <row r="978" spans="1:41" ht="19.95" customHeight="1" thickBot="1">
      <c r="A978" s="716"/>
      <c r="B978" s="496"/>
      <c r="C978" s="606"/>
      <c r="D978" s="1047"/>
      <c r="E978" s="1048"/>
      <c r="F978" s="1048"/>
      <c r="G978" s="1048"/>
      <c r="H978" s="1048"/>
      <c r="I978" s="1048"/>
      <c r="J978" s="1049"/>
      <c r="K978" s="714"/>
      <c r="L978" s="714"/>
      <c r="M978" s="826" t="str">
        <f>AN977</f>
        <v/>
      </c>
      <c r="N978" s="200"/>
      <c r="O978" s="199"/>
      <c r="P978" s="24"/>
      <c r="Q978" s="24"/>
      <c r="R978" s="398"/>
      <c r="S978" s="398"/>
      <c r="T978" s="398"/>
      <c r="U978" s="398"/>
      <c r="V978" s="398"/>
      <c r="W978" s="398"/>
      <c r="X978" s="398"/>
      <c r="Y978" s="398"/>
      <c r="Z978" s="398"/>
      <c r="AA978" s="398"/>
      <c r="AB978" s="200"/>
      <c r="AH978" s="910"/>
      <c r="AI978" s="822">
        <f>IF(AI977=AJ977,AI$971,IF(AI977=AJ978,AJ$971,IF(AI977=AJ979,AK$971,AL$971)))</f>
        <v>0</v>
      </c>
      <c r="AJ978" s="718" t="s">
        <v>2693</v>
      </c>
      <c r="AK978" s="824" t="s">
        <v>2711</v>
      </c>
      <c r="AO978" s="2" t="s">
        <v>3116</v>
      </c>
    </row>
    <row r="979" spans="1:41" ht="4.05" customHeight="1" thickBot="1">
      <c r="A979" s="716"/>
      <c r="B979" s="496"/>
      <c r="C979" s="496"/>
      <c r="D979" s="496"/>
      <c r="E979" s="496"/>
      <c r="F979" s="496"/>
      <c r="G979" s="496"/>
      <c r="H979" s="496"/>
      <c r="I979" s="496"/>
      <c r="J979" s="496"/>
      <c r="K979" s="496"/>
      <c r="L979" s="496"/>
      <c r="M979" s="714"/>
      <c r="N979" s="200"/>
      <c r="O979" s="199"/>
      <c r="P979" s="24"/>
      <c r="Q979" s="24"/>
      <c r="R979" s="398"/>
      <c r="S979" s="398"/>
      <c r="T979" s="398"/>
      <c r="U979" s="398"/>
      <c r="V979" s="398"/>
      <c r="W979" s="398"/>
      <c r="X979" s="398"/>
      <c r="Y979" s="398"/>
      <c r="Z979" s="398"/>
      <c r="AA979" s="398"/>
      <c r="AB979" s="200"/>
      <c r="AH979" s="910"/>
      <c r="AI979" s="2" t="s">
        <v>2692</v>
      </c>
      <c r="AJ979" s="718" t="s">
        <v>2694</v>
      </c>
      <c r="AK979" s="824" t="s">
        <v>2685</v>
      </c>
      <c r="AO979" s="2" t="s">
        <v>3117</v>
      </c>
    </row>
    <row r="980" spans="1:41" ht="19.95" customHeight="1">
      <c r="A980" s="716" t="s">
        <v>2679</v>
      </c>
      <c r="B980" s="715"/>
      <c r="C980" s="24"/>
      <c r="D980" s="1044"/>
      <c r="E980" s="1045"/>
      <c r="F980" s="1045"/>
      <c r="G980" s="1045"/>
      <c r="H980" s="1045"/>
      <c r="I980" s="1045"/>
      <c r="J980" s="1046"/>
      <c r="K980" s="1343" t="str">
        <f>AI980</f>
        <v/>
      </c>
      <c r="L980" s="1344"/>
      <c r="M980" s="1344"/>
      <c r="N980" s="200"/>
      <c r="O980" s="199"/>
      <c r="P980" s="24"/>
      <c r="Q980" s="24"/>
      <c r="R980" s="398"/>
      <c r="S980" s="398"/>
      <c r="T980" s="398"/>
      <c r="U980" s="398"/>
      <c r="V980" s="398"/>
      <c r="W980" s="398"/>
      <c r="X980" s="398"/>
      <c r="Y980" s="398"/>
      <c r="Z980" s="398"/>
      <c r="AA980" s="398"/>
      <c r="AB980" s="200"/>
      <c r="AH980" s="910">
        <v>3</v>
      </c>
      <c r="AI980" s="595" t="str">
        <f>IF(D980=AK980,AJ980,IF(D980=AK981,AJ981,IF(D980=AK982,AJ982,"")))</f>
        <v/>
      </c>
      <c r="AJ980" s="717" t="s">
        <v>2676</v>
      </c>
      <c r="AK980" s="824" t="s">
        <v>2712</v>
      </c>
      <c r="AL980" s="825">
        <f>IF(D980="",1,0)</f>
        <v>1</v>
      </c>
      <c r="AN980" s="821" t="str">
        <f>IF(K980=AJ980,AO980,IF(K980=AJ981,AO981,IF(K980=AJ982,AO982,"")))</f>
        <v/>
      </c>
      <c r="AO980" s="2" t="s">
        <v>2686</v>
      </c>
    </row>
    <row r="981" spans="1:41" ht="19.95" customHeight="1" thickBot="1">
      <c r="A981" s="716"/>
      <c r="B981" s="715"/>
      <c r="C981" s="606"/>
      <c r="D981" s="1047"/>
      <c r="E981" s="1048"/>
      <c r="F981" s="1048"/>
      <c r="G981" s="1048"/>
      <c r="H981" s="1048"/>
      <c r="I981" s="1048"/>
      <c r="J981" s="1049"/>
      <c r="K981" s="714"/>
      <c r="L981" s="714"/>
      <c r="M981" s="826" t="str">
        <f>AN980</f>
        <v/>
      </c>
      <c r="N981" s="200"/>
      <c r="O981" s="199"/>
      <c r="P981" s="24"/>
      <c r="Q981" s="24"/>
      <c r="R981" s="398"/>
      <c r="S981" s="398"/>
      <c r="T981" s="398"/>
      <c r="U981" s="398"/>
      <c r="V981" s="398"/>
      <c r="W981" s="398"/>
      <c r="X981" s="398"/>
      <c r="Y981" s="398"/>
      <c r="Z981" s="398"/>
      <c r="AA981" s="398"/>
      <c r="AB981" s="200"/>
      <c r="AH981" s="910"/>
      <c r="AI981" s="822">
        <f>IF(AI980=AJ980,AI$971,IF(AI980=AJ981,AJ$971,IF(AI980=AJ982,AK$971,AL$971)))</f>
        <v>0</v>
      </c>
      <c r="AJ981" s="718" t="s">
        <v>2684</v>
      </c>
      <c r="AK981" s="824" t="s">
        <v>2713</v>
      </c>
      <c r="AO981" s="2" t="s">
        <v>3116</v>
      </c>
    </row>
    <row r="982" spans="1:41" ht="4.05" customHeight="1" thickBot="1">
      <c r="A982" s="716"/>
      <c r="B982" s="715"/>
      <c r="C982" s="715"/>
      <c r="D982" s="715"/>
      <c r="E982" s="715"/>
      <c r="F982" s="715"/>
      <c r="G982" s="715"/>
      <c r="H982" s="715"/>
      <c r="I982" s="715"/>
      <c r="J982" s="715"/>
      <c r="K982" s="715"/>
      <c r="L982" s="715"/>
      <c r="M982" s="715"/>
      <c r="N982" s="200"/>
      <c r="O982" s="199"/>
      <c r="P982" s="24"/>
      <c r="Q982" s="24"/>
      <c r="R982" s="398"/>
      <c r="S982" s="398"/>
      <c r="T982" s="398"/>
      <c r="U982" s="398"/>
      <c r="V982" s="398"/>
      <c r="W982" s="398"/>
      <c r="X982" s="398"/>
      <c r="Y982" s="398"/>
      <c r="Z982" s="398"/>
      <c r="AA982" s="398"/>
      <c r="AB982" s="200"/>
      <c r="AH982" s="910"/>
      <c r="AI982" s="2" t="s">
        <v>2692</v>
      </c>
      <c r="AJ982" s="718" t="s">
        <v>2677</v>
      </c>
      <c r="AK982" s="824" t="s">
        <v>2714</v>
      </c>
      <c r="AO982" s="2" t="s">
        <v>3117</v>
      </c>
    </row>
    <row r="983" spans="1:41" ht="19.95" customHeight="1">
      <c r="A983" s="716" t="s">
        <v>3118</v>
      </c>
      <c r="B983" s="496"/>
      <c r="C983" s="24"/>
      <c r="D983" s="1044"/>
      <c r="E983" s="1045"/>
      <c r="F983" s="1045"/>
      <c r="G983" s="1045"/>
      <c r="H983" s="1045"/>
      <c r="I983" s="1045"/>
      <c r="J983" s="1046"/>
      <c r="K983" s="1343" t="str">
        <f>AI983</f>
        <v/>
      </c>
      <c r="L983" s="1344"/>
      <c r="M983" s="1344"/>
      <c r="N983" s="200"/>
      <c r="O983" s="199"/>
      <c r="P983" s="24"/>
      <c r="Q983" s="24"/>
      <c r="R983" s="398"/>
      <c r="S983" s="398"/>
      <c r="T983" s="398"/>
      <c r="U983" s="398"/>
      <c r="V983" s="398"/>
      <c r="W983" s="398"/>
      <c r="X983" s="398"/>
      <c r="Y983" s="398"/>
      <c r="Z983" s="398"/>
      <c r="AA983" s="398"/>
      <c r="AB983" s="200"/>
      <c r="AH983" s="910">
        <v>4</v>
      </c>
      <c r="AI983" s="595" t="str">
        <f>IF(D983=AK983,AJ983,IF(D983=AK984,AJ984,IF(D983=AK985,AJ985,"")))</f>
        <v/>
      </c>
      <c r="AJ983" s="717" t="s">
        <v>2695</v>
      </c>
      <c r="AK983" s="824" t="s">
        <v>2715</v>
      </c>
      <c r="AL983" s="825">
        <f>IF(D983="",1,0)</f>
        <v>1</v>
      </c>
      <c r="AN983" s="821" t="str">
        <f>IF(K983=AJ983,AO983,IF(K983=AJ984,AO984,IF(K983=AJ985,AO985,"")))</f>
        <v/>
      </c>
      <c r="AO983" s="2" t="s">
        <v>2686</v>
      </c>
    </row>
    <row r="984" spans="1:41" ht="19.95" customHeight="1" thickBot="1">
      <c r="A984" s="716"/>
      <c r="B984" s="496"/>
      <c r="C984" s="606"/>
      <c r="D984" s="1047"/>
      <c r="E984" s="1048"/>
      <c r="F984" s="1048"/>
      <c r="G984" s="1048"/>
      <c r="H984" s="1048"/>
      <c r="I984" s="1048"/>
      <c r="J984" s="1049"/>
      <c r="K984" s="714"/>
      <c r="L984" s="714"/>
      <c r="M984" s="826" t="str">
        <f>AN983</f>
        <v/>
      </c>
      <c r="N984" s="200"/>
      <c r="O984" s="199"/>
      <c r="P984" s="24"/>
      <c r="Q984" s="24"/>
      <c r="R984" s="398"/>
      <c r="S984" s="398"/>
      <c r="T984" s="398"/>
      <c r="U984" s="398"/>
      <c r="V984" s="398"/>
      <c r="W984" s="398"/>
      <c r="X984" s="398"/>
      <c r="Y984" s="398"/>
      <c r="Z984" s="398"/>
      <c r="AA984" s="398"/>
      <c r="AB984" s="200"/>
      <c r="AH984" s="910"/>
      <c r="AI984" s="822">
        <f>IF(AI983=AJ983,AI$971,IF(AI983=AJ984,AJ$971,IF(AI983=AJ985,AK$971,AL$971)))</f>
        <v>0</v>
      </c>
      <c r="AJ984" s="718" t="s">
        <v>2696</v>
      </c>
      <c r="AK984" s="824" t="s">
        <v>2716</v>
      </c>
      <c r="AO984" s="2" t="s">
        <v>3116</v>
      </c>
    </row>
    <row r="985" spans="1:41" ht="4.05" customHeight="1" thickBot="1">
      <c r="A985" s="716"/>
      <c r="B985" s="496"/>
      <c r="C985" s="496"/>
      <c r="D985" s="496"/>
      <c r="E985" s="496"/>
      <c r="F985" s="496"/>
      <c r="G985" s="496"/>
      <c r="H985" s="496"/>
      <c r="I985" s="496"/>
      <c r="J985" s="496"/>
      <c r="K985" s="496"/>
      <c r="L985" s="496"/>
      <c r="M985" s="496"/>
      <c r="N985" s="200"/>
      <c r="O985" s="199"/>
      <c r="P985" s="24"/>
      <c r="Q985" s="24"/>
      <c r="R985" s="398"/>
      <c r="S985" s="398"/>
      <c r="T985" s="398"/>
      <c r="U985" s="398"/>
      <c r="V985" s="398"/>
      <c r="W985" s="398"/>
      <c r="X985" s="398"/>
      <c r="Y985" s="398"/>
      <c r="Z985" s="398"/>
      <c r="AA985" s="398"/>
      <c r="AB985" s="200"/>
      <c r="AH985" s="910"/>
      <c r="AI985" s="2" t="s">
        <v>2692</v>
      </c>
      <c r="AJ985" s="718" t="s">
        <v>2697</v>
      </c>
      <c r="AK985" s="824" t="s">
        <v>2717</v>
      </c>
      <c r="AO985" s="2" t="s">
        <v>3117</v>
      </c>
    </row>
    <row r="986" spans="1:41" ht="19.95" customHeight="1">
      <c r="A986" s="716" t="s">
        <v>2680</v>
      </c>
      <c r="B986" s="496"/>
      <c r="C986" s="24"/>
      <c r="D986" s="1044"/>
      <c r="E986" s="1045"/>
      <c r="F986" s="1045"/>
      <c r="G986" s="1045"/>
      <c r="H986" s="1045"/>
      <c r="I986" s="1045"/>
      <c r="J986" s="1046"/>
      <c r="K986" s="1343" t="str">
        <f>AI986</f>
        <v/>
      </c>
      <c r="L986" s="1344"/>
      <c r="M986" s="1344"/>
      <c r="N986" s="200"/>
      <c r="O986" s="199"/>
      <c r="P986" s="24"/>
      <c r="Q986" s="24"/>
      <c r="R986" s="398"/>
      <c r="S986" s="398"/>
      <c r="T986" s="398"/>
      <c r="U986" s="398"/>
      <c r="V986" s="398"/>
      <c r="W986" s="398"/>
      <c r="X986" s="398"/>
      <c r="Y986" s="398"/>
      <c r="Z986" s="398"/>
      <c r="AA986" s="398"/>
      <c r="AB986" s="200"/>
      <c r="AH986" s="910">
        <v>5</v>
      </c>
      <c r="AI986" s="595" t="str">
        <f>IF(D986=AK986,AJ986,IF(D986=AK987,AJ987,IF(D986=AK988,AJ988,"")))</f>
        <v/>
      </c>
      <c r="AJ986" s="717" t="s">
        <v>2698</v>
      </c>
      <c r="AK986" s="824" t="s">
        <v>2718</v>
      </c>
      <c r="AL986" s="825">
        <f>IF(D986="",1,0)</f>
        <v>1</v>
      </c>
      <c r="AN986" s="821" t="str">
        <f>IF(K986=AJ986,AO986,IF(K986=AJ987,AO987,IF(K986=AJ988,AO988,"")))</f>
        <v/>
      </c>
      <c r="AO986" s="2" t="s">
        <v>2686</v>
      </c>
    </row>
    <row r="987" spans="1:41" ht="19.95" customHeight="1" thickBot="1">
      <c r="A987" s="716"/>
      <c r="B987" s="496"/>
      <c r="C987" s="606"/>
      <c r="D987" s="1047"/>
      <c r="E987" s="1048"/>
      <c r="F987" s="1048"/>
      <c r="G987" s="1048"/>
      <c r="H987" s="1048"/>
      <c r="I987" s="1048"/>
      <c r="J987" s="1049"/>
      <c r="K987" s="714"/>
      <c r="L987" s="714"/>
      <c r="M987" s="826" t="str">
        <f>AN986</f>
        <v/>
      </c>
      <c r="N987" s="200"/>
      <c r="O987" s="199"/>
      <c r="P987" s="24"/>
      <c r="Q987" s="24"/>
      <c r="R987" s="398"/>
      <c r="S987" s="398"/>
      <c r="T987" s="398"/>
      <c r="U987" s="398"/>
      <c r="V987" s="398"/>
      <c r="W987" s="398"/>
      <c r="X987" s="398"/>
      <c r="Y987" s="398"/>
      <c r="Z987" s="398"/>
      <c r="AA987" s="398"/>
      <c r="AB987" s="200"/>
      <c r="AH987" s="910"/>
      <c r="AI987" s="822">
        <f>IF(AI986=AJ986,AI$971,IF(AI986=AJ987,AJ$971,IF(AI986=AJ988,AK$971,AL$971)))</f>
        <v>0</v>
      </c>
      <c r="AJ987" s="718" t="s">
        <v>2699</v>
      </c>
      <c r="AK987" s="824" t="s">
        <v>2719</v>
      </c>
      <c r="AO987" s="2" t="s">
        <v>3116</v>
      </c>
    </row>
    <row r="988" spans="1:41" ht="4.05" customHeight="1" thickBot="1">
      <c r="A988" s="716"/>
      <c r="B988" s="496"/>
      <c r="C988" s="496"/>
      <c r="D988" s="496"/>
      <c r="E988" s="496"/>
      <c r="F988" s="496"/>
      <c r="G988" s="496"/>
      <c r="H988" s="496"/>
      <c r="I988" s="496"/>
      <c r="J988" s="496"/>
      <c r="K988" s="496"/>
      <c r="L988" s="714"/>
      <c r="M988" s="714"/>
      <c r="N988" s="200"/>
      <c r="O988" s="199"/>
      <c r="P988" s="24"/>
      <c r="Q988" s="24"/>
      <c r="R988" s="398"/>
      <c r="S988" s="398"/>
      <c r="T988" s="398"/>
      <c r="U988" s="398"/>
      <c r="V988" s="398"/>
      <c r="W988" s="398"/>
      <c r="X988" s="398"/>
      <c r="Y988" s="398"/>
      <c r="Z988" s="398"/>
      <c r="AA988" s="398"/>
      <c r="AB988" s="200"/>
      <c r="AH988" s="910"/>
      <c r="AI988" s="2" t="s">
        <v>2692</v>
      </c>
      <c r="AJ988" s="718" t="s">
        <v>2700</v>
      </c>
      <c r="AK988" s="824" t="s">
        <v>2720</v>
      </c>
      <c r="AO988" s="2" t="s">
        <v>3117</v>
      </c>
    </row>
    <row r="989" spans="1:41" ht="19.95" customHeight="1">
      <c r="A989" s="716" t="s">
        <v>2681</v>
      </c>
      <c r="B989" s="496"/>
      <c r="C989" s="24"/>
      <c r="D989" s="1044"/>
      <c r="E989" s="1045"/>
      <c r="F989" s="1045"/>
      <c r="G989" s="1045"/>
      <c r="H989" s="1045"/>
      <c r="I989" s="1045"/>
      <c r="J989" s="1046"/>
      <c r="K989" s="1343" t="str">
        <f>AI989</f>
        <v/>
      </c>
      <c r="L989" s="1344"/>
      <c r="M989" s="1344"/>
      <c r="N989" s="200"/>
      <c r="O989" s="199"/>
      <c r="P989" s="24"/>
      <c r="Q989" s="24"/>
      <c r="R989" s="398"/>
      <c r="S989" s="398"/>
      <c r="T989" s="398"/>
      <c r="U989" s="398"/>
      <c r="V989" s="398"/>
      <c r="W989" s="398"/>
      <c r="X989" s="398"/>
      <c r="Y989" s="398"/>
      <c r="Z989" s="398"/>
      <c r="AA989" s="398"/>
      <c r="AB989" s="200"/>
      <c r="AH989" s="910">
        <v>6</v>
      </c>
      <c r="AI989" s="595" t="str">
        <f>IF(D989=AK989,AJ989,IF(D989=AK990,AJ990,IF(D989=AK991,AJ991,"")))</f>
        <v/>
      </c>
      <c r="AJ989" s="717" t="s">
        <v>2698</v>
      </c>
      <c r="AK989" s="824" t="s">
        <v>2721</v>
      </c>
      <c r="AL989" s="825">
        <f>IF(D989="",1,0)</f>
        <v>1</v>
      </c>
      <c r="AN989" s="821" t="str">
        <f>IF(K989=AJ989,AO989,IF(K989=AJ990,AO990,IF(K989=AJ991,AO991,"")))</f>
        <v/>
      </c>
      <c r="AO989" s="2" t="s">
        <v>2686</v>
      </c>
    </row>
    <row r="990" spans="1:41" ht="19.95" customHeight="1" thickBot="1">
      <c r="A990" s="716"/>
      <c r="B990" s="496"/>
      <c r="C990" s="24"/>
      <c r="D990" s="1047"/>
      <c r="E990" s="1048"/>
      <c r="F990" s="1048"/>
      <c r="G990" s="1048"/>
      <c r="H990" s="1048"/>
      <c r="I990" s="1048"/>
      <c r="J990" s="1049"/>
      <c r="K990" s="714"/>
      <c r="L990" s="714"/>
      <c r="M990" s="826" t="str">
        <f>AN989</f>
        <v/>
      </c>
      <c r="N990" s="200"/>
      <c r="O990" s="199"/>
      <c r="P990" s="24"/>
      <c r="Q990" s="24"/>
      <c r="R990" s="398"/>
      <c r="S990" s="398"/>
      <c r="T990" s="398"/>
      <c r="U990" s="398"/>
      <c r="V990" s="398"/>
      <c r="W990" s="398"/>
      <c r="X990" s="398"/>
      <c r="Y990" s="398"/>
      <c r="Z990" s="398"/>
      <c r="AA990" s="398"/>
      <c r="AB990" s="200"/>
      <c r="AH990" s="910"/>
      <c r="AI990" s="822">
        <f>IF(AI989=AJ989,AI$971,IF(AI989=AJ990,AJ$971,IF(AI989=AJ991,AK$971,AL$971)))</f>
        <v>0</v>
      </c>
      <c r="AJ990" s="718" t="s">
        <v>2699</v>
      </c>
      <c r="AK990" s="824" t="s">
        <v>2722</v>
      </c>
      <c r="AO990" s="2" t="s">
        <v>3116</v>
      </c>
    </row>
    <row r="991" spans="1:41" ht="4.05" customHeight="1" thickBot="1">
      <c r="A991" s="716"/>
      <c r="B991" s="496"/>
      <c r="C991" s="496"/>
      <c r="D991" s="496"/>
      <c r="E991" s="496"/>
      <c r="F991" s="496"/>
      <c r="G991" s="496"/>
      <c r="H991" s="496"/>
      <c r="I991" s="496"/>
      <c r="J991" s="496"/>
      <c r="K991" s="496"/>
      <c r="L991" s="496"/>
      <c r="M991" s="714"/>
      <c r="N991" s="200"/>
      <c r="O991" s="199"/>
      <c r="P991" s="24"/>
      <c r="Q991" s="24"/>
      <c r="R991" s="398"/>
      <c r="S991" s="398"/>
      <c r="T991" s="398"/>
      <c r="U991" s="398"/>
      <c r="V991" s="398"/>
      <c r="W991" s="398"/>
      <c r="X991" s="398"/>
      <c r="Y991" s="398"/>
      <c r="Z991" s="398"/>
      <c r="AA991" s="398"/>
      <c r="AB991" s="200"/>
      <c r="AH991" s="910"/>
      <c r="AI991" s="2" t="s">
        <v>2692</v>
      </c>
      <c r="AJ991" s="718" t="s">
        <v>2700</v>
      </c>
      <c r="AK991" s="824" t="s">
        <v>2723</v>
      </c>
      <c r="AO991" s="2" t="s">
        <v>3117</v>
      </c>
    </row>
    <row r="992" spans="1:41" ht="19.95" customHeight="1">
      <c r="A992" s="716" t="s">
        <v>2682</v>
      </c>
      <c r="B992" s="496"/>
      <c r="C992" s="24"/>
      <c r="D992" s="1044"/>
      <c r="E992" s="1045"/>
      <c r="F992" s="1045"/>
      <c r="G992" s="1045"/>
      <c r="H992" s="1045"/>
      <c r="I992" s="1045"/>
      <c r="J992" s="1046"/>
      <c r="K992" s="1343" t="str">
        <f>AI992</f>
        <v/>
      </c>
      <c r="L992" s="1344"/>
      <c r="M992" s="1344"/>
      <c r="N992" s="200"/>
      <c r="O992" s="199"/>
      <c r="P992" s="24"/>
      <c r="Q992" s="24"/>
      <c r="R992" s="398"/>
      <c r="S992" s="398"/>
      <c r="T992" s="398"/>
      <c r="U992" s="398"/>
      <c r="V992" s="398"/>
      <c r="W992" s="398"/>
      <c r="X992" s="398"/>
      <c r="Y992" s="398"/>
      <c r="Z992" s="398"/>
      <c r="AA992" s="398"/>
      <c r="AB992" s="200"/>
      <c r="AH992" s="910">
        <v>7</v>
      </c>
      <c r="AI992" s="595" t="str">
        <f>IF(D992=AK992,AJ992,IF(D992=AK993,AJ993,IF(D992=AK994,AJ994,"")))</f>
        <v/>
      </c>
      <c r="AJ992" s="717" t="s">
        <v>2701</v>
      </c>
      <c r="AK992" s="824" t="s">
        <v>2724</v>
      </c>
      <c r="AL992" s="825">
        <f>IF(D992="",1,0)</f>
        <v>1</v>
      </c>
      <c r="AN992" s="821" t="str">
        <f>IF(K992=AJ992,AO992,IF(K992=AJ993,AO993,IF(K992=AJ994,AO994,"")))</f>
        <v/>
      </c>
      <c r="AO992" s="2" t="s">
        <v>2686</v>
      </c>
    </row>
    <row r="993" spans="1:43" ht="19.95" customHeight="1" thickBot="1">
      <c r="A993" s="716"/>
      <c r="B993" s="496"/>
      <c r="C993" s="603"/>
      <c r="D993" s="1047"/>
      <c r="E993" s="1048"/>
      <c r="F993" s="1048"/>
      <c r="G993" s="1048"/>
      <c r="H993" s="1048"/>
      <c r="I993" s="1048"/>
      <c r="J993" s="1049"/>
      <c r="K993" s="714"/>
      <c r="L993" s="714"/>
      <c r="M993" s="826" t="str">
        <f>AN992</f>
        <v/>
      </c>
      <c r="N993" s="200"/>
      <c r="O993" s="199"/>
      <c r="P993" s="24"/>
      <c r="Q993" s="24"/>
      <c r="R993" s="398"/>
      <c r="S993" s="398"/>
      <c r="T993" s="398"/>
      <c r="U993" s="398"/>
      <c r="V993" s="398"/>
      <c r="W993" s="398"/>
      <c r="X993" s="398"/>
      <c r="Y993" s="398"/>
      <c r="Z993" s="398"/>
      <c r="AA993" s="398"/>
      <c r="AB993" s="200"/>
      <c r="AH993" s="910"/>
      <c r="AI993" s="822">
        <f>IF(AI992=AJ992,AI$971,IF(AI992=AJ993,AJ$971,IF(AI992=AJ994,AK$971,AL$971)))</f>
        <v>0</v>
      </c>
      <c r="AJ993" s="718" t="s">
        <v>2702</v>
      </c>
      <c r="AK993" s="824" t="s">
        <v>2725</v>
      </c>
      <c r="AO993" s="2" t="s">
        <v>3116</v>
      </c>
    </row>
    <row r="994" spans="1:43" ht="4.05" customHeight="1" thickBot="1">
      <c r="A994" s="716"/>
      <c r="B994" s="496"/>
      <c r="C994" s="496"/>
      <c r="D994" s="496"/>
      <c r="E994" s="496"/>
      <c r="F994" s="496"/>
      <c r="G994" s="496"/>
      <c r="H994" s="496"/>
      <c r="I994" s="496"/>
      <c r="J994" s="496"/>
      <c r="K994" s="496"/>
      <c r="L994" s="714"/>
      <c r="M994" s="714"/>
      <c r="N994" s="200"/>
      <c r="O994" s="199"/>
      <c r="P994" s="24"/>
      <c r="Q994" s="24"/>
      <c r="R994" s="398"/>
      <c r="S994" s="398"/>
      <c r="T994" s="398"/>
      <c r="U994" s="398"/>
      <c r="V994" s="398"/>
      <c r="W994" s="398"/>
      <c r="X994" s="398"/>
      <c r="Y994" s="398"/>
      <c r="Z994" s="398"/>
      <c r="AA994" s="398"/>
      <c r="AB994" s="200"/>
      <c r="AH994" s="910"/>
      <c r="AI994" s="2" t="s">
        <v>2692</v>
      </c>
      <c r="AJ994" s="718" t="s">
        <v>2703</v>
      </c>
      <c r="AK994" s="824" t="s">
        <v>2726</v>
      </c>
      <c r="AO994" s="2" t="s">
        <v>3117</v>
      </c>
    </row>
    <row r="995" spans="1:43" ht="19.95" customHeight="1">
      <c r="A995" s="716" t="s">
        <v>2683</v>
      </c>
      <c r="B995" s="496"/>
      <c r="C995" s="496"/>
      <c r="D995" s="1044"/>
      <c r="E995" s="1045"/>
      <c r="F995" s="1045"/>
      <c r="G995" s="1045"/>
      <c r="H995" s="1045"/>
      <c r="I995" s="1045"/>
      <c r="J995" s="1046"/>
      <c r="K995" s="1343" t="str">
        <f>AI995</f>
        <v/>
      </c>
      <c r="L995" s="1344"/>
      <c r="M995" s="1344"/>
      <c r="N995" s="200"/>
      <c r="O995" s="199"/>
      <c r="P995" s="24"/>
      <c r="Q995" s="24"/>
      <c r="R995" s="398"/>
      <c r="S995" s="398"/>
      <c r="T995" s="398"/>
      <c r="U995" s="398"/>
      <c r="V995" s="398"/>
      <c r="W995" s="398"/>
      <c r="X995" s="398"/>
      <c r="Y995" s="398"/>
      <c r="Z995" s="398"/>
      <c r="AA995" s="398"/>
      <c r="AB995" s="200"/>
      <c r="AH995" s="910">
        <v>8</v>
      </c>
      <c r="AI995" s="595" t="str">
        <f>IF(D995=AK995,AJ995,IF(D995=AK996,AJ996,IF(D995=AK997,AJ997,"")))</f>
        <v/>
      </c>
      <c r="AJ995" s="717" t="s">
        <v>2704</v>
      </c>
      <c r="AK995" s="824" t="s">
        <v>2727</v>
      </c>
      <c r="AL995" s="825">
        <f>IF(D995="",1,0)</f>
        <v>1</v>
      </c>
      <c r="AN995" s="821" t="str">
        <f>IF(K995=AJ995,AO995,IF(K995=AJ996,AO996,IF(K995=AJ997,AO997,"")))</f>
        <v/>
      </c>
      <c r="AO995" s="2" t="s">
        <v>2686</v>
      </c>
    </row>
    <row r="996" spans="1:43" ht="19.95" customHeight="1" thickBot="1">
      <c r="A996" s="716"/>
      <c r="B996" s="496"/>
      <c r="C996" s="603"/>
      <c r="D996" s="1047"/>
      <c r="E996" s="1048"/>
      <c r="F996" s="1048"/>
      <c r="G996" s="1048"/>
      <c r="H996" s="1048"/>
      <c r="I996" s="1048"/>
      <c r="J996" s="1049"/>
      <c r="K996" s="714"/>
      <c r="L996" s="714"/>
      <c r="M996" s="826" t="str">
        <f>AN995</f>
        <v/>
      </c>
      <c r="N996" s="200"/>
      <c r="O996" s="199"/>
      <c r="P996" s="24"/>
      <c r="Q996" s="24"/>
      <c r="R996" s="398"/>
      <c r="S996" s="398"/>
      <c r="T996" s="398"/>
      <c r="U996" s="398"/>
      <c r="V996" s="398"/>
      <c r="W996" s="398"/>
      <c r="X996" s="398"/>
      <c r="Y996" s="398"/>
      <c r="Z996" s="398"/>
      <c r="AA996" s="398"/>
      <c r="AB996" s="200"/>
      <c r="AH996" s="910"/>
      <c r="AI996" s="822">
        <f>IF(AI995=AJ995,AI$971,IF(AI995=AJ996,AJ$971,IF(AI995=AJ997,AK$971,AL$971)))</f>
        <v>0</v>
      </c>
      <c r="AJ996" s="718" t="s">
        <v>2705</v>
      </c>
      <c r="AK996" s="824" t="s">
        <v>2728</v>
      </c>
      <c r="AO996" s="2" t="s">
        <v>3116</v>
      </c>
    </row>
    <row r="997" spans="1:43" ht="4.05" customHeight="1" thickBot="1">
      <c r="A997" s="716"/>
      <c r="B997" s="496"/>
      <c r="C997" s="496"/>
      <c r="D997" s="496"/>
      <c r="E997" s="496"/>
      <c r="F997" s="496"/>
      <c r="G997" s="496"/>
      <c r="H997" s="496"/>
      <c r="I997" s="496"/>
      <c r="J997" s="496"/>
      <c r="K997" s="496"/>
      <c r="L997" s="714"/>
      <c r="M997" s="714"/>
      <c r="N997" s="200"/>
      <c r="O997" s="199"/>
      <c r="P997" s="24"/>
      <c r="Q997" s="24"/>
      <c r="R997" s="398"/>
      <c r="S997" s="398"/>
      <c r="T997" s="398"/>
      <c r="U997" s="398"/>
      <c r="V997" s="398"/>
      <c r="W997" s="398"/>
      <c r="X997" s="398"/>
      <c r="Y997" s="398"/>
      <c r="Z997" s="398"/>
      <c r="AA997" s="398"/>
      <c r="AB997" s="200"/>
      <c r="AH997" s="910"/>
      <c r="AI997" s="2" t="s">
        <v>2692</v>
      </c>
      <c r="AJ997" s="718" t="s">
        <v>2706</v>
      </c>
      <c r="AK997" s="824" t="s">
        <v>2729</v>
      </c>
      <c r="AO997" s="2" t="s">
        <v>3117</v>
      </c>
    </row>
    <row r="998" spans="1:43" ht="19.95" customHeight="1">
      <c r="A998" s="716" t="s">
        <v>2434</v>
      </c>
      <c r="B998" s="496"/>
      <c r="C998" s="24"/>
      <c r="D998" s="1044"/>
      <c r="E998" s="1045"/>
      <c r="F998" s="1045"/>
      <c r="G998" s="1045"/>
      <c r="H998" s="1045"/>
      <c r="I998" s="1045"/>
      <c r="J998" s="1046"/>
      <c r="K998" s="1343" t="str">
        <f>AI998</f>
        <v/>
      </c>
      <c r="L998" s="1344"/>
      <c r="M998" s="1344"/>
      <c r="N998" s="200"/>
      <c r="O998" s="199"/>
      <c r="P998" s="24"/>
      <c r="Q998" s="24"/>
      <c r="R998" s="398"/>
      <c r="S998" s="398"/>
      <c r="T998" s="398"/>
      <c r="U998" s="398"/>
      <c r="V998" s="398"/>
      <c r="W998" s="398"/>
      <c r="X998" s="398"/>
      <c r="Y998" s="398"/>
      <c r="Z998" s="398"/>
      <c r="AA998" s="398"/>
      <c r="AB998" s="200"/>
      <c r="AH998" s="910">
        <v>9</v>
      </c>
      <c r="AI998" s="595" t="str">
        <f>IF(D998=AK998,AJ998,IF(D998=AK999,AJ999,IF(D998=AK1000,AJ1000,"")))</f>
        <v/>
      </c>
      <c r="AJ998" s="717" t="s">
        <v>2707</v>
      </c>
      <c r="AK998" s="824" t="s">
        <v>2730</v>
      </c>
      <c r="AL998" s="825">
        <f>IF(D998="",1,0)</f>
        <v>1</v>
      </c>
      <c r="AN998" s="821" t="str">
        <f>IF(K998=AJ998,AO998,IF(K998=AJ999,AO999,IF(K998=AJ1000,AO1000,"")))</f>
        <v/>
      </c>
      <c r="AO998" s="2" t="s">
        <v>2686</v>
      </c>
    </row>
    <row r="999" spans="1:43" ht="19.95" customHeight="1" thickBot="1">
      <c r="A999" s="716"/>
      <c r="B999" s="496"/>
      <c r="C999" s="603"/>
      <c r="D999" s="1047"/>
      <c r="E999" s="1048"/>
      <c r="F999" s="1048"/>
      <c r="G999" s="1048"/>
      <c r="H999" s="1048"/>
      <c r="I999" s="1048"/>
      <c r="J999" s="1049"/>
      <c r="K999" s="714"/>
      <c r="L999" s="714"/>
      <c r="M999" s="826" t="str">
        <f>AN998</f>
        <v/>
      </c>
      <c r="N999" s="200"/>
      <c r="O999" s="199"/>
      <c r="P999" s="24"/>
      <c r="Q999" s="24"/>
      <c r="R999" s="398"/>
      <c r="S999" s="398"/>
      <c r="T999" s="398"/>
      <c r="U999" s="398"/>
      <c r="V999" s="398"/>
      <c r="W999" s="398"/>
      <c r="X999" s="398"/>
      <c r="Y999" s="398"/>
      <c r="Z999" s="398"/>
      <c r="AA999" s="398"/>
      <c r="AB999" s="200"/>
      <c r="AI999" s="822">
        <f>IF(AI998=AJ998,AI$971,IF(AI998=AJ999,AJ$971,IF(AI998=AJ1000,AK$971,AL$971)))</f>
        <v>0</v>
      </c>
      <c r="AJ999" s="718" t="s">
        <v>2708</v>
      </c>
      <c r="AK999" s="824" t="s">
        <v>2731</v>
      </c>
      <c r="AO999" s="2" t="s">
        <v>3116</v>
      </c>
    </row>
    <row r="1000" spans="1:43" ht="10.050000000000001" customHeight="1">
      <c r="A1000" s="199"/>
      <c r="B1000" s="24"/>
      <c r="C1000" s="24"/>
      <c r="D1000" s="24"/>
      <c r="E1000" s="24"/>
      <c r="F1000" s="24"/>
      <c r="G1000" s="24"/>
      <c r="H1000" s="24"/>
      <c r="I1000" s="24"/>
      <c r="J1000" s="24"/>
      <c r="K1000" s="24"/>
      <c r="L1000" s="24"/>
      <c r="M1000" s="24"/>
      <c r="N1000" s="200"/>
      <c r="O1000" s="199"/>
      <c r="P1000" s="24"/>
      <c r="Q1000" s="24"/>
      <c r="R1000" s="398"/>
      <c r="S1000" s="398"/>
      <c r="T1000" s="398"/>
      <c r="U1000" s="398"/>
      <c r="V1000" s="398"/>
      <c r="W1000" s="398"/>
      <c r="X1000" s="398"/>
      <c r="Y1000" s="398"/>
      <c r="Z1000" s="398"/>
      <c r="AA1000" s="398"/>
      <c r="AB1000" s="200"/>
      <c r="AJ1000" s="718" t="s">
        <v>2709</v>
      </c>
      <c r="AK1000" s="824" t="s">
        <v>2732</v>
      </c>
      <c r="AO1000" s="2" t="s">
        <v>3116</v>
      </c>
    </row>
    <row r="1001" spans="1:43" ht="19.95" customHeight="1" thickBot="1">
      <c r="A1001" s="199"/>
      <c r="B1001" s="818" t="s">
        <v>3099</v>
      </c>
      <c r="C1001" s="807"/>
      <c r="D1001" s="807"/>
      <c r="E1001" s="807"/>
      <c r="F1001" s="807"/>
      <c r="G1001" s="807"/>
      <c r="H1001" s="807"/>
      <c r="I1001" s="807"/>
      <c r="J1001" s="807"/>
      <c r="K1001" s="807"/>
      <c r="L1001" s="807"/>
      <c r="M1001" s="807"/>
      <c r="N1001" s="200"/>
      <c r="O1001" s="199"/>
      <c r="P1001" s="24"/>
      <c r="Q1001" s="24"/>
      <c r="R1001" s="398"/>
      <c r="S1001" s="398"/>
      <c r="T1001" s="398"/>
      <c r="U1001" s="398"/>
      <c r="V1001" s="398"/>
      <c r="W1001" s="398"/>
      <c r="X1001" s="398"/>
      <c r="Y1001" s="398"/>
      <c r="Z1001" s="398"/>
      <c r="AA1001" s="398"/>
      <c r="AB1001" s="200"/>
      <c r="AI1001" s="822">
        <f>AI975+AI978+AI981+AI984+AI987+AI990+AI993+AI996+AI999</f>
        <v>0</v>
      </c>
      <c r="AL1001" s="2">
        <f>AL974+AL977+AL980+AL983+AL986+AL989+AL992+AL995+AL998</f>
        <v>9</v>
      </c>
      <c r="AQ1001" s="46" t="s">
        <v>3115</v>
      </c>
    </row>
    <row r="1002" spans="1:43" ht="25.05" customHeight="1" thickTop="1">
      <c r="A1002" s="199"/>
      <c r="B1002" s="808"/>
      <c r="C1002" s="809"/>
      <c r="D1002" s="809"/>
      <c r="E1002" s="809"/>
      <c r="F1002" s="809"/>
      <c r="G1002" s="809"/>
      <c r="H1002" s="810"/>
      <c r="I1002" s="819" t="str">
        <f>AI1002</f>
        <v>Fill all fields above to assess impactor's level of</v>
      </c>
      <c r="J1002" s="820" t="str">
        <f>AI1003</f>
        <v>legitimacy.</v>
      </c>
      <c r="K1002" s="811"/>
      <c r="L1002" s="811"/>
      <c r="M1002" s="812"/>
      <c r="N1002" s="200"/>
      <c r="O1002" s="199"/>
      <c r="P1002" s="24"/>
      <c r="Q1002" s="24"/>
      <c r="R1002" s="398"/>
      <c r="S1002" s="398"/>
      <c r="T1002" s="398"/>
      <c r="U1002" s="398"/>
      <c r="V1002" s="398"/>
      <c r="W1002" s="398"/>
      <c r="X1002" s="398"/>
      <c r="Y1002" s="398"/>
      <c r="Z1002" s="398"/>
      <c r="AA1002" s="398"/>
      <c r="AB1002" s="200"/>
      <c r="AI1002" s="2" t="str">
        <f>IF(AL$1001&gt;0,AJ1002,AK1002)</f>
        <v>Fill all fields above to assess impactor's level of</v>
      </c>
      <c r="AJ1002" s="2" t="s">
        <v>3114</v>
      </c>
      <c r="AK1002" s="2" t="str">
        <f>IF(AND($AI$1001&gt;AM$1002,$AI$1001&lt;=AN$1002),AO1002,IF(AND($AI$1001&gt;AM$1003,$AI$1001&lt;=AN$1003),AO1003,IF(AND($AI$1001&gt;AM$1004,$AI$1001&lt;=AN$1004),AO1004,IF(AND($AI$1001&gt;AM$1005,$AI$1001&lt;=AN$1005),AO1005,IF(AND($AI$1001&gt;=AM$1006,$AI$1001&lt;=AN$1006),AO1006,"")))))</f>
        <v>Based on our assessment, you are recognized as a</v>
      </c>
      <c r="AM1002" s="2">
        <f>AN1002-AN$971</f>
        <v>14.4</v>
      </c>
      <c r="AN1002" s="2">
        <f>AI972</f>
        <v>18</v>
      </c>
      <c r="AO1002" s="2" t="s">
        <v>3103</v>
      </c>
      <c r="AP1002" s="37" t="s">
        <v>3104</v>
      </c>
      <c r="AQ1002" s="46" t="s">
        <v>3109</v>
      </c>
    </row>
    <row r="1003" spans="1:43" ht="18" customHeight="1">
      <c r="A1003" s="199"/>
      <c r="B1003" s="1482" t="str">
        <f>AI1004</f>
        <v>BY HONESTLY ASSESSING THE POWERHOLDER'S IMPACT, YOU GIVE THEM DIRECT FEEDBACK THEY RARELY RECEIVE. YOU PROVIDE A CONCILIATORY PROCESS TO IMPROVE THEIR IMPACT. YOU INCENTIVIZE THEM TO SUPPORT YOUR MUTUALLY BENEFICIAL CAUSE.</v>
      </c>
      <c r="C1003" s="1483"/>
      <c r="D1003" s="1483"/>
      <c r="E1003" s="1483"/>
      <c r="F1003" s="1483"/>
      <c r="G1003" s="1483"/>
      <c r="H1003" s="1483"/>
      <c r="I1003" s="1483"/>
      <c r="J1003" s="1483"/>
      <c r="K1003" s="1483"/>
      <c r="L1003" s="1483"/>
      <c r="M1003" s="1484"/>
      <c r="N1003" s="200"/>
      <c r="O1003" s="199"/>
      <c r="P1003" s="24"/>
      <c r="Q1003" s="24"/>
      <c r="R1003" s="398"/>
      <c r="S1003" s="398"/>
      <c r="T1003" s="398"/>
      <c r="U1003" s="398"/>
      <c r="V1003" s="398"/>
      <c r="W1003" s="398"/>
      <c r="X1003" s="398"/>
      <c r="Y1003" s="398"/>
      <c r="Z1003" s="398"/>
      <c r="AA1003" s="398"/>
      <c r="AB1003" s="200"/>
      <c r="AI1003" s="37" t="str">
        <f>IF(AL$1001&gt;0,AJ1003,AK1003)</f>
        <v>legitimacy.</v>
      </c>
      <c r="AJ1003" s="2" t="s">
        <v>3113</v>
      </c>
      <c r="AK1003" s="2" t="str">
        <f>IF(AND($AI$1001&gt;AM$1002,$AI$1001&lt;=AN$1002),AP1002,IF(AND($AI$1001&gt;AM$1003,$AI$1001&lt;=AN$1003),AP1003,IF(AND($AI$1001&gt;AM$1004,$AI$1001&lt;=AN$1004),AP1004,IF(AND($AI$1001&gt;AM$1005,$AI$1001&lt;=AN$1005),AP1005,IF(AND($AI$1001&gt;=AM$1006,$AI$1001&lt;=AN$1006),AP1006,"")))))</f>
        <v>disqualified impactor:</v>
      </c>
      <c r="AM1003" s="2">
        <f>AN1003-AN$971</f>
        <v>10.8</v>
      </c>
      <c r="AN1003" s="2">
        <f>AM1002</f>
        <v>14.4</v>
      </c>
      <c r="AO1003" s="2" t="s">
        <v>3103</v>
      </c>
      <c r="AP1003" s="823" t="s">
        <v>3105</v>
      </c>
      <c r="AQ1003" s="46" t="s">
        <v>3101</v>
      </c>
    </row>
    <row r="1004" spans="1:43" ht="18" customHeight="1">
      <c r="A1004" s="199"/>
      <c r="B1004" s="1482"/>
      <c r="C1004" s="1483"/>
      <c r="D1004" s="1483"/>
      <c r="E1004" s="1483"/>
      <c r="F1004" s="1483"/>
      <c r="G1004" s="1483"/>
      <c r="H1004" s="1483"/>
      <c r="I1004" s="1483"/>
      <c r="J1004" s="1483"/>
      <c r="K1004" s="1483"/>
      <c r="L1004" s="1483"/>
      <c r="M1004" s="1484"/>
      <c r="N1004" s="200"/>
      <c r="O1004" s="199"/>
      <c r="P1004" s="24"/>
      <c r="Q1004" s="24"/>
      <c r="R1004" s="398"/>
      <c r="S1004" s="398"/>
      <c r="T1004" s="398"/>
      <c r="U1004" s="398"/>
      <c r="V1004" s="398"/>
      <c r="W1004" s="398"/>
      <c r="X1004" s="398"/>
      <c r="Y1004" s="398"/>
      <c r="Z1004" s="398"/>
      <c r="AA1004" s="398"/>
      <c r="AB1004" s="200"/>
      <c r="AI1004" s="46" t="str">
        <f>IF(AL$1001&gt;0,AJ1004,AK1004)</f>
        <v>BY HONESTLY ASSESSING THE POWERHOLDER'S IMPACT, YOU GIVE THEM DIRECT FEEDBACK THEY RARELY RECEIVE. YOU PROVIDE A CONCILIATORY PROCESS TO IMPROVE THEIR IMPACT. YOU INCENTIVIZE THEM TO SUPPORT YOUR MUTUALLY BENEFICIAL CAUSE.</v>
      </c>
      <c r="AJ1004" s="2" t="str">
        <f>AQ1001</f>
        <v>BY HONESTLY ASSESSING THE POWERHOLDER'S IMPACT, YOU GIVE THEM DIRECT FEEDBACK THEY RARELY RECEIVE. YOU PROVIDE A CONCILIATORY PROCESS TO IMPROVE THEIR IMPACT. YOU INCENTIVIZE THEM TO SUPPORT YOUR MUTUALLY BENEFICIAL CAUSE.</v>
      </c>
      <c r="AK1004" s="2" t="str">
        <f>IF(AND($AI$1001&gt;AM$1002,$AI$1001&lt;=AN$1002),AQ1002,IF(AND($AI$1001&gt;AM$1003,$AI$1001&lt;=AN$1003),AQ1003,IF(AND($AI$1001&gt;AM$1004,$AI$1001&lt;=AN$1004),AQ1004,IF(AND($AI$1001&gt;AM$1005,$AI$1001&lt;=AN$1005),AQ1005,IF(AND($AI$1001&gt;=AM$1006,$AI$1001&lt;=AN$1006),AQ1006,"")))))</f>
        <v>You fail to demonstrate a conciliatory responsiveness to any needs you impact in this relation. We challenge your legitimacy to impact us at all. We can help you improve your responsiveness to the needs you impact. Then we can  audit you again to publicly recognize your improvements.</v>
      </c>
      <c r="AM1004" s="2">
        <f>AN1004-AN$971</f>
        <v>7.2000000000000011</v>
      </c>
      <c r="AN1004" s="2">
        <f>AM1003</f>
        <v>10.8</v>
      </c>
      <c r="AO1004" s="2" t="s">
        <v>3100</v>
      </c>
      <c r="AP1004" s="37" t="s">
        <v>3106</v>
      </c>
      <c r="AQ1004" s="46" t="s">
        <v>3110</v>
      </c>
    </row>
    <row r="1005" spans="1:43" ht="18" customHeight="1" thickBot="1">
      <c r="A1005" s="199"/>
      <c r="B1005" s="1482"/>
      <c r="C1005" s="1483"/>
      <c r="D1005" s="1483"/>
      <c r="E1005" s="1483"/>
      <c r="F1005" s="1483"/>
      <c r="G1005" s="1483"/>
      <c r="H1005" s="1483"/>
      <c r="I1005" s="1483"/>
      <c r="J1005" s="1483"/>
      <c r="K1005" s="1483"/>
      <c r="L1005" s="1483"/>
      <c r="M1005" s="1484"/>
      <c r="N1005" s="200"/>
      <c r="O1005" s="199"/>
      <c r="P1005" s="24"/>
      <c r="Q1005" s="24"/>
      <c r="R1005" s="398"/>
      <c r="S1005" s="398"/>
      <c r="T1005" s="398"/>
      <c r="U1005" s="398"/>
      <c r="V1005" s="398"/>
      <c r="W1005" s="398"/>
      <c r="X1005" s="398"/>
      <c r="Y1005" s="398"/>
      <c r="Z1005" s="398"/>
      <c r="AA1005" s="398"/>
      <c r="AB1005" s="200"/>
      <c r="AM1005" s="2">
        <f>AN1005-AN$971</f>
        <v>3.600000000000001</v>
      </c>
      <c r="AN1005" s="2">
        <f>AM1004</f>
        <v>7.2000000000000011</v>
      </c>
      <c r="AO1005" s="2" t="s">
        <v>3100</v>
      </c>
      <c r="AP1005" s="37" t="s">
        <v>3107</v>
      </c>
      <c r="AQ1005" s="46" t="s">
        <v>3111</v>
      </c>
    </row>
    <row r="1006" spans="1:43" ht="19.95" customHeight="1" thickTop="1" thickBot="1">
      <c r="A1006" s="199"/>
      <c r="B1006" s="814"/>
      <c r="C1006" s="806"/>
      <c r="D1006" s="806"/>
      <c r="E1006" s="806"/>
      <c r="F1006" s="806"/>
      <c r="G1006" s="1471" t="str">
        <f>IF(AL1001=0,AK1006,"READY?")</f>
        <v>READY?</v>
      </c>
      <c r="H1006" s="1472"/>
      <c r="I1006" s="806"/>
      <c r="J1006" s="806"/>
      <c r="K1006" s="806"/>
      <c r="L1006" s="806"/>
      <c r="M1006" s="813"/>
      <c r="N1006" s="200"/>
      <c r="O1006" s="199"/>
      <c r="P1006" s="24"/>
      <c r="Q1006" s="24"/>
      <c r="R1006" s="398"/>
      <c r="S1006" s="398"/>
      <c r="T1006" s="398"/>
      <c r="U1006" s="398"/>
      <c r="V1006" s="398"/>
      <c r="W1006" s="398"/>
      <c r="X1006" s="398"/>
      <c r="Y1006" s="398"/>
      <c r="Z1006" s="398"/>
      <c r="AA1006" s="398"/>
      <c r="AB1006" s="200"/>
      <c r="AK1006" s="2" t="s">
        <v>3102</v>
      </c>
      <c r="AM1006" s="2">
        <f>AN1006-AN$971</f>
        <v>0</v>
      </c>
      <c r="AN1006" s="2">
        <f>AM1005</f>
        <v>3.600000000000001</v>
      </c>
      <c r="AO1006" s="2" t="s">
        <v>3103</v>
      </c>
      <c r="AP1006" s="37" t="s">
        <v>3108</v>
      </c>
      <c r="AQ1006" s="46" t="s">
        <v>3112</v>
      </c>
    </row>
    <row r="1007" spans="1:43" ht="4.95" customHeight="1" thickTop="1" thickBot="1">
      <c r="A1007" s="199"/>
      <c r="B1007" s="815"/>
      <c r="C1007" s="816"/>
      <c r="D1007" s="816"/>
      <c r="E1007" s="816"/>
      <c r="F1007" s="816"/>
      <c r="G1007" s="816"/>
      <c r="H1007" s="816"/>
      <c r="I1007" s="816"/>
      <c r="J1007" s="816"/>
      <c r="K1007" s="816"/>
      <c r="L1007" s="816"/>
      <c r="M1007" s="817"/>
      <c r="N1007" s="200"/>
      <c r="O1007" s="199"/>
      <c r="P1007" s="24"/>
      <c r="Q1007" s="24"/>
      <c r="R1007" s="398"/>
      <c r="S1007" s="398"/>
      <c r="T1007" s="398"/>
      <c r="U1007" s="398"/>
      <c r="V1007" s="398"/>
      <c r="W1007" s="398"/>
      <c r="X1007" s="398"/>
      <c r="Y1007" s="398"/>
      <c r="Z1007" s="398"/>
      <c r="AA1007" s="398"/>
      <c r="AB1007" s="200"/>
    </row>
    <row r="1008" spans="1:43" ht="4.95" customHeight="1" thickTop="1">
      <c r="A1008" s="199"/>
      <c r="B1008" s="24"/>
      <c r="C1008" s="24"/>
      <c r="D1008" s="24"/>
      <c r="E1008" s="24"/>
      <c r="F1008" s="24"/>
      <c r="G1008" s="24"/>
      <c r="H1008" s="24"/>
      <c r="I1008" s="24"/>
      <c r="J1008" s="24"/>
      <c r="K1008" s="24"/>
      <c r="L1008" s="24"/>
      <c r="M1008" s="24"/>
      <c r="N1008" s="200"/>
      <c r="O1008" s="199"/>
      <c r="P1008" s="24"/>
      <c r="Q1008" s="24"/>
      <c r="R1008" s="398"/>
      <c r="S1008" s="398"/>
      <c r="T1008" s="398"/>
      <c r="U1008" s="398"/>
      <c r="V1008" s="398"/>
      <c r="W1008" s="398"/>
      <c r="X1008" s="398"/>
      <c r="Y1008" s="398"/>
      <c r="Z1008" s="398"/>
      <c r="AA1008" s="398"/>
      <c r="AB1008" s="200"/>
    </row>
    <row r="1009" spans="1:50" ht="30" customHeight="1">
      <c r="A1009" s="210" t="s">
        <v>1148</v>
      </c>
      <c r="B1009" s="888" t="s">
        <v>2032</v>
      </c>
      <c r="C1009" s="888"/>
      <c r="D1009" s="888"/>
      <c r="E1009" s="888"/>
      <c r="F1009" s="888"/>
      <c r="G1009" s="888"/>
      <c r="H1009" s="888"/>
      <c r="I1009" s="888"/>
      <c r="J1009" s="888"/>
      <c r="K1009" s="582"/>
      <c r="L1009" s="373"/>
      <c r="M1009" s="373"/>
      <c r="N1009" s="211" t="s">
        <v>1149</v>
      </c>
      <c r="O1009" s="372"/>
      <c r="P1009" s="396" t="s">
        <v>1273</v>
      </c>
      <c r="Q1009" s="373"/>
      <c r="R1009" s="373"/>
      <c r="S1009" s="373"/>
      <c r="T1009" s="373"/>
      <c r="U1009" s="373"/>
      <c r="V1009" s="373"/>
      <c r="W1009" s="373"/>
      <c r="X1009" s="373"/>
      <c r="Y1009" s="373"/>
      <c r="Z1009" s="373"/>
      <c r="AA1009" s="373"/>
      <c r="AB1009" s="211" t="s">
        <v>1149</v>
      </c>
    </row>
    <row r="1010" spans="1:50" ht="10.050000000000001" customHeight="1">
      <c r="A1010" s="199"/>
      <c r="B1010" s="24"/>
      <c r="C1010" s="24"/>
      <c r="D1010" s="24"/>
      <c r="E1010" s="24"/>
      <c r="F1010" s="24"/>
      <c r="G1010" s="24"/>
      <c r="H1010" s="24"/>
      <c r="I1010" s="24"/>
      <c r="J1010" s="24"/>
      <c r="K1010" s="24"/>
      <c r="L1010" s="24"/>
      <c r="M1010" s="24"/>
      <c r="N1010" s="200"/>
      <c r="O1010" s="199"/>
      <c r="P1010" s="24"/>
      <c r="Q1010" s="24"/>
      <c r="R1010" s="398"/>
      <c r="S1010" s="398"/>
      <c r="T1010" s="398"/>
      <c r="U1010" s="398"/>
      <c r="V1010" s="398"/>
      <c r="W1010" s="398"/>
      <c r="X1010" s="398"/>
      <c r="Y1010" s="398"/>
      <c r="Z1010" s="398"/>
      <c r="AA1010" s="398"/>
      <c r="AB1010" s="200"/>
      <c r="AN1010" s="2" t="s">
        <v>3122</v>
      </c>
      <c r="AO1010" s="2" t="s">
        <v>3127</v>
      </c>
    </row>
    <row r="1011" spans="1:50" ht="25.05" customHeight="1">
      <c r="A1011" s="199"/>
      <c r="B1011" s="1396" t="s">
        <v>3137</v>
      </c>
      <c r="C1011" s="1396"/>
      <c r="D1011" s="1396"/>
      <c r="E1011" s="1396"/>
      <c r="F1011" s="1396"/>
      <c r="G1011" s="1396"/>
      <c r="H1011" s="1396"/>
      <c r="I1011" s="1396"/>
      <c r="J1011" s="1396"/>
      <c r="K1011" s="1396"/>
      <c r="L1011" s="1396"/>
      <c r="M1011" s="1396"/>
      <c r="N1011" s="200"/>
      <c r="O1011" s="199"/>
      <c r="P1011" s="24"/>
      <c r="Q1011" s="24"/>
      <c r="R1011" s="398"/>
      <c r="S1011" s="398"/>
      <c r="T1011" s="398"/>
      <c r="U1011" s="398"/>
      <c r="V1011" s="398"/>
      <c r="W1011" s="398"/>
      <c r="X1011" s="398"/>
      <c r="Y1011" s="398"/>
      <c r="Z1011" s="398"/>
      <c r="AA1011" s="398"/>
      <c r="AB1011" s="200"/>
      <c r="AI1011" s="2" t="s">
        <v>3119</v>
      </c>
      <c r="AN1011" s="2" t="s">
        <v>3141</v>
      </c>
      <c r="AO1011" s="2" t="s">
        <v>3129</v>
      </c>
    </row>
    <row r="1012" spans="1:50" ht="10.050000000000001" customHeight="1" thickBot="1">
      <c r="A1012" s="199"/>
      <c r="B1012" s="24"/>
      <c r="C1012" s="24"/>
      <c r="D1012" s="24"/>
      <c r="E1012" s="24"/>
      <c r="F1012" s="24"/>
      <c r="G1012" s="24"/>
      <c r="H1012" s="24"/>
      <c r="I1012" s="24"/>
      <c r="J1012" s="24"/>
      <c r="K1012" s="24"/>
      <c r="L1012" s="24"/>
      <c r="M1012" s="24"/>
      <c r="N1012" s="200"/>
      <c r="O1012" s="199"/>
      <c r="P1012" s="24"/>
      <c r="Q1012" s="24"/>
      <c r="R1012" s="398"/>
      <c r="S1012" s="398"/>
      <c r="T1012" s="398"/>
      <c r="U1012" s="398"/>
      <c r="V1012" s="398"/>
      <c r="W1012" s="398"/>
      <c r="X1012" s="398"/>
      <c r="Y1012" s="398"/>
      <c r="Z1012" s="398"/>
      <c r="AA1012" s="398"/>
      <c r="AB1012" s="200"/>
      <c r="AI1012" s="2" t="s">
        <v>3120</v>
      </c>
      <c r="AN1012" s="2" t="s">
        <v>3142</v>
      </c>
      <c r="AO1012" s="2" t="s">
        <v>3130</v>
      </c>
    </row>
    <row r="1013" spans="1:50" s="504" customFormat="1" ht="19.95" customHeight="1" thickBot="1">
      <c r="A1013" s="499"/>
      <c r="B1013" s="827" t="s">
        <v>3138</v>
      </c>
      <c r="C1013" s="601"/>
      <c r="D1013" s="601"/>
      <c r="E1013" s="601"/>
      <c r="F1013" s="601"/>
      <c r="G1013" s="24"/>
      <c r="H1013" s="732" t="s">
        <v>3139</v>
      </c>
      <c r="I1013" s="1351"/>
      <c r="J1013" s="1352"/>
      <c r="K1013" s="1352"/>
      <c r="L1013" s="1352"/>
      <c r="M1013" s="1353"/>
      <c r="N1013" s="502"/>
      <c r="O1013" s="499"/>
      <c r="P1013" s="501"/>
      <c r="Q1013" s="501"/>
      <c r="R1013" s="503"/>
      <c r="S1013" s="503"/>
      <c r="T1013" s="503"/>
      <c r="U1013" s="503"/>
      <c r="V1013" s="503"/>
      <c r="W1013" s="503"/>
      <c r="X1013" s="503"/>
      <c r="Y1013" s="503"/>
      <c r="Z1013" s="503"/>
      <c r="AA1013" s="503"/>
      <c r="AB1013" s="502"/>
      <c r="AI1013" s="2" t="str">
        <f>CONCATENATE(AK1013,AL1013,AM1013)</f>
        <v>direct impactor(s) on issue</v>
      </c>
      <c r="AK1013" s="504" t="s">
        <v>3121</v>
      </c>
      <c r="AL1013" s="504" t="str">
        <f>IF(H115="","issue",D1300)</f>
        <v>issue</v>
      </c>
      <c r="AN1013" s="2" t="s">
        <v>3143</v>
      </c>
      <c r="AO1013" s="2" t="s">
        <v>3131</v>
      </c>
      <c r="AP1013" s="2"/>
      <c r="AQ1013" s="2"/>
      <c r="AR1013" s="2"/>
      <c r="AS1013" s="2"/>
      <c r="AT1013" s="2"/>
      <c r="AU1013" s="2"/>
      <c r="AV1013" s="2"/>
      <c r="AW1013" s="733" t="s">
        <v>2922</v>
      </c>
      <c r="AX1013" s="37" t="s">
        <v>2065</v>
      </c>
    </row>
    <row r="1014" spans="1:50" ht="19.05" customHeight="1">
      <c r="A1014" s="199"/>
      <c r="B1014" s="505"/>
      <c r="C1014" s="505"/>
      <c r="D1014" s="505"/>
      <c r="E1014" s="505"/>
      <c r="F1014" s="505"/>
      <c r="G1014" s="505"/>
      <c r="H1014" s="505"/>
      <c r="I1014" s="24"/>
      <c r="J1014" s="24"/>
      <c r="K1014" s="24"/>
      <c r="L1014" s="24"/>
      <c r="M1014" s="24"/>
      <c r="N1014" s="200"/>
      <c r="O1014" s="199"/>
      <c r="P1014" s="24"/>
      <c r="Q1014" s="24"/>
      <c r="R1014" s="398"/>
      <c r="S1014" s="398"/>
      <c r="T1014" s="398"/>
      <c r="U1014" s="398"/>
      <c r="V1014" s="398"/>
      <c r="W1014" s="398"/>
      <c r="X1014" s="398"/>
      <c r="Y1014" s="398"/>
      <c r="Z1014" s="398"/>
      <c r="AA1014" s="398"/>
      <c r="AB1014" s="200"/>
      <c r="AI1014" s="2" t="str">
        <f>IF(I1013=AI1011,AN1011,IF(I1013=AI1012,AN1012,IF(I1013=AI1013,AN1013,AK1014)))</f>
        <v>directly involved</v>
      </c>
      <c r="AK1014" s="2" t="s">
        <v>3140</v>
      </c>
      <c r="AO1014" s="2" t="str">
        <f>IF(I1013=AI1011,AO1011,IF(I1013=AI1012,AO1012,IF(I1013=AI1013,AO1013,"Directly involved")))</f>
        <v>Directly involved</v>
      </c>
      <c r="AR1014" s="459">
        <v>1</v>
      </c>
      <c r="AT1014" s="465" t="str">
        <f>IF(C$814=AK$798,AW1014,IF(C$814=AK$799,AP1014,IF(C$814=AK$800,#REF!,"")))</f>
        <v/>
      </c>
      <c r="AV1014" s="735" t="s">
        <v>2925</v>
      </c>
      <c r="AW1014" s="2" t="s">
        <v>2918</v>
      </c>
    </row>
    <row r="1015" spans="1:50" ht="19.05" customHeight="1">
      <c r="A1015" s="199"/>
      <c r="B1015" s="1473" t="s">
        <v>3123</v>
      </c>
      <c r="C1015" s="1474"/>
      <c r="D1015" s="1474"/>
      <c r="E1015" s="1474"/>
      <c r="F1015" s="1474"/>
      <c r="G1015" s="1474"/>
      <c r="H1015" s="1474"/>
      <c r="I1015" s="1474"/>
      <c r="J1015" s="1474"/>
      <c r="K1015" s="1474"/>
      <c r="L1015" s="1474"/>
      <c r="M1015" s="1475"/>
      <c r="N1015" s="200"/>
      <c r="O1015" s="199"/>
      <c r="P1015" s="24"/>
      <c r="Q1015" s="24"/>
      <c r="R1015" s="398"/>
      <c r="S1015" s="398"/>
      <c r="T1015" s="398"/>
      <c r="U1015" s="398"/>
      <c r="V1015" s="398"/>
      <c r="W1015" s="398"/>
      <c r="X1015" s="398"/>
      <c r="Y1015" s="398"/>
      <c r="Z1015" s="398"/>
      <c r="AA1015" s="398"/>
      <c r="AB1015" s="200"/>
      <c r="AR1015" s="459">
        <v>2</v>
      </c>
      <c r="AT1015" s="465" t="str">
        <f>IF(C$814=AK$798,AW1015,IF(C$814=AK$799,AP1015,IF(C$814=AK$800,#REF!,"")))</f>
        <v/>
      </c>
      <c r="AV1015" s="735" t="s">
        <v>2926</v>
      </c>
      <c r="AW1015" s="2" t="s">
        <v>2919</v>
      </c>
    </row>
    <row r="1016" spans="1:50" ht="19.05" customHeight="1">
      <c r="A1016" s="199"/>
      <c r="B1016" s="1469"/>
      <c r="C1016" s="1322"/>
      <c r="D1016" s="1322"/>
      <c r="E1016" s="1322"/>
      <c r="F1016" s="1322"/>
      <c r="G1016" s="1322"/>
      <c r="H1016" s="1322"/>
      <c r="I1016" s="1322"/>
      <c r="J1016" s="1322"/>
      <c r="K1016" s="1322"/>
      <c r="L1016" s="1322"/>
      <c r="M1016" s="1470"/>
      <c r="N1016" s="200"/>
      <c r="O1016" s="199"/>
      <c r="P1016" s="24"/>
      <c r="Q1016" s="24"/>
      <c r="R1016" s="398"/>
      <c r="S1016" s="398"/>
      <c r="T1016" s="398"/>
      <c r="U1016" s="398"/>
      <c r="V1016" s="398"/>
      <c r="W1016" s="398"/>
      <c r="X1016" s="398"/>
      <c r="Y1016" s="398"/>
      <c r="Z1016" s="398"/>
      <c r="AA1016" s="398"/>
      <c r="AB1016" s="200"/>
      <c r="AR1016" s="459">
        <v>3</v>
      </c>
      <c r="AT1016" s="465" t="str">
        <f>IF(C$814=AK$798,AW1016,IF(C$814=AK$799,AP1016,IF(C$814=AK$800,#REF!,"")))</f>
        <v/>
      </c>
      <c r="AV1016" s="735" t="s">
        <v>2925</v>
      </c>
      <c r="AW1016" s="2" t="s">
        <v>2920</v>
      </c>
    </row>
    <row r="1017" spans="1:50" ht="19.05" customHeight="1">
      <c r="A1017" s="199"/>
      <c r="B1017" s="1469"/>
      <c r="C1017" s="1322"/>
      <c r="D1017" s="1322"/>
      <c r="E1017" s="1322"/>
      <c r="F1017" s="1322"/>
      <c r="G1017" s="1322"/>
      <c r="H1017" s="1322"/>
      <c r="I1017" s="1322"/>
      <c r="J1017" s="1322"/>
      <c r="K1017" s="1322"/>
      <c r="L1017" s="1322"/>
      <c r="M1017" s="1470"/>
      <c r="N1017" s="200"/>
      <c r="O1017" s="199"/>
      <c r="P1017" s="24"/>
      <c r="Q1017" s="24"/>
      <c r="R1017" s="398"/>
      <c r="S1017" s="398"/>
      <c r="T1017" s="398"/>
      <c r="U1017" s="398"/>
      <c r="V1017" s="398"/>
      <c r="W1017" s="398"/>
      <c r="X1017" s="398"/>
      <c r="Y1017" s="398"/>
      <c r="Z1017" s="398"/>
      <c r="AA1017" s="398"/>
      <c r="AB1017" s="200"/>
      <c r="AR1017" s="459">
        <v>4</v>
      </c>
      <c r="AT1017" s="465" t="str">
        <f>IF(C$814=AK$798,AW1017,IF(C$814=AK$799,AP1017,IF(C$814=AK$800,#REF!,"")))</f>
        <v/>
      </c>
    </row>
    <row r="1018" spans="1:50" ht="19.05" customHeight="1">
      <c r="A1018" s="199"/>
      <c r="B1018" s="1469" t="str">
        <f>AI1018</f>
        <v>We recognize the enemy is not each other of different political views, but political divisiveness itself. We build a bridge of love to address each other’s specific issue-related needs. Including yours.</v>
      </c>
      <c r="C1018" s="1322"/>
      <c r="D1018" s="1322"/>
      <c r="E1018" s="1322"/>
      <c r="F1018" s="1322"/>
      <c r="G1018" s="1322"/>
      <c r="H1018" s="1322"/>
      <c r="I1018" s="1322"/>
      <c r="J1018" s="1322"/>
      <c r="K1018" s="1322"/>
      <c r="L1018" s="1322"/>
      <c r="M1018" s="1470"/>
      <c r="N1018" s="200"/>
      <c r="O1018" s="199"/>
      <c r="P1018" s="24"/>
      <c r="Q1018" s="24"/>
      <c r="R1018" s="398"/>
      <c r="S1018" s="398"/>
      <c r="T1018" s="398"/>
      <c r="U1018" s="398"/>
      <c r="V1018" s="398"/>
      <c r="W1018" s="398"/>
      <c r="X1018" s="398"/>
      <c r="Y1018" s="398"/>
      <c r="Z1018" s="398"/>
      <c r="AA1018" s="398"/>
      <c r="AB1018" s="200"/>
      <c r="AI1018" s="459" t="str">
        <f>CONCATENATE(AK1018,AL1018,AM1018,AN1018)</f>
        <v>We recognize the enemy is not each other of different political views, but political divisiveness itself. We build a bridge of love to address each other’s specific issue-related needs. Including yours.</v>
      </c>
      <c r="AK1018" s="465" t="s">
        <v>3124</v>
      </c>
      <c r="AL1018" s="2" t="str">
        <f>$AL$1013</f>
        <v>issue</v>
      </c>
      <c r="AM1018" s="466" t="s">
        <v>3125</v>
      </c>
      <c r="AR1018" s="459">
        <v>5</v>
      </c>
      <c r="AT1018" s="465" t="str">
        <f>IF(C$814=AK$798,AW1018,IF(C$814=AK$799,AP1018,IF(C$814=AK$800,#REF!,"")))</f>
        <v/>
      </c>
      <c r="AW1018" s="733" t="s">
        <v>2921</v>
      </c>
      <c r="AX1018" s="37" t="s">
        <v>2927</v>
      </c>
    </row>
    <row r="1019" spans="1:50" ht="19.05" customHeight="1">
      <c r="A1019" s="199"/>
      <c r="B1019" s="1469"/>
      <c r="C1019" s="1322"/>
      <c r="D1019" s="1322"/>
      <c r="E1019" s="1322"/>
      <c r="F1019" s="1322"/>
      <c r="G1019" s="1322"/>
      <c r="H1019" s="1322"/>
      <c r="I1019" s="1322"/>
      <c r="J1019" s="1322"/>
      <c r="K1019" s="1322"/>
      <c r="L1019" s="1322"/>
      <c r="M1019" s="1470"/>
      <c r="N1019" s="200"/>
      <c r="O1019" s="199"/>
      <c r="P1019" s="24"/>
      <c r="Q1019" s="24"/>
      <c r="R1019" s="398"/>
      <c r="S1019" s="398"/>
      <c r="T1019" s="398"/>
      <c r="U1019" s="398"/>
      <c r="V1019" s="398"/>
      <c r="W1019" s="398"/>
      <c r="X1019" s="398"/>
      <c r="Y1019" s="398"/>
      <c r="Z1019" s="398"/>
      <c r="AA1019" s="398"/>
      <c r="AB1019" s="200"/>
      <c r="AR1019" s="459">
        <v>6</v>
      </c>
      <c r="AT1019" s="465" t="str">
        <f>IF(C$814=AK$798,AW1019,IF(C$814=AK$799,AP1019,IF(C$814=AK$800,#REF!,"")))</f>
        <v/>
      </c>
      <c r="AV1019" s="735" t="s">
        <v>2925</v>
      </c>
      <c r="AW1019" s="2" t="s">
        <v>2918</v>
      </c>
    </row>
    <row r="1020" spans="1:50" ht="19.05" customHeight="1">
      <c r="A1020" s="199"/>
      <c r="B1020" s="1469"/>
      <c r="C1020" s="1322"/>
      <c r="D1020" s="1322"/>
      <c r="E1020" s="1322"/>
      <c r="F1020" s="1322"/>
      <c r="G1020" s="1322"/>
      <c r="H1020" s="1322"/>
      <c r="I1020" s="1322"/>
      <c r="J1020" s="1322"/>
      <c r="K1020" s="1322"/>
      <c r="L1020" s="1322"/>
      <c r="M1020" s="1470"/>
      <c r="N1020" s="200"/>
      <c r="O1020" s="199"/>
      <c r="P1020" s="24"/>
      <c r="Q1020" s="24"/>
      <c r="R1020" s="398"/>
      <c r="S1020" s="398"/>
      <c r="T1020" s="398"/>
      <c r="U1020" s="398"/>
      <c r="V1020" s="398"/>
      <c r="W1020" s="398"/>
      <c r="X1020" s="398"/>
      <c r="Y1020" s="398"/>
      <c r="Z1020" s="398"/>
      <c r="AA1020" s="398"/>
      <c r="AB1020" s="200"/>
      <c r="AR1020" s="459">
        <v>7</v>
      </c>
      <c r="AT1020" s="465" t="str">
        <f>IF(C$814=AK$798,AW1020,IF(C$814=AK$799,AP1020,IF(C$814=AK$800,#REF!,"")))</f>
        <v/>
      </c>
      <c r="AV1020" s="735" t="s">
        <v>2926</v>
      </c>
      <c r="AW1020" s="2" t="s">
        <v>2919</v>
      </c>
    </row>
    <row r="1021" spans="1:50" ht="19.05" customHeight="1">
      <c r="A1021" s="199"/>
      <c r="B1021" s="1469" t="str">
        <f>AI1021</f>
        <v>I invite you to join my campaign to resolve issue-related needs. Join me in replacing divisive politics with the love of respecting the affected need on both sides of the issue. You have two options. To follow or become directly involved.</v>
      </c>
      <c r="C1021" s="1322"/>
      <c r="D1021" s="1322"/>
      <c r="E1021" s="1322"/>
      <c r="F1021" s="1322"/>
      <c r="G1021" s="1322"/>
      <c r="H1021" s="1322"/>
      <c r="I1021" s="1322"/>
      <c r="J1021" s="1322"/>
      <c r="K1021" s="1322"/>
      <c r="L1021" s="1322"/>
      <c r="M1021" s="1470"/>
      <c r="N1021" s="200"/>
      <c r="O1021" s="199"/>
      <c r="P1021" s="24"/>
      <c r="Q1021" s="24"/>
      <c r="R1021" s="398"/>
      <c r="S1021" s="398"/>
      <c r="T1021" s="398"/>
      <c r="U1021" s="398"/>
      <c r="V1021" s="398"/>
      <c r="W1021" s="398"/>
      <c r="X1021" s="398"/>
      <c r="Y1021" s="398"/>
      <c r="Z1021" s="398"/>
      <c r="AA1021" s="398"/>
      <c r="AB1021" s="200"/>
      <c r="AI1021" s="459" t="str">
        <f>CONCATENATE(AK1021,AL1021,AM1021,AN1021,".")</f>
        <v>I invite you to join my campaign to resolve issue-related needs. Join me in replacing divisive politics with the love of respecting the affected need on both sides of the issue. You have two options. To follow or become directly involved.</v>
      </c>
      <c r="AK1021" s="465" t="s">
        <v>3126</v>
      </c>
      <c r="AL1021" s="2" t="str">
        <f>$AL$1013</f>
        <v>issue</v>
      </c>
      <c r="AM1021" s="466" t="s">
        <v>3144</v>
      </c>
      <c r="AN1021" s="2" t="str">
        <f>AI1014</f>
        <v>directly involved</v>
      </c>
      <c r="AV1021" s="735" t="s">
        <v>2925</v>
      </c>
      <c r="AW1021" s="2" t="s">
        <v>2920</v>
      </c>
    </row>
    <row r="1022" spans="1:50" ht="19.05" customHeight="1">
      <c r="A1022" s="199"/>
      <c r="B1022" s="1469"/>
      <c r="C1022" s="1322"/>
      <c r="D1022" s="1322"/>
      <c r="E1022" s="1322"/>
      <c r="F1022" s="1322"/>
      <c r="G1022" s="1322"/>
      <c r="H1022" s="1322"/>
      <c r="I1022" s="1322"/>
      <c r="J1022" s="1322"/>
      <c r="K1022" s="1322"/>
      <c r="L1022" s="1322"/>
      <c r="M1022" s="1470"/>
      <c r="N1022" s="200"/>
      <c r="O1022" s="199"/>
      <c r="P1022" s="24"/>
      <c r="Q1022" s="24"/>
      <c r="R1022" s="398"/>
      <c r="S1022" s="398"/>
      <c r="T1022" s="398"/>
      <c r="U1022" s="398"/>
      <c r="V1022" s="398"/>
      <c r="W1022" s="398"/>
      <c r="X1022" s="398"/>
      <c r="Y1022" s="398"/>
      <c r="Z1022" s="398"/>
      <c r="AA1022" s="398"/>
      <c r="AB1022" s="200"/>
      <c r="AR1022" s="2" t="s">
        <v>2853</v>
      </c>
      <c r="AT1022" s="459" t="s">
        <v>2066</v>
      </c>
    </row>
    <row r="1023" spans="1:50" ht="19.05" customHeight="1">
      <c r="A1023" s="199"/>
      <c r="B1023" s="1469"/>
      <c r="C1023" s="1322"/>
      <c r="D1023" s="1322"/>
      <c r="E1023" s="1322"/>
      <c r="F1023" s="1322"/>
      <c r="G1023" s="1322"/>
      <c r="H1023" s="1322"/>
      <c r="I1023" s="1322"/>
      <c r="J1023" s="1322"/>
      <c r="K1023" s="1322"/>
      <c r="L1023" s="1322"/>
      <c r="M1023" s="1470"/>
      <c r="N1023" s="200"/>
      <c r="O1023" s="199"/>
      <c r="P1023" s="24"/>
      <c r="Q1023" s="24"/>
      <c r="R1023" s="398"/>
      <c r="S1023" s="398"/>
      <c r="T1023" s="398"/>
      <c r="U1023" s="398"/>
      <c r="V1023" s="398"/>
      <c r="W1023" s="398"/>
      <c r="X1023" s="398"/>
      <c r="Y1023" s="398"/>
      <c r="Z1023" s="398"/>
      <c r="AA1023" s="398"/>
      <c r="AB1023" s="200"/>
      <c r="AR1023" s="2" t="s">
        <v>2854</v>
      </c>
      <c r="AT1023" s="459" t="s">
        <v>2067</v>
      </c>
      <c r="AW1023" s="733" t="s">
        <v>2923</v>
      </c>
      <c r="AX1023" s="37" t="s">
        <v>2928</v>
      </c>
    </row>
    <row r="1024" spans="1:50" ht="19.05" customHeight="1">
      <c r="A1024" s="199"/>
      <c r="B1024" s="828" t="s">
        <v>3127</v>
      </c>
      <c r="C1024" s="505"/>
      <c r="D1024" s="505"/>
      <c r="E1024" s="505"/>
      <c r="F1024" s="505"/>
      <c r="G1024" s="505"/>
      <c r="H1024" s="505"/>
      <c r="I1024" s="505"/>
      <c r="J1024" s="505"/>
      <c r="K1024" s="505"/>
      <c r="L1024" s="505"/>
      <c r="M1024" s="829"/>
      <c r="N1024" s="200"/>
      <c r="O1024" s="199"/>
      <c r="P1024" s="24"/>
      <c r="Q1024" s="24"/>
      <c r="R1024" s="398"/>
      <c r="S1024" s="398"/>
      <c r="T1024" s="398"/>
      <c r="U1024" s="398"/>
      <c r="V1024" s="398"/>
      <c r="W1024" s="398"/>
      <c r="X1024" s="398"/>
      <c r="Y1024" s="398"/>
      <c r="Z1024" s="398"/>
      <c r="AA1024" s="398"/>
      <c r="AB1024" s="200"/>
      <c r="AI1024" s="595" t="str">
        <f>IF(I1013=AI1011,AK1024,IF(I1013=AI1012,AK1025,IF(I1013=AI1013,AK1026,AM1024)))</f>
        <v>Support my need-resolving campaign with a weekly financial support level appropriate to your level of impact. Help empower the politically powerless to resolve needs in ways eluding the powerful.</v>
      </c>
      <c r="AK1024" s="564" t="s">
        <v>3134</v>
      </c>
      <c r="AM1024" s="466" t="s">
        <v>3145</v>
      </c>
      <c r="AR1024" s="2" t="s">
        <v>2855</v>
      </c>
      <c r="AT1024" s="459" t="s">
        <v>2819</v>
      </c>
      <c r="AV1024" s="735" t="s">
        <v>2925</v>
      </c>
      <c r="AW1024" s="2" t="s">
        <v>2918</v>
      </c>
    </row>
    <row r="1025" spans="1:50" ht="19.05" customHeight="1">
      <c r="A1025" s="199"/>
      <c r="B1025" s="1469" t="s">
        <v>3128</v>
      </c>
      <c r="C1025" s="1322"/>
      <c r="D1025" s="1322"/>
      <c r="E1025" s="1322"/>
      <c r="F1025" s="1322"/>
      <c r="G1025" s="1322"/>
      <c r="H1025" s="1322"/>
      <c r="I1025" s="1322"/>
      <c r="J1025" s="1322"/>
      <c r="K1025" s="1322"/>
      <c r="L1025" s="1322"/>
      <c r="M1025" s="1470"/>
      <c r="N1025" s="200"/>
      <c r="O1025" s="199"/>
      <c r="P1025" s="24"/>
      <c r="Q1025" s="24"/>
      <c r="R1025" s="398"/>
      <c r="S1025" s="398"/>
      <c r="T1025" s="398"/>
      <c r="U1025" s="398"/>
      <c r="V1025" s="398"/>
      <c r="W1025" s="398"/>
      <c r="X1025" s="398"/>
      <c r="Y1025" s="398"/>
      <c r="Z1025" s="398"/>
      <c r="AA1025" s="398"/>
      <c r="AB1025" s="200"/>
      <c r="AK1025" s="564" t="s">
        <v>3135</v>
      </c>
      <c r="AV1025" s="735" t="s">
        <v>2926</v>
      </c>
      <c r="AW1025" s="2" t="s">
        <v>2919</v>
      </c>
    </row>
    <row r="1026" spans="1:50" ht="19.05" customHeight="1">
      <c r="A1026" s="199"/>
      <c r="B1026" s="1469"/>
      <c r="C1026" s="1322"/>
      <c r="D1026" s="1322"/>
      <c r="E1026" s="1322"/>
      <c r="F1026" s="1322"/>
      <c r="G1026" s="1322"/>
      <c r="H1026" s="1322"/>
      <c r="I1026" s="1322"/>
      <c r="J1026" s="1322"/>
      <c r="K1026" s="1322"/>
      <c r="L1026" s="1322"/>
      <c r="M1026" s="1470"/>
      <c r="N1026" s="200"/>
      <c r="O1026" s="199"/>
      <c r="P1026" s="1312" t="s">
        <v>1771</v>
      </c>
      <c r="Q1026" s="1312"/>
      <c r="R1026" s="1312"/>
      <c r="S1026" s="1312"/>
      <c r="T1026" s="1312"/>
      <c r="U1026" s="1312"/>
      <c r="V1026" s="398"/>
      <c r="W1026" s="398"/>
      <c r="X1026" s="398"/>
      <c r="Y1026" s="398"/>
      <c r="Z1026" s="398"/>
      <c r="AA1026" s="398"/>
      <c r="AB1026" s="200"/>
      <c r="AK1026" s="564" t="str">
        <f>CONCATENATE(AK1027,AL1027,AM1027,AN1027)</f>
        <v>Become a patron to my need-resolving campaign by matching my current weekly level of support. Let's solve needs together.</v>
      </c>
      <c r="AV1026" s="735" t="s">
        <v>2925</v>
      </c>
      <c r="AW1026" s="2" t="s">
        <v>2920</v>
      </c>
    </row>
    <row r="1027" spans="1:50" ht="19.05" customHeight="1">
      <c r="A1027" s="199"/>
      <c r="B1027" s="828" t="str">
        <f>AO1014</f>
        <v>Directly involved</v>
      </c>
      <c r="C1027" s="505"/>
      <c r="D1027" s="505"/>
      <c r="E1027" s="505"/>
      <c r="F1027" s="505"/>
      <c r="G1027" s="505"/>
      <c r="H1027" s="505"/>
      <c r="I1027" s="505"/>
      <c r="J1027" s="505"/>
      <c r="K1027" s="505"/>
      <c r="L1027" s="505"/>
      <c r="M1027" s="829"/>
      <c r="N1027" s="200"/>
      <c r="O1027" s="199"/>
      <c r="P1027" s="24"/>
      <c r="Q1027" s="24"/>
      <c r="R1027" s="398"/>
      <c r="S1027" s="398"/>
      <c r="T1027" s="398"/>
      <c r="U1027" s="398"/>
      <c r="V1027" s="398"/>
      <c r="W1027" s="398"/>
      <c r="X1027" s="398"/>
      <c r="Y1027" s="398"/>
      <c r="Z1027" s="398"/>
      <c r="AA1027" s="398"/>
      <c r="AB1027" s="200"/>
      <c r="AK1027" s="465" t="s">
        <v>3132</v>
      </c>
      <c r="AL1027" s="2" t="str">
        <f>IF(H115="","",CONCATENATE($AL$1013,"-related "))</f>
        <v/>
      </c>
      <c r="AM1027" s="466" t="s">
        <v>3133</v>
      </c>
    </row>
    <row r="1028" spans="1:50" ht="19.05" customHeight="1">
      <c r="A1028" s="199"/>
      <c r="B1028" s="1469" t="str">
        <f>AI1024</f>
        <v>Support my need-resolving campaign with a weekly financial support level appropriate to your level of impact. Help empower the politically powerless to resolve needs in ways eluding the powerful.</v>
      </c>
      <c r="C1028" s="1322"/>
      <c r="D1028" s="1322"/>
      <c r="E1028" s="1322"/>
      <c r="F1028" s="1322"/>
      <c r="G1028" s="1322"/>
      <c r="H1028" s="1322"/>
      <c r="I1028" s="1322"/>
      <c r="J1028" s="1322"/>
      <c r="K1028" s="1322"/>
      <c r="L1028" s="1322"/>
      <c r="M1028" s="1470"/>
      <c r="N1028" s="200"/>
      <c r="O1028" s="199"/>
      <c r="P1028" s="24"/>
      <c r="Q1028" s="24"/>
      <c r="R1028" s="398"/>
      <c r="S1028" s="398"/>
      <c r="T1028" s="398"/>
      <c r="U1028" s="398"/>
      <c r="V1028" s="398"/>
      <c r="W1028" s="398"/>
      <c r="X1028" s="398"/>
      <c r="Y1028" s="398"/>
      <c r="Z1028" s="398"/>
      <c r="AA1028" s="398"/>
      <c r="AB1028" s="200"/>
      <c r="AW1028" s="733" t="s">
        <v>2924</v>
      </c>
      <c r="AX1028" s="37" t="s">
        <v>2929</v>
      </c>
    </row>
    <row r="1029" spans="1:50" ht="19.05" customHeight="1">
      <c r="A1029" s="199"/>
      <c r="B1029" s="1469"/>
      <c r="C1029" s="1322"/>
      <c r="D1029" s="1322"/>
      <c r="E1029" s="1322"/>
      <c r="F1029" s="1322"/>
      <c r="G1029" s="1322"/>
      <c r="H1029" s="1322"/>
      <c r="I1029" s="1322"/>
      <c r="J1029" s="1322"/>
      <c r="K1029" s="1322"/>
      <c r="L1029" s="1322"/>
      <c r="M1029" s="1470"/>
      <c r="N1029" s="200"/>
      <c r="O1029" s="199"/>
      <c r="P1029" s="24"/>
      <c r="Q1029" s="24"/>
      <c r="R1029" s="398"/>
      <c r="S1029" s="398"/>
      <c r="T1029" s="398"/>
      <c r="U1029" s="398"/>
      <c r="V1029" s="398"/>
      <c r="W1029" s="398"/>
      <c r="X1029" s="398"/>
      <c r="Y1029" s="398"/>
      <c r="Z1029" s="398"/>
      <c r="AA1029" s="398"/>
      <c r="AB1029" s="200"/>
      <c r="AV1029" s="735" t="s">
        <v>2925</v>
      </c>
      <c r="AW1029" s="2" t="s">
        <v>2918</v>
      </c>
    </row>
    <row r="1030" spans="1:50" ht="19.05" customHeight="1">
      <c r="A1030" s="199"/>
      <c r="B1030" s="1469" t="s">
        <v>3136</v>
      </c>
      <c r="C1030" s="1322"/>
      <c r="D1030" s="1322"/>
      <c r="E1030" s="1322"/>
      <c r="F1030" s="1322"/>
      <c r="G1030" s="1322"/>
      <c r="H1030" s="1322"/>
      <c r="I1030" s="1322"/>
      <c r="J1030" s="1322"/>
      <c r="K1030" s="1322"/>
      <c r="L1030" s="1322"/>
      <c r="M1030" s="1470"/>
      <c r="N1030" s="200"/>
      <c r="O1030" s="199"/>
      <c r="P1030" s="24"/>
      <c r="Q1030" s="24"/>
      <c r="R1030" s="398"/>
      <c r="S1030" s="398"/>
      <c r="T1030" s="398"/>
      <c r="U1030" s="398"/>
      <c r="V1030" s="398"/>
      <c r="W1030" s="398"/>
      <c r="X1030" s="398"/>
      <c r="Y1030" s="398"/>
      <c r="Z1030" s="398"/>
      <c r="AA1030" s="398"/>
      <c r="AB1030" s="200"/>
      <c r="AV1030" s="735" t="s">
        <v>2926</v>
      </c>
      <c r="AW1030" s="2" t="s">
        <v>2919</v>
      </c>
    </row>
    <row r="1031" spans="1:50" ht="19.05" customHeight="1">
      <c r="A1031" s="199"/>
      <c r="B1031" s="1469"/>
      <c r="C1031" s="1322"/>
      <c r="D1031" s="1322"/>
      <c r="E1031" s="1322"/>
      <c r="F1031" s="1322"/>
      <c r="G1031" s="1322"/>
      <c r="H1031" s="1322"/>
      <c r="I1031" s="1322"/>
      <c r="J1031" s="1322"/>
      <c r="K1031" s="1322"/>
      <c r="L1031" s="1322"/>
      <c r="M1031" s="1470"/>
      <c r="N1031" s="200"/>
      <c r="O1031" s="199"/>
      <c r="P1031" s="24"/>
      <c r="Q1031" s="24"/>
      <c r="R1031" s="398"/>
      <c r="S1031" s="398"/>
      <c r="T1031" s="398"/>
      <c r="U1031" s="398"/>
      <c r="V1031" s="398"/>
      <c r="W1031" s="398"/>
      <c r="X1031" s="398"/>
      <c r="Y1031" s="398"/>
      <c r="Z1031" s="398"/>
      <c r="AA1031" s="398"/>
      <c r="AB1031" s="200"/>
      <c r="AV1031" s="735" t="s">
        <v>2925</v>
      </c>
      <c r="AW1031" s="2" t="s">
        <v>2920</v>
      </c>
    </row>
    <row r="1032" spans="1:50" ht="19.05" customHeight="1">
      <c r="A1032" s="199"/>
      <c r="B1032" s="1469"/>
      <c r="C1032" s="1322"/>
      <c r="D1032" s="1322"/>
      <c r="E1032" s="1322"/>
      <c r="F1032" s="1322"/>
      <c r="G1032" s="1322"/>
      <c r="H1032" s="1322"/>
      <c r="I1032" s="1322"/>
      <c r="J1032" s="1322"/>
      <c r="K1032" s="1322"/>
      <c r="L1032" s="1322"/>
      <c r="M1032" s="1470"/>
      <c r="N1032" s="200"/>
      <c r="O1032" s="199"/>
      <c r="P1032" s="24"/>
      <c r="Q1032" s="24"/>
      <c r="R1032" s="398"/>
      <c r="S1032" s="398"/>
      <c r="T1032" s="398"/>
      <c r="U1032" s="398"/>
      <c r="V1032" s="398"/>
      <c r="W1032" s="398"/>
      <c r="X1032" s="398"/>
      <c r="Y1032" s="398"/>
      <c r="Z1032" s="398"/>
      <c r="AA1032" s="398"/>
      <c r="AB1032" s="200"/>
    </row>
    <row r="1033" spans="1:50" ht="19.05" customHeight="1">
      <c r="A1033" s="199"/>
      <c r="B1033" s="1469"/>
      <c r="C1033" s="1322"/>
      <c r="D1033" s="1322"/>
      <c r="E1033" s="1322"/>
      <c r="F1033" s="1322"/>
      <c r="G1033" s="1322"/>
      <c r="H1033" s="1322"/>
      <c r="I1033" s="1322"/>
      <c r="J1033" s="1322"/>
      <c r="K1033" s="1322"/>
      <c r="L1033" s="1322"/>
      <c r="M1033" s="1470"/>
      <c r="N1033" s="200"/>
      <c r="O1033" s="199"/>
      <c r="P1033" s="24"/>
      <c r="Q1033" s="24"/>
      <c r="R1033" s="398"/>
      <c r="S1033" s="398"/>
      <c r="T1033" s="398"/>
      <c r="U1033" s="398"/>
      <c r="V1033" s="398"/>
      <c r="W1033" s="398"/>
      <c r="X1033" s="398"/>
      <c r="Y1033" s="398"/>
      <c r="Z1033" s="398"/>
      <c r="AA1033" s="398"/>
      <c r="AB1033" s="200"/>
      <c r="AW1033" s="733" t="s">
        <v>2845</v>
      </c>
      <c r="AX1033" s="37" t="s">
        <v>2930</v>
      </c>
    </row>
    <row r="1034" spans="1:50" ht="19.95" customHeight="1">
      <c r="A1034" s="199"/>
      <c r="B1034" s="830"/>
      <c r="C1034" s="505"/>
      <c r="D1034" s="505"/>
      <c r="E1034" s="505"/>
      <c r="F1034" s="505"/>
      <c r="G1034" s="505"/>
      <c r="H1034" s="505"/>
      <c r="I1034" s="24"/>
      <c r="J1034" s="24"/>
      <c r="K1034" s="24"/>
      <c r="L1034" s="24"/>
      <c r="M1034" s="831"/>
      <c r="N1034" s="200"/>
      <c r="O1034" s="199"/>
      <c r="P1034" s="24"/>
      <c r="Q1034" s="24"/>
      <c r="R1034" s="398"/>
      <c r="S1034" s="398"/>
      <c r="T1034" s="398"/>
      <c r="U1034" s="398"/>
      <c r="V1034" s="398"/>
      <c r="W1034" s="398"/>
      <c r="X1034" s="398"/>
      <c r="Y1034" s="398"/>
      <c r="Z1034" s="398"/>
      <c r="AA1034" s="398"/>
      <c r="AB1034" s="200"/>
      <c r="AV1034" s="735" t="s">
        <v>2925</v>
      </c>
      <c r="AW1034" s="2" t="s">
        <v>2918</v>
      </c>
    </row>
    <row r="1035" spans="1:50" ht="19.95" customHeight="1">
      <c r="A1035" s="199"/>
      <c r="B1035" s="830"/>
      <c r="C1035" s="505"/>
      <c r="D1035" s="505"/>
      <c r="E1035" s="505"/>
      <c r="F1035" s="505"/>
      <c r="G1035" s="505"/>
      <c r="H1035" s="505"/>
      <c r="I1035" s="24"/>
      <c r="J1035" s="24"/>
      <c r="K1035" s="24"/>
      <c r="L1035" s="24"/>
      <c r="M1035" s="831"/>
      <c r="N1035" s="200"/>
      <c r="O1035" s="199"/>
      <c r="P1035" s="24"/>
      <c r="Q1035" s="24"/>
      <c r="R1035" s="398"/>
      <c r="S1035" s="398"/>
      <c r="T1035" s="398"/>
      <c r="U1035" s="398"/>
      <c r="V1035" s="398"/>
      <c r="W1035" s="398"/>
      <c r="X1035" s="398"/>
      <c r="Y1035" s="398"/>
      <c r="Z1035" s="398"/>
      <c r="AA1035" s="398"/>
      <c r="AB1035" s="200"/>
      <c r="AV1035" s="735" t="s">
        <v>2926</v>
      </c>
      <c r="AW1035" s="2" t="s">
        <v>2919</v>
      </c>
    </row>
    <row r="1036" spans="1:50" ht="19.95" customHeight="1">
      <c r="A1036" s="199"/>
      <c r="B1036" s="830"/>
      <c r="C1036" s="505"/>
      <c r="D1036" s="505"/>
      <c r="E1036" s="505"/>
      <c r="F1036" s="505"/>
      <c r="G1036" s="505"/>
      <c r="H1036" s="505"/>
      <c r="I1036" s="24"/>
      <c r="J1036" s="24"/>
      <c r="K1036" s="24"/>
      <c r="L1036" s="24"/>
      <c r="M1036" s="831"/>
      <c r="N1036" s="200"/>
      <c r="O1036" s="199"/>
      <c r="P1036" s="24"/>
      <c r="Q1036" s="24"/>
      <c r="R1036" s="398"/>
      <c r="S1036" s="398"/>
      <c r="T1036" s="398"/>
      <c r="U1036" s="398"/>
      <c r="V1036" s="398"/>
      <c r="W1036" s="398"/>
      <c r="X1036" s="398"/>
      <c r="Y1036" s="398"/>
      <c r="Z1036" s="398"/>
      <c r="AA1036" s="398"/>
      <c r="AB1036" s="200"/>
      <c r="AV1036" s="735" t="s">
        <v>2925</v>
      </c>
      <c r="AW1036" s="2" t="s">
        <v>2920</v>
      </c>
    </row>
    <row r="1037" spans="1:50" ht="19.95" customHeight="1">
      <c r="A1037" s="199"/>
      <c r="B1037" s="830"/>
      <c r="C1037" s="505"/>
      <c r="D1037" s="505"/>
      <c r="E1037" s="505"/>
      <c r="F1037" s="505"/>
      <c r="G1037" s="505"/>
      <c r="H1037" s="505"/>
      <c r="I1037" s="24"/>
      <c r="J1037" s="24"/>
      <c r="K1037" s="24"/>
      <c r="L1037" s="24"/>
      <c r="M1037" s="831"/>
      <c r="N1037" s="200"/>
      <c r="O1037" s="199"/>
      <c r="P1037" s="24"/>
      <c r="Q1037" s="24"/>
      <c r="R1037" s="398"/>
      <c r="S1037" s="398"/>
      <c r="T1037" s="398"/>
      <c r="U1037" s="398"/>
      <c r="V1037" s="398"/>
      <c r="W1037" s="398"/>
      <c r="X1037" s="398"/>
      <c r="Y1037" s="398"/>
      <c r="Z1037" s="398"/>
      <c r="AA1037" s="398"/>
      <c r="AB1037" s="200"/>
    </row>
    <row r="1038" spans="1:50" ht="19.95" customHeight="1">
      <c r="A1038" s="199"/>
      <c r="B1038" s="830"/>
      <c r="C1038" s="505"/>
      <c r="D1038" s="505"/>
      <c r="E1038" s="505"/>
      <c r="F1038" s="505"/>
      <c r="G1038" s="505"/>
      <c r="H1038" s="505"/>
      <c r="I1038" s="24"/>
      <c r="J1038" s="24"/>
      <c r="K1038" s="24"/>
      <c r="L1038" s="24"/>
      <c r="M1038" s="831"/>
      <c r="N1038" s="200"/>
      <c r="O1038" s="199"/>
      <c r="P1038" s="24"/>
      <c r="Q1038" s="24"/>
      <c r="R1038" s="398"/>
      <c r="S1038" s="398"/>
      <c r="T1038" s="398"/>
      <c r="U1038" s="398"/>
      <c r="V1038" s="398"/>
      <c r="W1038" s="398"/>
      <c r="X1038" s="398"/>
      <c r="Y1038" s="398"/>
      <c r="Z1038" s="398"/>
      <c r="AA1038" s="398"/>
      <c r="AB1038" s="200"/>
    </row>
    <row r="1039" spans="1:50" ht="19.95" customHeight="1">
      <c r="A1039" s="199"/>
      <c r="B1039" s="830"/>
      <c r="C1039" s="505"/>
      <c r="D1039" s="505"/>
      <c r="E1039" s="505"/>
      <c r="F1039" s="505"/>
      <c r="G1039" s="505"/>
      <c r="H1039" s="505"/>
      <c r="I1039" s="24"/>
      <c r="J1039" s="24"/>
      <c r="K1039" s="24"/>
      <c r="L1039" s="24"/>
      <c r="M1039" s="831"/>
      <c r="N1039" s="200"/>
      <c r="O1039" s="199"/>
      <c r="P1039" s="24"/>
      <c r="Q1039" s="24"/>
      <c r="R1039" s="398"/>
      <c r="S1039" s="398"/>
      <c r="T1039" s="398"/>
      <c r="U1039" s="398"/>
      <c r="V1039" s="398"/>
      <c r="W1039" s="398"/>
      <c r="X1039" s="398"/>
      <c r="Y1039" s="398"/>
      <c r="Z1039" s="398"/>
      <c r="AA1039" s="398"/>
      <c r="AB1039" s="200"/>
    </row>
    <row r="1040" spans="1:50" ht="19.95" customHeight="1">
      <c r="A1040" s="199"/>
      <c r="B1040" s="830"/>
      <c r="C1040" s="505"/>
      <c r="D1040" s="505"/>
      <c r="E1040" s="505"/>
      <c r="F1040" s="505"/>
      <c r="G1040" s="505"/>
      <c r="H1040" s="505"/>
      <c r="I1040" s="24"/>
      <c r="J1040" s="24"/>
      <c r="K1040" s="24"/>
      <c r="L1040" s="24"/>
      <c r="M1040" s="831"/>
      <c r="N1040" s="200"/>
      <c r="O1040" s="199"/>
      <c r="P1040" s="24"/>
      <c r="Q1040" s="24"/>
      <c r="R1040" s="398"/>
      <c r="S1040" s="398"/>
      <c r="T1040" s="398"/>
      <c r="U1040" s="398"/>
      <c r="V1040" s="398"/>
      <c r="W1040" s="398"/>
      <c r="X1040" s="398"/>
      <c r="Y1040" s="398"/>
      <c r="Z1040" s="398"/>
      <c r="AA1040" s="398"/>
      <c r="AB1040" s="200"/>
    </row>
    <row r="1041" spans="1:28" ht="19.95" customHeight="1">
      <c r="A1041" s="199"/>
      <c r="B1041" s="830"/>
      <c r="C1041" s="505"/>
      <c r="D1041" s="505"/>
      <c r="E1041" s="505"/>
      <c r="F1041" s="505"/>
      <c r="G1041" s="505"/>
      <c r="H1041" s="505"/>
      <c r="I1041" s="505"/>
      <c r="J1041" s="505"/>
      <c r="K1041" s="505"/>
      <c r="L1041" s="505"/>
      <c r="M1041" s="829"/>
      <c r="N1041" s="200"/>
      <c r="O1041" s="199"/>
      <c r="P1041" s="24"/>
      <c r="Q1041" s="24"/>
      <c r="R1041" s="398"/>
      <c r="S1041" s="398"/>
      <c r="T1041" s="398"/>
      <c r="U1041" s="398"/>
      <c r="V1041" s="398"/>
      <c r="W1041" s="398"/>
      <c r="X1041" s="398"/>
      <c r="Y1041" s="398"/>
      <c r="Z1041" s="398"/>
      <c r="AA1041" s="398"/>
      <c r="AB1041" s="200"/>
    </row>
    <row r="1042" spans="1:28" ht="19.95" customHeight="1">
      <c r="A1042" s="199"/>
      <c r="B1042" s="832"/>
      <c r="C1042" s="833"/>
      <c r="D1042" s="833"/>
      <c r="E1042" s="833"/>
      <c r="F1042" s="833"/>
      <c r="G1042" s="833"/>
      <c r="H1042" s="833"/>
      <c r="I1042" s="833"/>
      <c r="J1042" s="833"/>
      <c r="K1042" s="833"/>
      <c r="L1042" s="833"/>
      <c r="M1042" s="834"/>
      <c r="N1042" s="200"/>
      <c r="O1042" s="199"/>
      <c r="P1042" s="24"/>
      <c r="Q1042" s="24"/>
      <c r="R1042" s="398"/>
      <c r="S1042" s="398"/>
      <c r="T1042" s="398"/>
      <c r="U1042" s="398"/>
      <c r="V1042" s="398"/>
      <c r="W1042" s="398"/>
      <c r="X1042" s="398"/>
      <c r="Y1042" s="398"/>
      <c r="Z1042" s="398"/>
      <c r="AA1042" s="398"/>
      <c r="AB1042" s="200"/>
    </row>
    <row r="1043" spans="1:28" ht="19.95" customHeight="1" thickBot="1">
      <c r="A1043" s="199"/>
      <c r="B1043" s="505"/>
      <c r="C1043" s="505"/>
      <c r="D1043" s="505"/>
      <c r="E1043" s="505"/>
      <c r="F1043" s="505"/>
      <c r="G1043" s="505"/>
      <c r="H1043" s="505"/>
      <c r="I1043" s="505"/>
      <c r="J1043" s="505"/>
      <c r="K1043" s="505"/>
      <c r="L1043" s="505"/>
      <c r="M1043" s="505"/>
      <c r="N1043" s="200"/>
      <c r="O1043" s="199"/>
      <c r="P1043" s="24"/>
      <c r="Q1043" s="24"/>
      <c r="R1043" s="398"/>
      <c r="S1043" s="398"/>
      <c r="T1043" s="398"/>
      <c r="U1043" s="398"/>
      <c r="V1043" s="398"/>
      <c r="W1043" s="398"/>
      <c r="X1043" s="398"/>
      <c r="Y1043" s="398"/>
      <c r="Z1043" s="398"/>
      <c r="AA1043" s="398"/>
      <c r="AB1043" s="200"/>
    </row>
    <row r="1044" spans="1:28" ht="30" customHeight="1" thickTop="1">
      <c r="A1044" s="877" t="s">
        <v>1148</v>
      </c>
      <c r="B1044" s="887" t="s">
        <v>2031</v>
      </c>
      <c r="C1044" s="887"/>
      <c r="D1044" s="887"/>
      <c r="E1044" s="887"/>
      <c r="F1044" s="887"/>
      <c r="G1044" s="887"/>
      <c r="H1044" s="373"/>
      <c r="I1044" s="373"/>
      <c r="J1044" s="373"/>
      <c r="K1044" s="373"/>
      <c r="L1044" s="373"/>
      <c r="M1044" s="373"/>
      <c r="N1044" s="878" t="s">
        <v>1149</v>
      </c>
      <c r="O1044" s="876"/>
      <c r="P1044" s="1292"/>
      <c r="Q1044" s="1292"/>
      <c r="R1044" s="1292"/>
      <c r="S1044" s="1292"/>
      <c r="T1044" s="1292"/>
      <c r="U1044" s="1292"/>
      <c r="V1044" s="1292"/>
      <c r="W1044" s="206"/>
      <c r="X1044" s="206"/>
      <c r="Y1044" s="206"/>
      <c r="Z1044" s="206"/>
      <c r="AA1044" s="206"/>
      <c r="AB1044" s="211" t="s">
        <v>1149</v>
      </c>
    </row>
    <row r="1045" spans="1:28">
      <c r="A1045" s="871"/>
      <c r="B1045" s="24"/>
      <c r="C1045" s="24"/>
      <c r="D1045" s="24"/>
      <c r="E1045" s="24"/>
      <c r="F1045" s="24"/>
      <c r="G1045" s="24"/>
      <c r="H1045" s="24"/>
      <c r="I1045" s="24"/>
      <c r="J1045" s="24"/>
      <c r="K1045" s="24"/>
      <c r="L1045" s="24"/>
      <c r="M1045" s="24"/>
      <c r="N1045" s="872"/>
      <c r="O1045" s="24"/>
      <c r="P1045" s="24"/>
      <c r="Q1045" s="24"/>
      <c r="R1045" s="24"/>
      <c r="S1045" s="24"/>
      <c r="T1045" s="24"/>
      <c r="U1045" s="24"/>
      <c r="V1045" s="24"/>
      <c r="W1045" s="24"/>
      <c r="X1045" s="24"/>
      <c r="Y1045" s="24"/>
      <c r="Z1045" s="24"/>
      <c r="AA1045" s="24"/>
      <c r="AB1045" s="200"/>
    </row>
    <row r="1046" spans="1:28" ht="19.95" customHeight="1">
      <c r="A1046" s="871"/>
      <c r="B1046" s="844" t="s">
        <v>3146</v>
      </c>
      <c r="C1046" s="24"/>
      <c r="D1046" s="24"/>
      <c r="E1046" s="24"/>
      <c r="F1046" s="24"/>
      <c r="G1046" s="24"/>
      <c r="H1046" s="24"/>
      <c r="I1046" s="24"/>
      <c r="J1046" s="24"/>
      <c r="K1046" s="24"/>
      <c r="L1046" s="24"/>
      <c r="M1046" s="24"/>
      <c r="N1046" s="872"/>
      <c r="O1046" s="24"/>
      <c r="P1046" s="24"/>
      <c r="Q1046" s="24"/>
      <c r="R1046" s="24"/>
      <c r="S1046" s="24"/>
      <c r="T1046" s="24"/>
      <c r="U1046" s="24"/>
      <c r="V1046" s="24"/>
      <c r="W1046" s="24"/>
      <c r="X1046" s="24"/>
      <c r="Y1046" s="24"/>
      <c r="Z1046" s="24"/>
      <c r="AA1046" s="24"/>
      <c r="AB1046" s="200"/>
    </row>
    <row r="1047" spans="1:28" ht="10.050000000000001" customHeight="1" thickBot="1">
      <c r="A1047" s="871"/>
      <c r="B1047" s="24"/>
      <c r="C1047" s="24"/>
      <c r="D1047" s="24"/>
      <c r="E1047" s="24"/>
      <c r="F1047" s="24"/>
      <c r="G1047" s="24"/>
      <c r="H1047" s="24"/>
      <c r="I1047" s="24"/>
      <c r="J1047" s="24"/>
      <c r="K1047" s="24"/>
      <c r="L1047" s="24"/>
      <c r="M1047" s="24"/>
      <c r="N1047" s="872"/>
      <c r="O1047" s="24"/>
      <c r="P1047" s="24"/>
      <c r="Q1047" s="24"/>
      <c r="R1047" s="24"/>
      <c r="S1047" s="24"/>
      <c r="T1047" s="24"/>
      <c r="U1047" s="24"/>
      <c r="V1047" s="24"/>
      <c r="W1047" s="24"/>
      <c r="X1047" s="24"/>
      <c r="Y1047" s="24"/>
      <c r="Z1047" s="24"/>
      <c r="AA1047" s="24"/>
      <c r="AB1047" s="200"/>
    </row>
    <row r="1048" spans="1:28" ht="19.95" customHeight="1">
      <c r="A1048" s="871"/>
      <c r="B1048" s="506"/>
      <c r="C1048" s="841"/>
      <c r="D1048" s="842"/>
      <c r="E1048" s="835"/>
      <c r="F1048" s="835"/>
      <c r="G1048" s="835"/>
      <c r="H1048" s="841"/>
      <c r="I1048" s="841"/>
      <c r="J1048" s="842"/>
      <c r="K1048" s="835"/>
      <c r="L1048" s="835"/>
      <c r="M1048" s="836"/>
      <c r="N1048" s="872"/>
      <c r="O1048" s="24"/>
      <c r="P1048" s="24"/>
      <c r="Q1048" s="24"/>
      <c r="R1048" s="24"/>
      <c r="S1048" s="24"/>
      <c r="T1048" s="24"/>
      <c r="U1048" s="24"/>
      <c r="V1048" s="24"/>
      <c r="W1048" s="24"/>
      <c r="X1048" s="24"/>
      <c r="Y1048" s="24"/>
      <c r="Z1048" s="24"/>
      <c r="AA1048" s="24"/>
      <c r="AB1048" s="200"/>
    </row>
    <row r="1049" spans="1:28" ht="19.95" customHeight="1">
      <c r="A1049" s="871"/>
      <c r="B1049" s="508"/>
      <c r="C1049" s="24"/>
      <c r="D1049" s="837"/>
      <c r="E1049" s="837"/>
      <c r="F1049" s="837"/>
      <c r="G1049" s="837"/>
      <c r="H1049" s="24"/>
      <c r="I1049" s="24"/>
      <c r="J1049" s="837"/>
      <c r="K1049" s="837"/>
      <c r="L1049" s="837"/>
      <c r="M1049" s="838"/>
      <c r="N1049" s="872"/>
      <c r="O1049" s="24"/>
      <c r="P1049" s="24"/>
      <c r="Q1049" s="24"/>
      <c r="R1049" s="24"/>
      <c r="S1049" s="24"/>
      <c r="T1049" s="24"/>
      <c r="U1049" s="24"/>
      <c r="V1049" s="24"/>
      <c r="W1049" s="24"/>
      <c r="X1049" s="24"/>
      <c r="Y1049" s="24"/>
      <c r="Z1049" s="24"/>
      <c r="AA1049" s="24"/>
      <c r="AB1049" s="200"/>
    </row>
    <row r="1050" spans="1:28" ht="19.95" customHeight="1">
      <c r="A1050" s="871"/>
      <c r="B1050" s="508"/>
      <c r="C1050" s="24"/>
      <c r="D1050" s="837"/>
      <c r="E1050" s="837"/>
      <c r="F1050" s="837"/>
      <c r="G1050" s="837"/>
      <c r="H1050" s="24"/>
      <c r="I1050" s="24"/>
      <c r="J1050" s="837"/>
      <c r="K1050" s="837"/>
      <c r="L1050" s="837"/>
      <c r="M1050" s="838"/>
      <c r="N1050" s="872"/>
      <c r="O1050" s="24"/>
      <c r="P1050" s="24"/>
      <c r="Q1050" s="24"/>
      <c r="R1050" s="24"/>
      <c r="S1050" s="24"/>
      <c r="T1050" s="24"/>
      <c r="U1050" s="24"/>
      <c r="V1050" s="24"/>
      <c r="W1050" s="24"/>
      <c r="X1050" s="24"/>
      <c r="Y1050" s="24"/>
      <c r="Z1050" s="24"/>
      <c r="AA1050" s="24"/>
      <c r="AB1050" s="200"/>
    </row>
    <row r="1051" spans="1:28" ht="19.95" customHeight="1">
      <c r="A1051" s="871"/>
      <c r="B1051" s="508"/>
      <c r="C1051" s="24"/>
      <c r="D1051" s="837"/>
      <c r="E1051" s="837"/>
      <c r="F1051" s="837"/>
      <c r="G1051" s="837"/>
      <c r="H1051" s="24"/>
      <c r="I1051" s="24"/>
      <c r="J1051" s="837"/>
      <c r="K1051" s="837"/>
      <c r="L1051" s="837"/>
      <c r="M1051" s="838"/>
      <c r="N1051" s="872"/>
      <c r="O1051" s="24"/>
      <c r="P1051" s="24"/>
      <c r="Q1051" s="24"/>
      <c r="R1051" s="24"/>
      <c r="S1051" s="24"/>
      <c r="T1051" s="24"/>
      <c r="U1051" s="24"/>
      <c r="V1051" s="24"/>
      <c r="W1051" s="24"/>
      <c r="X1051" s="24"/>
      <c r="Y1051" s="24"/>
      <c r="Z1051" s="24"/>
      <c r="AA1051" s="24"/>
      <c r="AB1051" s="200"/>
    </row>
    <row r="1052" spans="1:28" ht="10.050000000000001" customHeight="1">
      <c r="A1052" s="871"/>
      <c r="B1052" s="508"/>
      <c r="C1052" s="24"/>
      <c r="D1052" s="837"/>
      <c r="E1052" s="837"/>
      <c r="F1052" s="837"/>
      <c r="G1052" s="837"/>
      <c r="H1052" s="24"/>
      <c r="I1052" s="24"/>
      <c r="J1052" s="837"/>
      <c r="K1052" s="837"/>
      <c r="L1052" s="837"/>
      <c r="M1052" s="838"/>
      <c r="N1052" s="872"/>
      <c r="O1052" s="24"/>
      <c r="P1052" s="24"/>
      <c r="Q1052" s="24"/>
      <c r="R1052" s="24"/>
      <c r="S1052" s="24"/>
      <c r="T1052" s="24"/>
      <c r="U1052" s="24"/>
      <c r="V1052" s="24"/>
      <c r="W1052" s="24"/>
      <c r="X1052" s="24"/>
      <c r="Y1052" s="24"/>
      <c r="Z1052" s="24"/>
      <c r="AA1052" s="24"/>
      <c r="AB1052" s="200"/>
    </row>
    <row r="1053" spans="1:28" ht="19.95" customHeight="1">
      <c r="A1053" s="871"/>
      <c r="B1053" s="508"/>
      <c r="C1053" s="24"/>
      <c r="D1053" s="837"/>
      <c r="E1053" s="837"/>
      <c r="F1053" s="837"/>
      <c r="G1053" s="837"/>
      <c r="H1053" s="24"/>
      <c r="I1053" s="24"/>
      <c r="J1053" s="837"/>
      <c r="K1053" s="837"/>
      <c r="L1053" s="837"/>
      <c r="M1053" s="838"/>
      <c r="N1053" s="872"/>
      <c r="O1053" s="24"/>
      <c r="P1053" s="24"/>
      <c r="Q1053" s="24"/>
      <c r="R1053" s="24"/>
      <c r="S1053" s="24"/>
      <c r="T1053" s="24"/>
      <c r="U1053" s="24"/>
      <c r="V1053" s="24"/>
      <c r="W1053" s="24"/>
      <c r="X1053" s="24"/>
      <c r="Y1053" s="24"/>
      <c r="Z1053" s="24"/>
      <c r="AA1053" s="24"/>
      <c r="AB1053" s="200"/>
    </row>
    <row r="1054" spans="1:28" ht="19.95" customHeight="1">
      <c r="A1054" s="871"/>
      <c r="B1054" s="508"/>
      <c r="C1054" s="24"/>
      <c r="D1054" s="837"/>
      <c r="E1054" s="837"/>
      <c r="F1054" s="837"/>
      <c r="G1054" s="837"/>
      <c r="H1054" s="24"/>
      <c r="I1054" s="24"/>
      <c r="J1054" s="837"/>
      <c r="K1054" s="837"/>
      <c r="L1054" s="837"/>
      <c r="M1054" s="838"/>
      <c r="N1054" s="872"/>
      <c r="O1054" s="24"/>
      <c r="P1054" s="24"/>
      <c r="Q1054" s="24"/>
      <c r="R1054" s="24"/>
      <c r="S1054" s="24"/>
      <c r="T1054" s="24"/>
      <c r="U1054" s="24"/>
      <c r="V1054" s="24"/>
      <c r="W1054" s="24"/>
      <c r="X1054" s="24"/>
      <c r="Y1054" s="24"/>
      <c r="Z1054" s="24"/>
      <c r="AA1054" s="24"/>
      <c r="AB1054" s="200"/>
    </row>
    <row r="1055" spans="1:28" ht="19.95" customHeight="1">
      <c r="A1055" s="871"/>
      <c r="B1055" s="508"/>
      <c r="C1055" s="24"/>
      <c r="D1055" s="837"/>
      <c r="E1055" s="837"/>
      <c r="F1055" s="837"/>
      <c r="G1055" s="837"/>
      <c r="H1055" s="24"/>
      <c r="I1055" s="24"/>
      <c r="J1055" s="837"/>
      <c r="K1055" s="837"/>
      <c r="L1055" s="837"/>
      <c r="M1055" s="838"/>
      <c r="N1055" s="872"/>
      <c r="O1055" s="24"/>
      <c r="P1055" s="24"/>
      <c r="Q1055" s="24"/>
      <c r="R1055" s="24"/>
      <c r="S1055" s="24"/>
      <c r="T1055" s="24"/>
      <c r="U1055" s="24"/>
      <c r="V1055" s="24"/>
      <c r="W1055" s="24"/>
      <c r="X1055" s="24"/>
      <c r="Y1055" s="24"/>
      <c r="Z1055" s="24"/>
      <c r="AA1055" s="24"/>
      <c r="AB1055" s="200"/>
    </row>
    <row r="1056" spans="1:28" ht="19.95" customHeight="1">
      <c r="A1056" s="871"/>
      <c r="B1056" s="508"/>
      <c r="C1056" s="24"/>
      <c r="D1056" s="837"/>
      <c r="E1056" s="837"/>
      <c r="F1056" s="837"/>
      <c r="G1056" s="837"/>
      <c r="H1056" s="24"/>
      <c r="I1056" s="24"/>
      <c r="J1056" s="837"/>
      <c r="K1056" s="837"/>
      <c r="L1056" s="837"/>
      <c r="M1056" s="838"/>
      <c r="N1056" s="872"/>
      <c r="O1056" s="24"/>
      <c r="P1056" s="24"/>
      <c r="Q1056" s="24"/>
      <c r="R1056" s="24"/>
      <c r="S1056" s="24"/>
      <c r="T1056" s="24"/>
      <c r="U1056" s="24"/>
      <c r="V1056" s="24"/>
      <c r="W1056" s="24"/>
      <c r="X1056" s="24"/>
      <c r="Y1056" s="24"/>
      <c r="Z1056" s="24"/>
      <c r="AA1056" s="24"/>
      <c r="AB1056" s="200"/>
    </row>
    <row r="1057" spans="1:28" ht="10.050000000000001" customHeight="1">
      <c r="A1057" s="871"/>
      <c r="B1057" s="508"/>
      <c r="C1057" s="24"/>
      <c r="D1057" s="837"/>
      <c r="E1057" s="837"/>
      <c r="F1057" s="837"/>
      <c r="G1057" s="837"/>
      <c r="H1057" s="24"/>
      <c r="I1057" s="24"/>
      <c r="J1057" s="837"/>
      <c r="K1057" s="837"/>
      <c r="L1057" s="837"/>
      <c r="M1057" s="838"/>
      <c r="N1057" s="872"/>
      <c r="O1057" s="24"/>
      <c r="P1057" s="24"/>
      <c r="Q1057" s="24"/>
      <c r="R1057" s="24"/>
      <c r="S1057" s="24"/>
      <c r="T1057" s="24"/>
      <c r="U1057" s="24"/>
      <c r="V1057" s="24"/>
      <c r="W1057" s="24"/>
      <c r="X1057" s="24"/>
      <c r="Y1057" s="24"/>
      <c r="Z1057" s="24"/>
      <c r="AA1057" s="24"/>
      <c r="AB1057" s="200"/>
    </row>
    <row r="1058" spans="1:28" ht="19.95" customHeight="1">
      <c r="A1058" s="871"/>
      <c r="B1058" s="508"/>
      <c r="C1058" s="24"/>
      <c r="D1058" s="837"/>
      <c r="E1058" s="837"/>
      <c r="F1058" s="837"/>
      <c r="G1058" s="837"/>
      <c r="H1058" s="24"/>
      <c r="I1058" s="24"/>
      <c r="J1058" s="837"/>
      <c r="K1058" s="837"/>
      <c r="L1058" s="837"/>
      <c r="M1058" s="838"/>
      <c r="N1058" s="872"/>
      <c r="O1058" s="24"/>
      <c r="P1058" s="24"/>
      <c r="Q1058" s="24"/>
      <c r="R1058" s="24"/>
      <c r="S1058" s="24"/>
      <c r="T1058" s="24"/>
      <c r="U1058" s="24"/>
      <c r="V1058" s="24"/>
      <c r="W1058" s="24"/>
      <c r="X1058" s="24"/>
      <c r="Y1058" s="24"/>
      <c r="Z1058" s="24"/>
      <c r="AA1058" s="24"/>
      <c r="AB1058" s="200"/>
    </row>
    <row r="1059" spans="1:28" ht="19.95" customHeight="1">
      <c r="A1059" s="871"/>
      <c r="B1059" s="508"/>
      <c r="C1059" s="24"/>
      <c r="D1059" s="837"/>
      <c r="E1059" s="837"/>
      <c r="F1059" s="837"/>
      <c r="G1059" s="837"/>
      <c r="H1059" s="24"/>
      <c r="I1059" s="24"/>
      <c r="J1059" s="837"/>
      <c r="K1059" s="837"/>
      <c r="L1059" s="837"/>
      <c r="M1059" s="838"/>
      <c r="N1059" s="872"/>
      <c r="O1059" s="24"/>
      <c r="P1059" s="24"/>
      <c r="Q1059" s="24"/>
      <c r="R1059" s="24"/>
      <c r="S1059" s="24"/>
      <c r="T1059" s="24"/>
      <c r="U1059" s="24"/>
      <c r="V1059" s="24"/>
      <c r="W1059" s="24"/>
      <c r="X1059" s="24"/>
      <c r="Y1059" s="24"/>
      <c r="Z1059" s="24"/>
      <c r="AA1059" s="24"/>
      <c r="AB1059" s="200"/>
    </row>
    <row r="1060" spans="1:28" ht="19.95" customHeight="1">
      <c r="A1060" s="871"/>
      <c r="B1060" s="508"/>
      <c r="C1060" s="24"/>
      <c r="D1060" s="837"/>
      <c r="E1060" s="837"/>
      <c r="F1060" s="837"/>
      <c r="G1060" s="837"/>
      <c r="H1060" s="24"/>
      <c r="I1060" s="24"/>
      <c r="J1060" s="837"/>
      <c r="K1060" s="837"/>
      <c r="L1060" s="837"/>
      <c r="M1060" s="838"/>
      <c r="N1060" s="872"/>
      <c r="O1060" s="24"/>
      <c r="P1060" s="24"/>
      <c r="Q1060" s="24"/>
      <c r="R1060" s="24"/>
      <c r="S1060" s="24"/>
      <c r="T1060" s="24"/>
      <c r="U1060" s="24"/>
      <c r="V1060" s="24"/>
      <c r="W1060" s="24"/>
      <c r="X1060" s="24"/>
      <c r="Y1060" s="24"/>
      <c r="Z1060" s="24"/>
      <c r="AA1060" s="24"/>
      <c r="AB1060" s="200"/>
    </row>
    <row r="1061" spans="1:28" ht="19.95" customHeight="1">
      <c r="A1061" s="871"/>
      <c r="B1061" s="508"/>
      <c r="C1061" s="24"/>
      <c r="D1061" s="837"/>
      <c r="E1061" s="837"/>
      <c r="F1061" s="837"/>
      <c r="G1061" s="837"/>
      <c r="H1061" s="24"/>
      <c r="I1061" s="24"/>
      <c r="J1061" s="837"/>
      <c r="K1061" s="837"/>
      <c r="L1061" s="837"/>
      <c r="M1061" s="838"/>
      <c r="N1061" s="872"/>
      <c r="O1061" s="24"/>
      <c r="P1061" s="24"/>
      <c r="Q1061" s="24"/>
      <c r="R1061" s="24"/>
      <c r="S1061" s="24"/>
      <c r="T1061" s="24"/>
      <c r="U1061" s="24"/>
      <c r="V1061" s="24"/>
      <c r="W1061" s="24"/>
      <c r="X1061" s="24"/>
      <c r="Y1061" s="24"/>
      <c r="Z1061" s="24"/>
      <c r="AA1061" s="24"/>
      <c r="AB1061" s="200"/>
    </row>
    <row r="1062" spans="1:28" ht="10.050000000000001" customHeight="1">
      <c r="A1062" s="871"/>
      <c r="B1062" s="508"/>
      <c r="C1062" s="24"/>
      <c r="D1062" s="837"/>
      <c r="E1062" s="837"/>
      <c r="F1062" s="837"/>
      <c r="G1062" s="837"/>
      <c r="H1062" s="24"/>
      <c r="I1062" s="24"/>
      <c r="J1062" s="837"/>
      <c r="K1062" s="837"/>
      <c r="L1062" s="837"/>
      <c r="M1062" s="838"/>
      <c r="N1062" s="872"/>
      <c r="O1062" s="24"/>
      <c r="P1062" s="24"/>
      <c r="Q1062" s="24"/>
      <c r="R1062" s="24"/>
      <c r="S1062" s="24"/>
      <c r="T1062" s="24"/>
      <c r="U1062" s="24"/>
      <c r="V1062" s="24"/>
      <c r="W1062" s="24"/>
      <c r="X1062" s="24"/>
      <c r="Y1062" s="24"/>
      <c r="Z1062" s="24"/>
      <c r="AA1062" s="24"/>
      <c r="AB1062" s="200"/>
    </row>
    <row r="1063" spans="1:28" ht="19.95" customHeight="1">
      <c r="A1063" s="871"/>
      <c r="B1063" s="508"/>
      <c r="C1063" s="24"/>
      <c r="D1063" s="837"/>
      <c r="E1063" s="837"/>
      <c r="F1063" s="837"/>
      <c r="G1063" s="837"/>
      <c r="H1063" s="24"/>
      <c r="I1063" s="24"/>
      <c r="J1063" s="837"/>
      <c r="K1063" s="837"/>
      <c r="L1063" s="837"/>
      <c r="M1063" s="838"/>
      <c r="N1063" s="872"/>
      <c r="O1063" s="24"/>
      <c r="P1063" s="24"/>
      <c r="Q1063" s="24"/>
      <c r="R1063" s="24"/>
      <c r="S1063" s="24"/>
      <c r="T1063" s="24"/>
      <c r="U1063" s="24"/>
      <c r="V1063" s="24"/>
      <c r="W1063" s="24"/>
      <c r="X1063" s="24"/>
      <c r="Y1063" s="24"/>
      <c r="Z1063" s="24"/>
      <c r="AA1063" s="24"/>
      <c r="AB1063" s="200"/>
    </row>
    <row r="1064" spans="1:28" ht="19.95" customHeight="1">
      <c r="A1064" s="871"/>
      <c r="B1064" s="508"/>
      <c r="C1064" s="24"/>
      <c r="D1064" s="837"/>
      <c r="E1064" s="837"/>
      <c r="F1064" s="837"/>
      <c r="G1064" s="837"/>
      <c r="H1064" s="24"/>
      <c r="I1064" s="24"/>
      <c r="J1064" s="837"/>
      <c r="K1064" s="837"/>
      <c r="L1064" s="837"/>
      <c r="M1064" s="838"/>
      <c r="N1064" s="872"/>
      <c r="O1064" s="24"/>
      <c r="P1064" s="111"/>
      <c r="Q1064" s="24"/>
      <c r="R1064" s="24"/>
      <c r="S1064" s="24"/>
      <c r="T1064" s="24"/>
      <c r="U1064" s="24"/>
      <c r="V1064" s="24"/>
      <c r="W1064" s="24"/>
      <c r="X1064" s="24"/>
      <c r="Y1064" s="24"/>
      <c r="Z1064" s="24"/>
      <c r="AA1064" s="24"/>
      <c r="AB1064" s="200"/>
    </row>
    <row r="1065" spans="1:28" ht="19.95" customHeight="1">
      <c r="A1065" s="871"/>
      <c r="B1065" s="508"/>
      <c r="C1065" s="24"/>
      <c r="D1065" s="837"/>
      <c r="E1065" s="837"/>
      <c r="F1065" s="837"/>
      <c r="G1065" s="837"/>
      <c r="H1065" s="24"/>
      <c r="I1065" s="24"/>
      <c r="J1065" s="837"/>
      <c r="K1065" s="837"/>
      <c r="L1065" s="837"/>
      <c r="M1065" s="838"/>
      <c r="N1065" s="872"/>
      <c r="O1065" s="24"/>
      <c r="P1065" s="24"/>
      <c r="Q1065" s="111"/>
      <c r="R1065" s="24"/>
      <c r="S1065" s="24"/>
      <c r="T1065" s="24"/>
      <c r="U1065" s="24"/>
      <c r="V1065" s="24"/>
      <c r="W1065" s="24"/>
      <c r="X1065" s="24"/>
      <c r="Y1065" s="24"/>
      <c r="Z1065" s="24"/>
      <c r="AA1065" s="24"/>
      <c r="AB1065" s="200"/>
    </row>
    <row r="1066" spans="1:28" ht="19.95" customHeight="1">
      <c r="A1066" s="871"/>
      <c r="B1066" s="508"/>
      <c r="C1066" s="24"/>
      <c r="D1066" s="837"/>
      <c r="E1066" s="837"/>
      <c r="F1066" s="837"/>
      <c r="G1066" s="837"/>
      <c r="H1066" s="24"/>
      <c r="I1066" s="24"/>
      <c r="J1066" s="837"/>
      <c r="K1066" s="837"/>
      <c r="L1066" s="837"/>
      <c r="M1066" s="838"/>
      <c r="N1066" s="872"/>
      <c r="O1066" s="24"/>
      <c r="P1066" s="24"/>
      <c r="Q1066" s="24"/>
      <c r="R1066" s="24"/>
      <c r="S1066" s="24"/>
      <c r="T1066" s="24"/>
      <c r="U1066" s="24"/>
      <c r="V1066" s="24"/>
      <c r="W1066" s="24"/>
      <c r="X1066" s="24"/>
      <c r="Y1066" s="24"/>
      <c r="Z1066" s="24"/>
      <c r="AA1066" s="24"/>
      <c r="AB1066" s="200"/>
    </row>
    <row r="1067" spans="1:28" ht="19.95" customHeight="1" thickBot="1">
      <c r="A1067" s="871"/>
      <c r="B1067" s="509"/>
      <c r="C1067" s="843"/>
      <c r="D1067" s="839"/>
      <c r="E1067" s="839"/>
      <c r="F1067" s="839"/>
      <c r="G1067" s="839"/>
      <c r="H1067" s="843"/>
      <c r="I1067" s="843"/>
      <c r="J1067" s="839"/>
      <c r="K1067" s="839"/>
      <c r="L1067" s="839"/>
      <c r="M1067" s="840"/>
      <c r="N1067" s="872"/>
      <c r="O1067" s="24"/>
      <c r="P1067" s="24"/>
      <c r="Q1067" s="24"/>
      <c r="R1067" s="24"/>
      <c r="S1067" s="24"/>
      <c r="T1067" s="24"/>
      <c r="U1067" s="24"/>
      <c r="V1067" s="24"/>
      <c r="W1067" s="24"/>
      <c r="X1067" s="24"/>
      <c r="Y1067" s="24"/>
      <c r="Z1067" s="24"/>
      <c r="AA1067" s="24"/>
      <c r="AB1067" s="200"/>
    </row>
    <row r="1068" spans="1:28" ht="19.95" customHeight="1">
      <c r="A1068" s="871"/>
      <c r="B1068" s="24"/>
      <c r="C1068" s="24"/>
      <c r="D1068" s="24"/>
      <c r="E1068" s="24"/>
      <c r="F1068" s="24"/>
      <c r="G1068" s="24"/>
      <c r="H1068" s="24"/>
      <c r="I1068" s="24"/>
      <c r="J1068" s="24"/>
      <c r="K1068" s="24"/>
      <c r="L1068" s="24"/>
      <c r="M1068" s="24"/>
      <c r="N1068" s="872"/>
      <c r="O1068" s="24"/>
      <c r="P1068" s="24"/>
      <c r="Q1068" s="24"/>
      <c r="R1068" s="24"/>
      <c r="S1068" s="24"/>
      <c r="T1068" s="24"/>
      <c r="U1068" s="24"/>
      <c r="V1068" s="24"/>
      <c r="W1068" s="24"/>
      <c r="X1068" s="24"/>
      <c r="Y1068" s="24"/>
      <c r="Z1068" s="24"/>
      <c r="AA1068" s="24"/>
      <c r="AB1068" s="200"/>
    </row>
    <row r="1069" spans="1:28" ht="19.95" customHeight="1">
      <c r="A1069" s="871"/>
      <c r="B1069" s="24"/>
      <c r="C1069" s="24"/>
      <c r="D1069" s="24"/>
      <c r="E1069" s="24"/>
      <c r="F1069" s="24"/>
      <c r="G1069" s="24"/>
      <c r="H1069" s="24"/>
      <c r="I1069" s="24"/>
      <c r="J1069" s="24"/>
      <c r="K1069" s="24"/>
      <c r="L1069" s="24"/>
      <c r="M1069" s="24"/>
      <c r="N1069" s="872"/>
      <c r="O1069" s="24"/>
      <c r="P1069" s="24"/>
      <c r="Q1069" s="24"/>
      <c r="R1069" s="24"/>
      <c r="S1069" s="24"/>
      <c r="T1069" s="24"/>
      <c r="U1069" s="24"/>
      <c r="V1069" s="24"/>
      <c r="W1069" s="24"/>
      <c r="X1069" s="24"/>
      <c r="Y1069" s="24"/>
      <c r="Z1069" s="24"/>
      <c r="AA1069" s="24"/>
      <c r="AB1069" s="200"/>
    </row>
    <row r="1070" spans="1:28" ht="19.95" customHeight="1">
      <c r="A1070" s="871"/>
      <c r="B1070" s="24"/>
      <c r="C1070" s="24"/>
      <c r="D1070" s="24"/>
      <c r="E1070" s="24"/>
      <c r="F1070" s="24"/>
      <c r="G1070" s="24"/>
      <c r="H1070" s="24"/>
      <c r="I1070" s="24"/>
      <c r="J1070" s="24"/>
      <c r="K1070" s="24"/>
      <c r="L1070" s="24"/>
      <c r="M1070" s="24"/>
      <c r="N1070" s="872"/>
      <c r="O1070" s="24"/>
      <c r="P1070" s="24"/>
      <c r="Q1070" s="24"/>
      <c r="R1070" s="24"/>
      <c r="S1070" s="24"/>
      <c r="T1070" s="24"/>
      <c r="U1070" s="24"/>
      <c r="V1070" s="24"/>
      <c r="W1070" s="24"/>
      <c r="X1070" s="24"/>
      <c r="Y1070" s="24"/>
      <c r="Z1070" s="24"/>
      <c r="AA1070" s="24"/>
      <c r="AB1070" s="200"/>
    </row>
    <row r="1071" spans="1:28" ht="19.95" customHeight="1">
      <c r="A1071" s="871"/>
      <c r="B1071" s="496"/>
      <c r="C1071" s="24"/>
      <c r="D1071" s="24"/>
      <c r="E1071" s="24"/>
      <c r="F1071" s="24"/>
      <c r="G1071" s="24"/>
      <c r="H1071" s="24"/>
      <c r="I1071" s="24"/>
      <c r="J1071" s="24"/>
      <c r="K1071" s="24"/>
      <c r="L1071" s="24"/>
      <c r="M1071" s="24"/>
      <c r="N1071" s="872"/>
      <c r="O1071" s="24"/>
      <c r="P1071" s="24"/>
      <c r="Q1071" s="24"/>
      <c r="R1071" s="24"/>
      <c r="S1071" s="24"/>
      <c r="T1071" s="24"/>
      <c r="U1071" s="24"/>
      <c r="V1071" s="24"/>
      <c r="W1071" s="24"/>
      <c r="X1071" s="24"/>
      <c r="Y1071" s="24"/>
      <c r="Z1071" s="24"/>
      <c r="AA1071" s="24"/>
      <c r="AB1071" s="200"/>
    </row>
    <row r="1072" spans="1:28" ht="40.049999999999997" customHeight="1">
      <c r="A1072" s="871"/>
      <c r="B1072" s="1310"/>
      <c r="C1072" s="1311"/>
      <c r="D1072" s="1311"/>
      <c r="E1072" s="1311"/>
      <c r="F1072" s="1311"/>
      <c r="G1072" s="1311"/>
      <c r="H1072" s="1311"/>
      <c r="I1072" s="1311"/>
      <c r="J1072" s="1311"/>
      <c r="K1072" s="1311"/>
      <c r="L1072" s="1311"/>
      <c r="M1072" s="512"/>
      <c r="N1072" s="872"/>
      <c r="O1072" s="24"/>
      <c r="P1072" s="24"/>
      <c r="Q1072" s="24"/>
      <c r="R1072" s="24"/>
      <c r="S1072" s="24"/>
      <c r="T1072" s="24"/>
      <c r="U1072" s="24"/>
      <c r="V1072" s="24"/>
      <c r="W1072" s="24"/>
      <c r="X1072" s="24"/>
      <c r="Y1072" s="24"/>
      <c r="Z1072" s="24"/>
      <c r="AA1072" s="24"/>
      <c r="AB1072" s="200"/>
    </row>
    <row r="1073" spans="1:28" ht="19.95" customHeight="1">
      <c r="A1073" s="871"/>
      <c r="B1073" s="1310"/>
      <c r="C1073" s="1310"/>
      <c r="D1073" s="1310"/>
      <c r="E1073" s="1310"/>
      <c r="F1073" s="1310"/>
      <c r="G1073" s="1310"/>
      <c r="H1073" s="1310"/>
      <c r="I1073" s="1310"/>
      <c r="J1073" s="1310"/>
      <c r="K1073" s="1310"/>
      <c r="L1073" s="1310"/>
      <c r="M1073" s="512"/>
      <c r="N1073" s="872"/>
      <c r="O1073" s="24"/>
      <c r="P1073" s="24"/>
      <c r="Q1073" s="24"/>
      <c r="R1073" s="24"/>
      <c r="S1073" s="24"/>
      <c r="T1073" s="24"/>
      <c r="U1073" s="24"/>
      <c r="V1073" s="24"/>
      <c r="W1073" s="24"/>
      <c r="X1073" s="24"/>
      <c r="Y1073" s="24"/>
      <c r="Z1073" s="24"/>
      <c r="AA1073" s="24"/>
      <c r="AB1073" s="200"/>
    </row>
    <row r="1074" spans="1:28" ht="40.049999999999997" customHeight="1">
      <c r="A1074" s="871"/>
      <c r="B1074" s="870"/>
      <c r="C1074" s="870"/>
      <c r="D1074" s="870"/>
      <c r="E1074" s="870"/>
      <c r="F1074" s="870"/>
      <c r="G1074" s="870"/>
      <c r="H1074" s="870"/>
      <c r="I1074" s="870"/>
      <c r="J1074" s="870"/>
      <c r="K1074" s="870"/>
      <c r="L1074" s="870"/>
      <c r="M1074" s="512"/>
      <c r="N1074" s="872"/>
      <c r="O1074" s="24"/>
      <c r="P1074" s="24"/>
      <c r="Q1074" s="24"/>
      <c r="R1074" s="24"/>
      <c r="S1074" s="24"/>
      <c r="T1074" s="24"/>
      <c r="U1074" s="24"/>
      <c r="V1074" s="24"/>
      <c r="W1074" s="24"/>
      <c r="X1074" s="24"/>
      <c r="Y1074" s="24"/>
      <c r="Z1074" s="24"/>
      <c r="AA1074" s="24"/>
      <c r="AB1074" s="200"/>
    </row>
    <row r="1075" spans="1:28" ht="4.95" customHeight="1">
      <c r="A1075" s="871"/>
      <c r="B1075" s="870"/>
      <c r="C1075" s="870"/>
      <c r="D1075" s="870"/>
      <c r="E1075" s="870"/>
      <c r="F1075" s="870"/>
      <c r="G1075" s="870"/>
      <c r="H1075" s="870"/>
      <c r="I1075" s="870"/>
      <c r="J1075" s="870"/>
      <c r="K1075" s="870"/>
      <c r="L1075" s="870"/>
      <c r="M1075" s="24"/>
      <c r="N1075" s="872"/>
      <c r="O1075" s="24"/>
      <c r="P1075" s="24"/>
      <c r="Q1075" s="24"/>
      <c r="R1075" s="24"/>
      <c r="S1075" s="24"/>
      <c r="T1075" s="24"/>
      <c r="U1075" s="24"/>
      <c r="V1075" s="24"/>
      <c r="W1075" s="24"/>
      <c r="X1075" s="24"/>
      <c r="Y1075" s="24"/>
      <c r="Z1075" s="24"/>
      <c r="AA1075" s="24"/>
      <c r="AB1075" s="200"/>
    </row>
    <row r="1076" spans="1:28">
      <c r="A1076" s="871"/>
      <c r="B1076" s="870"/>
      <c r="C1076" s="870"/>
      <c r="D1076" s="870"/>
      <c r="E1076" s="870"/>
      <c r="F1076" s="870"/>
      <c r="G1076" s="870"/>
      <c r="H1076" s="870"/>
      <c r="I1076" s="870"/>
      <c r="J1076" s="870"/>
      <c r="K1076" s="870"/>
      <c r="L1076" s="870"/>
      <c r="M1076" s="24"/>
      <c r="N1076" s="872"/>
      <c r="O1076" s="24"/>
      <c r="P1076" s="24"/>
      <c r="Q1076" s="24"/>
      <c r="R1076" s="24"/>
      <c r="S1076" s="24"/>
      <c r="T1076" s="24"/>
      <c r="U1076" s="24"/>
      <c r="V1076" s="24"/>
      <c r="W1076" s="24"/>
      <c r="X1076" s="24"/>
      <c r="Y1076" s="24"/>
      <c r="Z1076" s="24"/>
      <c r="AA1076" s="24"/>
      <c r="AB1076" s="200"/>
    </row>
    <row r="1077" spans="1:28">
      <c r="A1077" s="871"/>
      <c r="B1077" s="24"/>
      <c r="C1077" s="24"/>
      <c r="D1077" s="24"/>
      <c r="E1077" s="24"/>
      <c r="F1077" s="24"/>
      <c r="G1077" s="24"/>
      <c r="H1077" s="24"/>
      <c r="I1077" s="24"/>
      <c r="J1077" s="24"/>
      <c r="K1077" s="24"/>
      <c r="L1077" s="24"/>
      <c r="M1077" s="24"/>
      <c r="N1077" s="872"/>
      <c r="O1077" s="24"/>
      <c r="P1077" s="24"/>
      <c r="Q1077" s="24"/>
      <c r="R1077" s="24"/>
      <c r="S1077" s="24"/>
      <c r="T1077" s="24"/>
      <c r="U1077" s="24"/>
      <c r="V1077" s="24"/>
      <c r="W1077" s="24"/>
      <c r="X1077" s="24"/>
      <c r="Y1077" s="24"/>
      <c r="Z1077" s="24"/>
      <c r="AA1077" s="24"/>
      <c r="AB1077" s="200"/>
    </row>
    <row r="1078" spans="1:28" ht="14.4" thickBot="1">
      <c r="A1078" s="873"/>
      <c r="B1078" s="874"/>
      <c r="C1078" s="874"/>
      <c r="D1078" s="874"/>
      <c r="E1078" s="874"/>
      <c r="F1078" s="874"/>
      <c r="G1078" s="874"/>
      <c r="H1078" s="874"/>
      <c r="I1078" s="874"/>
      <c r="J1078" s="874"/>
      <c r="K1078" s="874"/>
      <c r="L1078" s="874"/>
      <c r="M1078" s="874"/>
      <c r="N1078" s="875"/>
      <c r="O1078" s="202"/>
      <c r="P1078" s="202"/>
      <c r="Q1078" s="202"/>
      <c r="R1078" s="202"/>
      <c r="S1078" s="202"/>
      <c r="T1078" s="202"/>
      <c r="U1078" s="202"/>
      <c r="V1078" s="202"/>
      <c r="W1078" s="202"/>
      <c r="X1078" s="202"/>
      <c r="Y1078" s="202"/>
      <c r="Z1078" s="202"/>
      <c r="AA1078" s="202"/>
      <c r="AB1078" s="203"/>
    </row>
    <row r="1079" spans="1:28" ht="14.4" thickTop="1">
      <c r="Q1079" s="511"/>
    </row>
    <row r="1174" spans="2:2" ht="14.4">
      <c r="B1174"/>
    </row>
    <row r="1260" hidden="1"/>
    <row r="1261" hidden="1"/>
    <row r="1262" hidden="1"/>
    <row r="1263" hidden="1"/>
    <row r="1264" hidden="1"/>
    <row r="1265" spans="1:34" hidden="1"/>
    <row r="1266" spans="1:34" hidden="1"/>
    <row r="1267" spans="1:34" hidden="1"/>
    <row r="1268" spans="1:34" hidden="1"/>
    <row r="1269" spans="1:34" ht="16.2" hidden="1">
      <c r="A1269" s="188" t="s">
        <v>1596</v>
      </c>
    </row>
    <row r="1270" spans="1:34" hidden="1">
      <c r="A1270" s="400" t="str">
        <f>IF($H98=$B1276,A1276,IF($H98=$B1277,A1277,IF($H98=$B1278,A1278,IF($H98=$B1279,A1279,IF($H98=$B1280,A1280,IF($H98=$B1281,A1281,IF($H98=$B1282,A1282,IF($H98=$B1283,A1283,IF($H98=$B1284,A1284,IF($H98=$B1285,A1285,IF($H98=$B1286,A1286,IF($H98=$B1287,A1287,IF($H98=$B1288,A1288,IF($H98=$B1289,A1289,IF($H98=$B1290,A1290,IF($H98=$B1291,A1291,IF($H98=$B1292,A1292,IF($H98=$B1293,A1293,""))))))))))))))))))</f>
        <v/>
      </c>
      <c r="B1270" s="2" t="str">
        <f>IF($H98=$B1276,B1276,IF($H98=$B1277,B1277,IF($H98=$B1278,B1278,IF($H98=$B1279,B1279,IF($H98=$B1280,B1280,IF($H98=$B1281,B1281,IF($H98=$B1282,B1282,IF($H98=$B1283,B1283,IF($H98=$B1284,B1284,IF($H98=$B1285,B1285,IF($H98=$B1286,B1286,IF($H98=$B1287,B1287,IF($H98=$B1288,B1288,IF($H98=$B1289,B1289,IF($H98=$B1290,B1290,IF($H98=$B1291,B1291,IF($H98=$B1292,B1292,IF($H98=$B1293,B1293,""))))))))))))))))))</f>
        <v/>
      </c>
      <c r="E1270" s="37" t="str">
        <f>IF(AND(A$1270&lt;-1,A$1270&gt;-10),B$1281,IF(AND(A$1270&gt;1,A$1270&lt;10),B$1288,IF(AND(A$1270&gt;-2,A$1270&lt;2),B$1285,"")))</f>
        <v/>
      </c>
      <c r="G1270" s="2" t="str">
        <f>IF(E1270="",AN91,E1270)</f>
        <v>independent</v>
      </c>
      <c r="I1270" s="313">
        <f>IF(G1270=B$1281,D$1281,IF(G1270=B$1286,D$1286,IF(G1270=B$1288,D$1288,"")))</f>
        <v>0</v>
      </c>
    </row>
    <row r="1271" spans="1:34" ht="16.2" hidden="1">
      <c r="A1271" s="188" t="s">
        <v>2585</v>
      </c>
    </row>
    <row r="1272" spans="1:34" hidden="1">
      <c r="A1272" s="400">
        <f>IF($H113=$B1276,A1276,IF($H113=$B1277,A1277,IF($H113=$B1278,A1278,IF($H113=$B1279,A1279,IF($H113=$B1280,A1280,IF($H113=$B1281,A1281,IF($H113=$B1282,A1282,IF($H113=$B1283,A1283,IF($H113=$B1284,A1284,IF($H113=$B1285,A1285,IF($H113=$B1286,A1286,IF($H113=$B1287,A1287,IF($H113=$B1288,A1288,IF($H113=$B1289,A1289,IF($H113=$B1290,A1290,IF($H113=$B1291,A1291,IF($H113=$B1292,A1292,IF($H113=$B1293,A1293,""))))))))))))))))))</f>
        <v>-3</v>
      </c>
      <c r="B1272" s="2" t="str">
        <f>IF($H113=$B1276,B1276,IF($H113=$B1277,B1277,IF($H113=$B1278,B1278,IF($H113=$B1279,B1279,IF($H113=$B1280,B1280,IF($H113=$B1281,B1281,IF($H113=$B1282,B1282,IF($H113=$B1283,B1283,IF($H113=$B1284,B1284,IF($H113=$B1285,B1287,IF($H113=$B1288,B1288,IF($H113=$B1289,B1289,IF($H113=$B1290,B1290,IF($H113=$B1291,B1291,IF($H113=$B1292,B1292,IF($H113=$B1293,B1293,IF($H113=$B1294,B1294,IF($H113=$B1295,B1295,""))))))))))))))))))</f>
        <v>LIBERAL</v>
      </c>
      <c r="E1272" s="37" t="str">
        <f>IF(AND(A$1272&lt;-1,A$1272&gt;-10),B$1281,IF(AND(A$1272&gt;1,A$1272&lt;10),B$1288,IF(AND(A$1272&gt;-2,A$1272&lt;2),B$1285,"")))</f>
        <v>LIBERAL</v>
      </c>
      <c r="G1272" s="2" t="str">
        <f>IF(E1272="",AN89,E1272)</f>
        <v>LIBERAL</v>
      </c>
      <c r="I1272" s="313" t="str">
        <f>IF(G1272=B$1281,D$1281,IF(G1272=B$1286,D$1286,IF(G1272=B$1288,D$1288,"")))</f>
        <v>liberal</v>
      </c>
    </row>
    <row r="1273" spans="1:34" hidden="1"/>
    <row r="1274" spans="1:34" hidden="1"/>
    <row r="1275" spans="1:34" hidden="1"/>
    <row r="1276" spans="1:34" hidden="1">
      <c r="A1276" s="400">
        <f t="shared" ref="A1276:A1281" si="22">A1277-1</f>
        <v>-8</v>
      </c>
      <c r="B1276" s="401" t="s">
        <v>1354</v>
      </c>
      <c r="H1276" s="2">
        <f t="shared" ref="H1276:H1293" si="23">IF(AND($H$98=B1276,$E$555=$B$1350),1,0)</f>
        <v>0</v>
      </c>
      <c r="I1276" s="2">
        <f t="shared" ref="I1276:I1293" si="24">IF(AND($H$98=B1276,$E$557=$B$1357),1,0)</f>
        <v>0</v>
      </c>
      <c r="J1276" s="37">
        <f>SUM(H1276:I1276)</f>
        <v>0</v>
      </c>
      <c r="AH1276" s="132"/>
    </row>
    <row r="1277" spans="1:34" hidden="1">
      <c r="A1277" s="400">
        <f t="shared" si="22"/>
        <v>-7</v>
      </c>
      <c r="B1277" s="401" t="s">
        <v>1344</v>
      </c>
      <c r="H1277" s="2">
        <f t="shared" si="23"/>
        <v>0</v>
      </c>
      <c r="I1277" s="2">
        <f t="shared" si="24"/>
        <v>0</v>
      </c>
      <c r="J1277" s="37">
        <f t="shared" ref="J1277:J1293" si="25">SUM(H1277:I1277)</f>
        <v>0</v>
      </c>
      <c r="AH1277" s="461"/>
    </row>
    <row r="1278" spans="1:34" hidden="1">
      <c r="A1278" s="400">
        <f t="shared" si="22"/>
        <v>-6</v>
      </c>
      <c r="B1278" s="401" t="s">
        <v>685</v>
      </c>
      <c r="H1278" s="2">
        <f t="shared" si="23"/>
        <v>0</v>
      </c>
      <c r="I1278" s="2">
        <f t="shared" si="24"/>
        <v>0</v>
      </c>
      <c r="J1278" s="37">
        <f t="shared" si="25"/>
        <v>0</v>
      </c>
      <c r="AH1278" s="461"/>
    </row>
    <row r="1279" spans="1:34" hidden="1">
      <c r="A1279" s="400">
        <f t="shared" si="22"/>
        <v>-5</v>
      </c>
      <c r="B1279" s="401" t="s">
        <v>1348</v>
      </c>
      <c r="H1279" s="2">
        <f t="shared" si="23"/>
        <v>0</v>
      </c>
      <c r="I1279" s="2">
        <f t="shared" si="24"/>
        <v>0</v>
      </c>
      <c r="J1279" s="37">
        <f t="shared" si="25"/>
        <v>0</v>
      </c>
      <c r="AH1279" s="461"/>
    </row>
    <row r="1280" spans="1:34" hidden="1">
      <c r="A1280" s="400">
        <f t="shared" si="22"/>
        <v>-4</v>
      </c>
      <c r="B1280" s="401" t="s">
        <v>1338</v>
      </c>
      <c r="D1280" s="2" t="s">
        <v>1339</v>
      </c>
      <c r="F1280" s="2" t="s">
        <v>1340</v>
      </c>
      <c r="H1280" s="2">
        <f t="shared" si="23"/>
        <v>0</v>
      </c>
      <c r="I1280" s="2">
        <f t="shared" si="24"/>
        <v>0</v>
      </c>
      <c r="J1280" s="37">
        <f t="shared" si="25"/>
        <v>0</v>
      </c>
      <c r="AH1280" s="461"/>
    </row>
    <row r="1281" spans="1:39" hidden="1">
      <c r="A1281" s="400">
        <f t="shared" si="22"/>
        <v>-3</v>
      </c>
      <c r="B1281" s="403" t="s">
        <v>1342</v>
      </c>
      <c r="D1281" s="37" t="s">
        <v>49</v>
      </c>
      <c r="H1281" s="2">
        <f t="shared" si="23"/>
        <v>0</v>
      </c>
      <c r="I1281" s="2">
        <f t="shared" si="24"/>
        <v>0</v>
      </c>
      <c r="J1281" s="37">
        <f t="shared" si="25"/>
        <v>0</v>
      </c>
      <c r="AH1281" s="461"/>
    </row>
    <row r="1282" spans="1:39" hidden="1">
      <c r="A1282" s="400">
        <f>A1283-1</f>
        <v>-2</v>
      </c>
      <c r="B1282" s="401" t="s">
        <v>680</v>
      </c>
      <c r="H1282" s="2">
        <f t="shared" si="23"/>
        <v>0</v>
      </c>
      <c r="I1282" s="2">
        <f t="shared" si="24"/>
        <v>0</v>
      </c>
      <c r="J1282" s="37">
        <f t="shared" si="25"/>
        <v>0</v>
      </c>
      <c r="AH1282" s="461"/>
    </row>
    <row r="1283" spans="1:39" hidden="1">
      <c r="A1283" s="400">
        <v>-1</v>
      </c>
      <c r="B1283" s="132" t="s">
        <v>1349</v>
      </c>
      <c r="H1283" s="2">
        <f t="shared" si="23"/>
        <v>0</v>
      </c>
      <c r="I1283" s="2">
        <f t="shared" si="24"/>
        <v>0</v>
      </c>
      <c r="J1283" s="37">
        <f t="shared" si="25"/>
        <v>0</v>
      </c>
      <c r="AH1283" s="461"/>
    </row>
    <row r="1284" spans="1:39" hidden="1">
      <c r="A1284" s="400">
        <v>0</v>
      </c>
      <c r="B1284" s="132" t="s">
        <v>1351</v>
      </c>
      <c r="H1284" s="2">
        <f t="shared" si="23"/>
        <v>0</v>
      </c>
      <c r="I1284" s="2">
        <f t="shared" si="24"/>
        <v>0</v>
      </c>
      <c r="J1284" s="37">
        <f t="shared" si="25"/>
        <v>0</v>
      </c>
    </row>
    <row r="1285" spans="1:39" hidden="1">
      <c r="A1285" s="400">
        <v>0</v>
      </c>
      <c r="B1285" s="132" t="s">
        <v>1352</v>
      </c>
      <c r="H1285" s="2">
        <f t="shared" si="23"/>
        <v>0</v>
      </c>
      <c r="I1285" s="2">
        <f t="shared" si="24"/>
        <v>0</v>
      </c>
      <c r="J1285" s="37">
        <f t="shared" si="25"/>
        <v>0</v>
      </c>
    </row>
    <row r="1286" spans="1:39" hidden="1">
      <c r="A1286" s="400">
        <f>A1285+1</f>
        <v>1</v>
      </c>
      <c r="B1286" s="132" t="s">
        <v>1350</v>
      </c>
      <c r="H1286" s="2">
        <f t="shared" si="23"/>
        <v>0</v>
      </c>
      <c r="I1286" s="2">
        <f t="shared" si="24"/>
        <v>0</v>
      </c>
      <c r="J1286" s="37">
        <f t="shared" si="25"/>
        <v>0</v>
      </c>
    </row>
    <row r="1287" spans="1:39" hidden="1">
      <c r="A1287" s="400">
        <f t="shared" ref="A1287:A1293" si="26">A1286+1</f>
        <v>2</v>
      </c>
      <c r="B1287" s="402" t="s">
        <v>681</v>
      </c>
      <c r="H1287" s="2">
        <f t="shared" si="23"/>
        <v>0</v>
      </c>
      <c r="I1287" s="2">
        <f t="shared" si="24"/>
        <v>0</v>
      </c>
      <c r="J1287" s="37">
        <f t="shared" si="25"/>
        <v>0</v>
      </c>
    </row>
    <row r="1288" spans="1:39" hidden="1">
      <c r="A1288" s="400">
        <f t="shared" si="26"/>
        <v>3</v>
      </c>
      <c r="B1288" s="404" t="s">
        <v>1357</v>
      </c>
      <c r="D1288" s="37" t="s">
        <v>50</v>
      </c>
      <c r="H1288" s="2">
        <f t="shared" si="23"/>
        <v>0</v>
      </c>
      <c r="I1288" s="2">
        <f t="shared" si="24"/>
        <v>0</v>
      </c>
      <c r="J1288" s="37">
        <f t="shared" si="25"/>
        <v>0</v>
      </c>
    </row>
    <row r="1289" spans="1:39" hidden="1">
      <c r="A1289" s="400">
        <f t="shared" si="26"/>
        <v>4</v>
      </c>
      <c r="B1289" s="402" t="s">
        <v>1353</v>
      </c>
      <c r="D1289" s="2" t="s">
        <v>1341</v>
      </c>
      <c r="H1289" s="2">
        <f t="shared" si="23"/>
        <v>0</v>
      </c>
      <c r="I1289" s="2">
        <f t="shared" si="24"/>
        <v>0</v>
      </c>
      <c r="J1289" s="37">
        <f t="shared" si="25"/>
        <v>0</v>
      </c>
    </row>
    <row r="1290" spans="1:39" hidden="1">
      <c r="A1290" s="400">
        <f t="shared" si="26"/>
        <v>5</v>
      </c>
      <c r="B1290" s="402" t="s">
        <v>1345</v>
      </c>
      <c r="H1290" s="2">
        <f t="shared" si="23"/>
        <v>0</v>
      </c>
      <c r="I1290" s="2">
        <f t="shared" si="24"/>
        <v>0</v>
      </c>
      <c r="J1290" s="37">
        <f t="shared" si="25"/>
        <v>0</v>
      </c>
    </row>
    <row r="1291" spans="1:39" hidden="1">
      <c r="A1291" s="400">
        <f t="shared" si="26"/>
        <v>6</v>
      </c>
      <c r="B1291" s="402" t="s">
        <v>1343</v>
      </c>
      <c r="H1291" s="2">
        <f t="shared" si="23"/>
        <v>0</v>
      </c>
      <c r="I1291" s="2">
        <f t="shared" si="24"/>
        <v>0</v>
      </c>
      <c r="J1291" s="37">
        <f t="shared" si="25"/>
        <v>0</v>
      </c>
    </row>
    <row r="1292" spans="1:39" hidden="1">
      <c r="A1292" s="400">
        <f t="shared" si="26"/>
        <v>7</v>
      </c>
      <c r="B1292" s="402" t="s">
        <v>1346</v>
      </c>
      <c r="H1292" s="2">
        <f t="shared" si="23"/>
        <v>0</v>
      </c>
      <c r="I1292" s="2">
        <f t="shared" si="24"/>
        <v>0</v>
      </c>
      <c r="J1292" s="37">
        <f t="shared" si="25"/>
        <v>0</v>
      </c>
    </row>
    <row r="1293" spans="1:39" hidden="1">
      <c r="A1293" s="400">
        <f t="shared" si="26"/>
        <v>8</v>
      </c>
      <c r="B1293" s="402" t="s">
        <v>1347</v>
      </c>
      <c r="H1293" s="2">
        <f t="shared" si="23"/>
        <v>0</v>
      </c>
      <c r="I1293" s="2">
        <f t="shared" si="24"/>
        <v>0</v>
      </c>
      <c r="J1293" s="37">
        <f t="shared" si="25"/>
        <v>0</v>
      </c>
      <c r="AJ1293" s="441" t="s">
        <v>1478</v>
      </c>
      <c r="AK1293" s="433"/>
      <c r="AL1293" s="433"/>
      <c r="AM1293" s="433"/>
    </row>
    <row r="1294" spans="1:39" ht="16.2" hidden="1">
      <c r="J1294" s="418">
        <f>SUM(J1276:J1293)</f>
        <v>0</v>
      </c>
      <c r="K1294" s="2" t="str">
        <f>IF(J1294&gt;1,P1295,P1296)</f>
        <v>The more your client's needs can resolve, the less prone to generalize for relief. The less attached they are to political generalizations.</v>
      </c>
      <c r="AJ1294" s="441" t="s">
        <v>1477</v>
      </c>
      <c r="AK1294" s="433"/>
      <c r="AL1294" s="433"/>
      <c r="AM1294" s="433"/>
    </row>
    <row r="1295" spans="1:39" hidden="1">
      <c r="P1295" s="2" t="s">
        <v>1423</v>
      </c>
      <c r="AJ1295" s="454" t="s">
        <v>1515</v>
      </c>
      <c r="AK1295" s="454" t="s">
        <v>1516</v>
      </c>
      <c r="AL1295" s="454" t="s">
        <v>1517</v>
      </c>
      <c r="AM1295" s="454" t="s">
        <v>1518</v>
      </c>
    </row>
    <row r="1296" spans="1:39" ht="15.6" hidden="1">
      <c r="B1296" s="407" t="str">
        <f>IF(OR(AND($A$1270&gt;0,$A$1272&lt;0),AND($A$1270&lt;0,$A$1272&gt;0)),"opposing","similar")</f>
        <v>opposing</v>
      </c>
      <c r="P1296" s="2" t="s">
        <v>1424</v>
      </c>
      <c r="AJ1296" s="455" t="str">
        <f>IF($E$1270=$B$1281,AJ1300,IF($E$1270=$B$1288,AK1300,"unmet needs"))</f>
        <v>unmet needs</v>
      </c>
      <c r="AK1296" s="455" t="str">
        <f>IF($E$1270=$B$1281,AK1300,IF($E$1270=$B$1288,AJ1300,"their unmet needs"))</f>
        <v>their unmet needs</v>
      </c>
      <c r="AL1296" s="455" t="str">
        <f>IF($E$1270=$B$1281,AL1300,IF($E$1270=$B$1288,AM1300,"met needs"))</f>
        <v>met needs</v>
      </c>
      <c r="AM1296" s="455" t="str">
        <f>IF($E$1270=$B$1281,AM1300,IF($E$1270=$B$1288,AL1300,"met needs"))</f>
        <v>met needs</v>
      </c>
    </row>
    <row r="1297" spans="1:44" ht="15.6" hidden="1">
      <c r="B1297" s="408"/>
      <c r="D1297" s="419" t="s">
        <v>1370</v>
      </c>
      <c r="X1297" s="2" t="s">
        <v>1462</v>
      </c>
      <c r="AJ1297" s="440" t="s">
        <v>1474</v>
      </c>
    </row>
    <row r="1298" spans="1:44" hidden="1">
      <c r="F1298" s="700"/>
      <c r="G1298" s="701" t="s">
        <v>2587</v>
      </c>
      <c r="H1298" s="700" t="str">
        <f>IF($E$1270=$B$1281,H$1300,IF($E$1270=$B$1288,I$1300,"one side"))</f>
        <v>one side</v>
      </c>
      <c r="I1298" s="702" t="str">
        <f>IF($E$1270=$B$1281,I$1300,IF($E$1270=$B$1288,H$1300,"the other"))</f>
        <v>the other</v>
      </c>
      <c r="J1298" s="700"/>
      <c r="K1298" s="701" t="s">
        <v>2588</v>
      </c>
      <c r="L1298" s="700" t="str">
        <f>IF($E$1270=$B$1281,L$1300,IF($E$1270=$B$1288,M$1300,"one's focus"))</f>
        <v>one's focus</v>
      </c>
      <c r="M1298" s="702" t="str">
        <f>IF($E$1270=$B$1281,M$1300,IF($E$1270=$B$1288,L$1300,"the other's focus"))</f>
        <v>the other's focus</v>
      </c>
      <c r="N1298" s="700"/>
      <c r="O1298" s="700"/>
      <c r="P1298" s="700" t="str">
        <f>IF($E$1270=$B$1281,P$1300,IF($E$1270=$B$1288,Q$1300,"one group"))</f>
        <v>one group</v>
      </c>
      <c r="Q1298" s="702" t="str">
        <f>IF($E$1270=$B$1281,Q$1300,IF($E$1270=$B$1288,P$1300,"another group"))</f>
        <v>another group</v>
      </c>
      <c r="R1298" s="700" t="str">
        <f>IF($E$1270=$B$1281,R$1300,IF($E$1270=$B$1288,S$1300,"relieve their pain"))</f>
        <v>relieve their pain</v>
      </c>
      <c r="S1298" s="702" t="str">
        <f>IF($E$1270=$B$1281,S$1300,IF($E$1270=$B$1288,R$1300,"do the opposite"))</f>
        <v>do the opposite</v>
      </c>
      <c r="T1298" s="700" t="str">
        <f>IF($E$1270=$B$1281,T$1300,IF($E$1270=$B$1288,U$1300,"both sides exaggerate"))</f>
        <v>both sides exaggerate</v>
      </c>
      <c r="U1298" s="702" t="str">
        <f>IF($E$1270=$B$1281,U$1300,IF($E$1270=$B$1288,T$1300,"they are right"))</f>
        <v>they are right</v>
      </c>
      <c r="V1298" s="700" t="str">
        <f>IF($E$1270=$B$1281,V$1300,IF($E$1270=$B$1288,W$1300,"overgeneralize too much"))</f>
        <v>overgeneralize too much</v>
      </c>
      <c r="W1298" s="702" t="str">
        <f>IF($E$1270=$B$1281,W$1300,IF($E$1270=$B$1288,V$1300,"others are wrong"))</f>
        <v>others are wrong</v>
      </c>
      <c r="X1298" s="700" t="str">
        <f>IF($E$1270=$B$1281,X$1300,IF($E$1270=$B$1288,Y$1300,"disgust"))</f>
        <v>disgust</v>
      </c>
      <c r="Y1298" s="702" t="str">
        <f>IF($E$1270=$B$1281,Y$1300,IF($E$1270=$B$1288,X$1300,"&amp;@&amp;"))</f>
        <v>&amp;@&amp;</v>
      </c>
      <c r="Z1298" s="700" t="str">
        <f>IF($E$1270=$B$1281,Z$1300,IF($E$1270=$B$1288,AA$1300,"disappointment"))</f>
        <v>disappointment</v>
      </c>
      <c r="AA1298" s="702" t="str">
        <f>IF($E$1270=$B$1281,AA$1300,IF($E$1270=$B$1288,Z$1300,"!#!"))</f>
        <v>!#!</v>
      </c>
      <c r="AC1298" s="132"/>
      <c r="AD1298" s="132"/>
      <c r="AE1298" s="132"/>
      <c r="AF1298" s="700" t="str">
        <f>IF($E$1270=$B$1281,AF$1300,IF($E$1270=$B$1288,AG$1300,"ideologues"))</f>
        <v>ideologues</v>
      </c>
      <c r="AG1298" s="702" t="str">
        <f>IF($E$1270=$B$1281,AG$1300,IF($E$1270=$B$1288,AF$1300,"appeasers"))</f>
        <v>appeasers</v>
      </c>
      <c r="AH1298" s="700" t="str">
        <f>IF($E$1270=$B$1281,AH$1300,IF($E$1270=$B$1288,AI$1300,"for peace"))</f>
        <v>for peace</v>
      </c>
      <c r="AI1298" s="702" t="str">
        <f>IF($E$1270=$B$1281,AI$1300,IF($E$1270=$B$1288,AH$1300,"to fight"))</f>
        <v>to fight</v>
      </c>
      <c r="AJ1298" s="700" t="str">
        <f>IF($E$1270=$B$1281,AJ$1300,IF($E$1270=$B$1288,AK$1300,"unity"))</f>
        <v>unity</v>
      </c>
      <c r="AK1298" s="702" t="str">
        <f>IF($E$1270=$B$1281,AK$1300,IF($E$1270=$B$1288,AJ$1300,"arguing"))</f>
        <v>arguing</v>
      </c>
      <c r="AL1298" s="700" t="str">
        <f>IF($E$1270=$B$1281,AL$1300,IF($E$1270=$B$1288,AM$1300,"cooperation"))</f>
        <v>cooperation</v>
      </c>
      <c r="AM1298" s="702" t="str">
        <f>IF($E$1270=$B$1281,AM$1300,IF($E$1270=$B$1288,AL$1300,"debating"))</f>
        <v>debating</v>
      </c>
      <c r="AN1298" s="700" t="str">
        <f>IF($E$1270=$B$1281,AN$1300,IF($E$1270=$B$1288,AO$1300,"just get along"))</f>
        <v>just get along</v>
      </c>
      <c r="AO1298" s="702" t="str">
        <f>IF($E$1270=$B$1281,AO$1300,IF($E$1270=$B$1288,AN$1300,"take a side"))</f>
        <v>take a side</v>
      </c>
      <c r="AP1298" s="700" t="str">
        <f>IF($E$1270=$B$1281,AP$1300,IF($E$1270=$B$1288,AQ$1300,"clashing needs"))</f>
        <v>clashing needs</v>
      </c>
      <c r="AQ1298" s="702" t="str">
        <f>IF($E$1270=$B$1281,AQ$1300,IF($E$1270=$B$1288,AP$1300,"the need for peace"))</f>
        <v>the need for peace</v>
      </c>
      <c r="AR1298" s="700"/>
    </row>
    <row r="1299" spans="1:44" hidden="1">
      <c r="F1299" s="461"/>
      <c r="G1299" s="462" t="s">
        <v>2586</v>
      </c>
      <c r="H1299" s="461" t="str">
        <f>IF($E$1272=$B$1281,H$1300,IF($E$1272=$B$1288,I$1300,"one side"))</f>
        <v/>
      </c>
      <c r="I1299" s="464" t="str">
        <f>IF($E$1272=$B$1281,I$1300,IF($E$1272=$B$1288,H$1300,"the other"))</f>
        <v/>
      </c>
      <c r="J1299" s="461" t="str">
        <f>IF($E$1272=$B$1281,J$1300,IF($E$1272=$B$1288,K$1300,""))</f>
        <v/>
      </c>
      <c r="K1299" s="464" t="str">
        <f>IF($E$1272=$B$1281,K$1300,IF($E$1272=$B$1288,J$1300,""))</f>
        <v/>
      </c>
      <c r="L1299" s="461" t="str">
        <f>IF($E$1272=$B$1281,L$1300,IF($E$1272=$B$1288,M$1300,""))</f>
        <v/>
      </c>
      <c r="M1299" s="464" t="str">
        <f>IF($E$1272=$B$1281,M$1300,IF($E$1272=$B$1288,L$1300,""))</f>
        <v/>
      </c>
      <c r="N1299" s="461"/>
      <c r="O1299" s="461"/>
      <c r="P1299" s="461" t="str">
        <f>IF($E$1272=$B$1281,P$1300,IF($E$1272=$B$1288,Q$1300,""))</f>
        <v/>
      </c>
      <c r="Q1299" s="464" t="str">
        <f>IF($E$1272=$B$1281,Q$1300,IF($E$1272=$B$1288,P$1300,""))</f>
        <v/>
      </c>
      <c r="R1299" s="461" t="str">
        <f>IF($E$1272=$B$1281,R$1300,IF($E$1272=$B$1288,S$1300,""))</f>
        <v/>
      </c>
      <c r="S1299" s="464" t="str">
        <f>IF($E$1272=$B$1281,S$1300,IF($E$1272=$B$1288,R$1300,""))</f>
        <v/>
      </c>
      <c r="T1299" s="461" t="str">
        <f>IF($E$1272=$B$1281,T$1300,IF($E$1272=$B$1288,U$1300,""))</f>
        <v/>
      </c>
      <c r="U1299" s="464" t="str">
        <f>IF($E$1272=$B$1281,U$1300,IF($E$1272=$B$1288,T$1300,""))</f>
        <v/>
      </c>
      <c r="V1299" s="461" t="str">
        <f>IF($E$1272=$B$1281,V$1300,IF($E$1272=$B$1288,W$1300,""))</f>
        <v/>
      </c>
      <c r="W1299" s="464" t="str">
        <f>IF($E$1272=$B$1281,W$1300,IF($E$1272=$B$1288,V$1300,""))</f>
        <v/>
      </c>
      <c r="X1299" s="461" t="str">
        <f>IF($E$1272=$B$1281,X$1300,IF($E$1272=$B$1288,Y$1300,""))</f>
        <v/>
      </c>
      <c r="Y1299" s="464" t="str">
        <f>IF($E$1272=$B$1281,Y$1300,IF($E$1272=$B$1288,X$1300,""))</f>
        <v/>
      </c>
      <c r="Z1299" s="461" t="str">
        <f>IF($E$1272=$B$1281,Z$1300,IF($E$1272=$B$1288,AA$1300,""))</f>
        <v/>
      </c>
      <c r="AA1299" s="464" t="str">
        <f>IF($E$1272=$B$1281,AA$1300,IF($E$1272=$B$1288,Z$1300,""))</f>
        <v/>
      </c>
      <c r="AC1299" s="461"/>
      <c r="AD1299" s="461"/>
      <c r="AE1299" s="461"/>
      <c r="AF1299" s="461" t="str">
        <f>IF($E$1272=$B$1281,AF$1300,IF($E$1272=$B$1288,AG$1300,""))</f>
        <v/>
      </c>
      <c r="AG1299" s="464" t="str">
        <f>IF($E$1272=$B$1281,AG$1300,IF($E$1272=$B$1288,AF$1300,""))</f>
        <v/>
      </c>
      <c r="AH1299" s="461" t="str">
        <f>IF($E$1272=$B$1281,AH$1300,IF($E$1272=$B$1288,AI$1300,""))</f>
        <v/>
      </c>
      <c r="AI1299" s="464" t="str">
        <f>IF($E$1272=$B$1281,AI$1300,IF($E$1272=$B$1288,AH$1300,""))</f>
        <v/>
      </c>
      <c r="AJ1299" s="461" t="str">
        <f>IF($E$1272=$B$1281,AJ$1300,IF($E$1272=$B$1288,AK$1300,"[a]"))</f>
        <v/>
      </c>
      <c r="AK1299" s="464" t="str">
        <f>IF($E$1272=$B$1281,AK$1300,IF($E$1272=$B$1288,AJ$1300,"[b]"))</f>
        <v/>
      </c>
      <c r="AL1299" s="461" t="str">
        <f>IF($E$1272=$B$1281,AL$1300,IF($E$1272=$B$1288,AM$1300,"[c]"))</f>
        <v/>
      </c>
      <c r="AM1299" s="464" t="str">
        <f>IF($E$1272=$B$1281,AM$1300,IF($E$1272=$B$1288,AL$1300,"[d]"))</f>
        <v/>
      </c>
      <c r="AN1299" s="461" t="str">
        <f>IF($E$1272=$B$1281,AN$1300,IF($E$1272=$B$1288,AO$1300,"w overgen"))</f>
        <v/>
      </c>
      <c r="AO1299" s="464" t="str">
        <f>IF($E$1272=$B$1281,AO$1300,IF($E$1272=$B$1288,AN$1300,"d overgen"))</f>
        <v/>
      </c>
      <c r="AP1299" s="461" t="str">
        <f>IF($E$1272=$B$1281,AP$1300,IF($E$1272=$B$1288,AQ$1300,"w degen"))</f>
        <v/>
      </c>
      <c r="AQ1299" s="464" t="str">
        <f>IF($E$1272=$B$1281,AQ$1300,IF($E$1272=$B$1288,AP$1300,"d degen"))</f>
        <v/>
      </c>
      <c r="AR1299" s="461"/>
    </row>
    <row r="1300" spans="1:44" hidden="1">
      <c r="B1300" s="414" t="str">
        <f>IF($H$115=$B1303,B1303,IF($H$115=$B1304,B1304,IF($H$115=$B1305,B1305,IF(H115=$B1306,B1306,IF($H$115=$B1307,B1307,IF($H$115=$B1308,B1308,IF($H$115=$B1309,B1309,IF($H$115=$B1310,B1310,IF($H$115=$B1311,B1311,IF($H$115=$B1312,B1312,IF($H$115=$B1313,B1313,IF($H$115=$B1314,B1314,""))))))))))))</f>
        <v/>
      </c>
      <c r="C1300" s="414" t="str">
        <f>IF($H$115=$B1303,C1303,IF($H$115=$B1304,C1304,IF($H$115=$B1305,C1305,IF($H$115=$B1306,C1306,IF($H$115=$B1307,C1307,IF($H$115=$B1308,C1308,IF($H$115=$B1309,C1309,IF($H$115=$B1310,C1310,IF($H$115=$B1311,C1311,IF($H$115=$B1312,C1312,IF($H$115=$B1313,C1313,IF($H$115=$B1314,C1314,""))))))))))))</f>
        <v/>
      </c>
      <c r="D1300" s="414" t="str">
        <f>IF($H$115=$B1303,D1303,IF($H$115=$B1304,D1304,IF($H$115=$B1305,D1305,IF($H$115=$B1306,D1306,IF($H$115=$B1307,D1307,IF($H$115=$B1308,D1308,IF($H$115=$B1309,D1309,IF($H$115=$B1310,D1310,IF($H$115=$B1311,D1311,IF($H$115=$B1312,D1312,IF($H$115=$B1313,D1313,IF($H$115=$B1314,D1314,""))))))))))))</f>
        <v/>
      </c>
      <c r="E1300" s="414"/>
      <c r="F1300" s="403" t="str">
        <f t="shared" ref="F1300:M1300" si="27">IF($H$115=$B1303,F1303,IF($H$115=$B1304,F1304,IF($H$115=$B1305,F1305,IF($H$115=$B1306,F1306,IF($H$115=$B1307,F1307,IF($H$115=$B1308,F1308,IF($H$115=$B1309,F1309,IF($H$115=$B1310,F1310,IF($H$115=$B1311,F1311,IF($H$115=$B1312,F1312,IF($H$115=$B1313,F1313,IF($H$115=$B1314,F1314,""))))))))))))</f>
        <v/>
      </c>
      <c r="G1300" s="415" t="str">
        <f t="shared" si="27"/>
        <v/>
      </c>
      <c r="H1300" s="403" t="str">
        <f t="shared" si="27"/>
        <v/>
      </c>
      <c r="I1300" s="415" t="str">
        <f t="shared" si="27"/>
        <v/>
      </c>
      <c r="J1300" s="403" t="str">
        <f t="shared" si="27"/>
        <v/>
      </c>
      <c r="K1300" s="415" t="str">
        <f t="shared" si="27"/>
        <v/>
      </c>
      <c r="L1300" s="403" t="str">
        <f t="shared" si="27"/>
        <v/>
      </c>
      <c r="M1300" s="415" t="str">
        <f t="shared" si="27"/>
        <v/>
      </c>
      <c r="N1300" s="414"/>
      <c r="O1300" s="414"/>
      <c r="P1300" s="403" t="str">
        <f t="shared" ref="P1300:AA1300" si="28">IF($H$115=$B1303,P1303,IF($H$115=$B1304,P1304,IF($H$115=$B1305,P1305,IF($H$115=$B1306,P1306,IF($H$115=$B1307,P1307,IF($H$115=$B1308,P1308,IF($H$115=$B1309,P1309,IF($H$115=$B1310,P1310,IF($H$115=$B1311,P1311,IF($H$115=$B1312,P1312,IF($H$115=$B1313,P1313,IF($H$115=$B1314,P1314,""))))))))))))</f>
        <v/>
      </c>
      <c r="Q1300" s="415" t="str">
        <f t="shared" si="28"/>
        <v/>
      </c>
      <c r="R1300" s="403" t="str">
        <f t="shared" si="28"/>
        <v/>
      </c>
      <c r="S1300" s="415" t="str">
        <f t="shared" si="28"/>
        <v/>
      </c>
      <c r="T1300" s="403" t="str">
        <f t="shared" si="28"/>
        <v/>
      </c>
      <c r="U1300" s="415" t="str">
        <f t="shared" si="28"/>
        <v/>
      </c>
      <c r="V1300" s="403" t="str">
        <f t="shared" si="28"/>
        <v/>
      </c>
      <c r="W1300" s="415" t="str">
        <f t="shared" si="28"/>
        <v/>
      </c>
      <c r="X1300" s="403" t="str">
        <f t="shared" si="28"/>
        <v/>
      </c>
      <c r="Y1300" s="415" t="str">
        <f t="shared" si="28"/>
        <v/>
      </c>
      <c r="Z1300" s="403" t="str">
        <f t="shared" si="28"/>
        <v/>
      </c>
      <c r="AA1300" s="415" t="str">
        <f t="shared" si="28"/>
        <v/>
      </c>
      <c r="AC1300" s="414"/>
      <c r="AD1300" s="403" t="str">
        <f t="shared" ref="AD1300:AQ1300" si="29">IF($H$115=$B1303,AD1303,IF($H$115=$B1304,AD1304,IF($H$115=$B1305,AD1305,IF($H$115=$B1306,AD1306,IF($H$115=$B1307,AD1307,IF($H$115=$B1308,AD1308,IF($H$115=$B1309,AD1309,IF($H$115=$B1310,AD1310,IF($H$115=$B1311,AD1311,IF($H$115=$B1312,AD1312,IF($H$115=$B1313,AD1313,IF($H$115=$B1314,AD1314,""))))))))))))</f>
        <v/>
      </c>
      <c r="AE1300" s="415" t="str">
        <f t="shared" si="29"/>
        <v/>
      </c>
      <c r="AF1300" s="403" t="str">
        <f t="shared" si="29"/>
        <v/>
      </c>
      <c r="AG1300" s="415" t="str">
        <f t="shared" si="29"/>
        <v/>
      </c>
      <c r="AH1300" s="456" t="str">
        <f t="shared" si="29"/>
        <v/>
      </c>
      <c r="AI1300" s="457" t="str">
        <f t="shared" si="29"/>
        <v/>
      </c>
      <c r="AJ1300" s="403" t="str">
        <f t="shared" si="29"/>
        <v/>
      </c>
      <c r="AK1300" s="415" t="str">
        <f t="shared" si="29"/>
        <v/>
      </c>
      <c r="AL1300" s="403" t="str">
        <f t="shared" si="29"/>
        <v/>
      </c>
      <c r="AM1300" s="415" t="str">
        <f t="shared" si="29"/>
        <v/>
      </c>
      <c r="AN1300" s="403" t="str">
        <f t="shared" si="29"/>
        <v/>
      </c>
      <c r="AO1300" s="415" t="str">
        <f t="shared" si="29"/>
        <v/>
      </c>
      <c r="AP1300" s="403" t="str">
        <f t="shared" si="29"/>
        <v/>
      </c>
      <c r="AQ1300" s="415" t="str">
        <f t="shared" si="29"/>
        <v/>
      </c>
    </row>
    <row r="1301" spans="1:44" hidden="1">
      <c r="R1301" s="2" t="s">
        <v>1313</v>
      </c>
      <c r="T1301" s="2" t="s">
        <v>1511</v>
      </c>
      <c r="X1301" s="2" t="s">
        <v>1461</v>
      </c>
      <c r="AF1301" s="47" t="s">
        <v>1456</v>
      </c>
      <c r="AN1301" s="194" t="s">
        <v>1575</v>
      </c>
      <c r="AP1301" s="194" t="s">
        <v>1510</v>
      </c>
    </row>
    <row r="1302" spans="1:44" ht="14.4" hidden="1" thickBot="1">
      <c r="B1302" s="411" t="s">
        <v>1283</v>
      </c>
      <c r="C1302" s="411"/>
      <c r="D1302" s="411"/>
      <c r="E1302" s="411"/>
      <c r="F1302" s="411" t="s">
        <v>1299</v>
      </c>
      <c r="G1302" s="411" t="s">
        <v>1300</v>
      </c>
      <c r="H1302" s="411"/>
      <c r="I1302" s="411"/>
      <c r="J1302" s="420" t="s">
        <v>1331</v>
      </c>
      <c r="K1302" s="420" t="s">
        <v>1332</v>
      </c>
      <c r="L1302" s="411" t="s">
        <v>1311</v>
      </c>
      <c r="M1302" s="411" t="s">
        <v>1312</v>
      </c>
      <c r="N1302" s="411"/>
      <c r="O1302" s="412"/>
      <c r="P1302" s="411" t="s">
        <v>1309</v>
      </c>
      <c r="Q1302" s="411" t="s">
        <v>1310</v>
      </c>
      <c r="R1302" s="411" t="s">
        <v>1314</v>
      </c>
      <c r="S1302" s="411" t="s">
        <v>1468</v>
      </c>
      <c r="T1302" s="420" t="s">
        <v>1331</v>
      </c>
      <c r="U1302" s="420" t="s">
        <v>1332</v>
      </c>
      <c r="V1302" s="420" t="s">
        <v>1333</v>
      </c>
      <c r="W1302" s="420" t="s">
        <v>1334</v>
      </c>
      <c r="X1302" s="411" t="s">
        <v>1367</v>
      </c>
      <c r="Y1302" s="411" t="s">
        <v>1465</v>
      </c>
      <c r="Z1302" s="411" t="s">
        <v>1366</v>
      </c>
      <c r="AA1302" s="411" t="s">
        <v>1466</v>
      </c>
      <c r="AD1302" s="420" t="s">
        <v>1364</v>
      </c>
      <c r="AE1302" s="420" t="s">
        <v>1365</v>
      </c>
      <c r="AF1302" s="413" t="s">
        <v>1390</v>
      </c>
      <c r="AG1302" s="413" t="s">
        <v>1391</v>
      </c>
      <c r="AH1302" s="411" t="s">
        <v>1464</v>
      </c>
      <c r="AI1302" s="411" t="s">
        <v>1467</v>
      </c>
      <c r="AJ1302" s="432" t="s">
        <v>1469</v>
      </c>
      <c r="AK1302" s="432" t="s">
        <v>1470</v>
      </c>
      <c r="AL1302" s="432" t="s">
        <v>1471</v>
      </c>
      <c r="AM1302" s="432" t="s">
        <v>1472</v>
      </c>
      <c r="AN1302" s="411" t="s">
        <v>1499</v>
      </c>
      <c r="AO1302" s="411" t="s">
        <v>1500</v>
      </c>
      <c r="AP1302" s="411" t="s">
        <v>1501</v>
      </c>
      <c r="AQ1302" s="411" t="s">
        <v>1502</v>
      </c>
    </row>
    <row r="1303" spans="1:44" ht="14.4" hidden="1" thickTop="1">
      <c r="A1303" s="400">
        <v>1</v>
      </c>
      <c r="B1303" s="2" t="s">
        <v>53</v>
      </c>
      <c r="C1303" s="2" t="s">
        <v>1093</v>
      </c>
      <c r="D1303" s="2" t="s">
        <v>991</v>
      </c>
      <c r="F1303" s="401" t="s">
        <v>1327</v>
      </c>
      <c r="G1303" s="416" t="s">
        <v>1415</v>
      </c>
      <c r="H1303" s="401" t="s">
        <v>1410</v>
      </c>
      <c r="I1303" s="416" t="s">
        <v>1414</v>
      </c>
      <c r="J1303" s="421" t="s">
        <v>2514</v>
      </c>
      <c r="K1303" s="422" t="s">
        <v>2515</v>
      </c>
      <c r="L1303" s="401" t="s">
        <v>1405</v>
      </c>
      <c r="M1303" s="416" t="s">
        <v>1408</v>
      </c>
      <c r="N1303" s="47" t="s">
        <v>3</v>
      </c>
      <c r="P1303" s="401" t="s">
        <v>1328</v>
      </c>
      <c r="Q1303" s="416" t="s">
        <v>1872</v>
      </c>
      <c r="R1303" s="401" t="s">
        <v>1871</v>
      </c>
      <c r="S1303" s="416" t="s">
        <v>1337</v>
      </c>
      <c r="T1303" s="421" t="s">
        <v>1330</v>
      </c>
      <c r="U1303" s="422" t="s">
        <v>1873</v>
      </c>
      <c r="V1303" s="423" t="s">
        <v>1329</v>
      </c>
      <c r="W1303" s="422" t="s">
        <v>1874</v>
      </c>
      <c r="X1303" s="437" t="s">
        <v>1457</v>
      </c>
      <c r="Y1303" s="439" t="s">
        <v>1428</v>
      </c>
      <c r="Z1303" s="437" t="s">
        <v>1458</v>
      </c>
      <c r="AA1303" s="439" t="s">
        <v>1429</v>
      </c>
      <c r="AD1303" s="514" t="s">
        <v>1336</v>
      </c>
      <c r="AE1303" s="515" t="s">
        <v>1335</v>
      </c>
      <c r="AF1303" s="446" t="s">
        <v>1991</v>
      </c>
      <c r="AG1303" s="447" t="s">
        <v>1980</v>
      </c>
      <c r="AH1303" s="450" t="s">
        <v>1534</v>
      </c>
      <c r="AI1303" s="451" t="s">
        <v>1535</v>
      </c>
      <c r="AJ1303" s="442" t="s">
        <v>1476</v>
      </c>
      <c r="AK1303" s="443" t="s">
        <v>1409</v>
      </c>
      <c r="AL1303" s="442" t="s">
        <v>200</v>
      </c>
      <c r="AM1303" s="443" t="s">
        <v>1473</v>
      </c>
      <c r="AN1303" s="434" t="s">
        <v>1503</v>
      </c>
      <c r="AO1303" s="435" t="s">
        <v>1504</v>
      </c>
      <c r="AP1303" s="434" t="s">
        <v>1506</v>
      </c>
      <c r="AQ1303" s="435" t="s">
        <v>1507</v>
      </c>
      <c r="AR1303" s="449" t="str">
        <f>$C1303</f>
        <v>Immigration</v>
      </c>
    </row>
    <row r="1304" spans="1:44" hidden="1">
      <c r="A1304" s="400">
        <v>2</v>
      </c>
      <c r="B1304" s="2" t="s">
        <v>81</v>
      </c>
      <c r="C1304" s="2" t="s">
        <v>1094</v>
      </c>
      <c r="D1304" s="2" t="s">
        <v>992</v>
      </c>
      <c r="F1304" s="401" t="s">
        <v>1868</v>
      </c>
      <c r="G1304" s="416" t="s">
        <v>1396</v>
      </c>
      <c r="H1304" s="401" t="s">
        <v>1867</v>
      </c>
      <c r="I1304" s="416" t="s">
        <v>1842</v>
      </c>
      <c r="J1304" s="424" t="s">
        <v>2516</v>
      </c>
      <c r="K1304" s="425" t="s">
        <v>2517</v>
      </c>
      <c r="L1304" s="401" t="s">
        <v>1843</v>
      </c>
      <c r="M1304" s="416" t="s">
        <v>1407</v>
      </c>
      <c r="N1304" s="47" t="s">
        <v>3</v>
      </c>
      <c r="P1304" s="401" t="s">
        <v>2606</v>
      </c>
      <c r="Q1304" s="416" t="s">
        <v>1857</v>
      </c>
      <c r="R1304" s="401" t="s">
        <v>1452</v>
      </c>
      <c r="S1304" s="416" t="s">
        <v>1870</v>
      </c>
      <c r="T1304" s="424" t="s">
        <v>1893</v>
      </c>
      <c r="U1304" s="425" t="s">
        <v>1895</v>
      </c>
      <c r="V1304" s="426" t="s">
        <v>1894</v>
      </c>
      <c r="W1304" s="425" t="s">
        <v>1927</v>
      </c>
      <c r="X1304" s="438" t="s">
        <v>1429</v>
      </c>
      <c r="Y1304" s="439" t="s">
        <v>2000</v>
      </c>
      <c r="Z1304" s="437" t="s">
        <v>1463</v>
      </c>
      <c r="AA1304" s="439" t="s">
        <v>1429</v>
      </c>
      <c r="AD1304" s="516" t="s">
        <v>3</v>
      </c>
      <c r="AE1304" s="517"/>
      <c r="AF1304" s="446" t="s">
        <v>1992</v>
      </c>
      <c r="AG1304" s="447" t="s">
        <v>1981</v>
      </c>
      <c r="AH1304" s="452" t="s">
        <v>1536</v>
      </c>
      <c r="AI1304" s="453" t="s">
        <v>1537</v>
      </c>
      <c r="AJ1304" s="444" t="s">
        <v>1475</v>
      </c>
      <c r="AK1304" s="445" t="s">
        <v>200</v>
      </c>
      <c r="AL1304" s="444" t="s">
        <v>563</v>
      </c>
      <c r="AM1304" s="445" t="s">
        <v>1514</v>
      </c>
      <c r="AN1304" s="434" t="s">
        <v>1557</v>
      </c>
      <c r="AO1304" s="435" t="s">
        <v>1509</v>
      </c>
      <c r="AP1304" s="434" t="s">
        <v>1505</v>
      </c>
      <c r="AQ1304" s="435" t="s">
        <v>1508</v>
      </c>
      <c r="AR1304" s="449" t="str">
        <f t="shared" ref="AR1304:AR1314" si="30">$C1304</f>
        <v>Climate change</v>
      </c>
    </row>
    <row r="1305" spans="1:44" hidden="1">
      <c r="A1305" s="400">
        <v>3</v>
      </c>
      <c r="B1305" s="2" t="s">
        <v>82</v>
      </c>
      <c r="C1305" s="2" t="s">
        <v>1095</v>
      </c>
      <c r="D1305" s="2" t="s">
        <v>993</v>
      </c>
      <c r="F1305" s="401" t="s">
        <v>1387</v>
      </c>
      <c r="G1305" s="416" t="s">
        <v>1388</v>
      </c>
      <c r="H1305" s="401" t="s">
        <v>1418</v>
      </c>
      <c r="I1305" s="416" t="s">
        <v>1419</v>
      </c>
      <c r="J1305" s="427" t="s">
        <v>2518</v>
      </c>
      <c r="K1305" s="425" t="s">
        <v>2520</v>
      </c>
      <c r="L1305" s="401" t="s">
        <v>1844</v>
      </c>
      <c r="M1305" s="416" t="s">
        <v>1409</v>
      </c>
      <c r="N1305" s="47" t="s">
        <v>3</v>
      </c>
      <c r="P1305" s="401" t="s">
        <v>1757</v>
      </c>
      <c r="Q1305" s="416" t="s">
        <v>1445</v>
      </c>
      <c r="R1305" s="401" t="s">
        <v>1446</v>
      </c>
      <c r="S1305" s="498" t="s">
        <v>1955</v>
      </c>
      <c r="T1305" s="427" t="s">
        <v>1896</v>
      </c>
      <c r="U1305" s="425" t="s">
        <v>2590</v>
      </c>
      <c r="V1305" s="428" t="s">
        <v>1928</v>
      </c>
      <c r="W1305" s="425" t="s">
        <v>2593</v>
      </c>
      <c r="X1305" s="437" t="s">
        <v>1427</v>
      </c>
      <c r="Y1305" s="439" t="s">
        <v>1427</v>
      </c>
      <c r="Z1305" s="437" t="s">
        <v>1428</v>
      </c>
      <c r="AA1305" s="439" t="s">
        <v>1428</v>
      </c>
      <c r="AD1305" s="516" t="s">
        <v>3</v>
      </c>
      <c r="AE1305" s="517"/>
      <c r="AF1305" s="446" t="s">
        <v>1993</v>
      </c>
      <c r="AG1305" s="447" t="s">
        <v>1982</v>
      </c>
      <c r="AH1305" s="452" t="s">
        <v>1538</v>
      </c>
      <c r="AI1305" s="453" t="s">
        <v>1539</v>
      </c>
      <c r="AJ1305" s="444" t="s">
        <v>1512</v>
      </c>
      <c r="AK1305" s="445" t="s">
        <v>1409</v>
      </c>
      <c r="AL1305" s="444" t="s">
        <v>563</v>
      </c>
      <c r="AM1305" s="445" t="s">
        <v>1473</v>
      </c>
      <c r="AN1305" s="436" t="s">
        <v>1558</v>
      </c>
      <c r="AO1305" s="435" t="s">
        <v>1559</v>
      </c>
      <c r="AP1305" s="436" t="s">
        <v>1445</v>
      </c>
      <c r="AQ1305" s="435" t="s">
        <v>1576</v>
      </c>
      <c r="AR1305" s="449" t="str">
        <f t="shared" si="30"/>
        <v>Gun safety</v>
      </c>
    </row>
    <row r="1306" spans="1:44" hidden="1">
      <c r="A1306" s="400">
        <v>4</v>
      </c>
      <c r="B1306" s="2" t="s">
        <v>83</v>
      </c>
      <c r="C1306" s="2" t="s">
        <v>1096</v>
      </c>
      <c r="D1306" s="2" t="s">
        <v>994</v>
      </c>
      <c r="F1306" s="401" t="s">
        <v>1301</v>
      </c>
      <c r="G1306" s="416" t="s">
        <v>1308</v>
      </c>
      <c r="H1306" s="401" t="s">
        <v>1306</v>
      </c>
      <c r="I1306" s="416" t="s">
        <v>1307</v>
      </c>
      <c r="J1306" s="427" t="s">
        <v>1901</v>
      </c>
      <c r="K1306" s="425" t="s">
        <v>2519</v>
      </c>
      <c r="L1306" s="401" t="s">
        <v>1304</v>
      </c>
      <c r="M1306" s="416" t="s">
        <v>1305</v>
      </c>
      <c r="N1306" s="47" t="s">
        <v>3</v>
      </c>
      <c r="P1306" s="401" t="s">
        <v>1589</v>
      </c>
      <c r="Q1306" s="416" t="s">
        <v>1590</v>
      </c>
      <c r="R1306" s="401" t="s">
        <v>1315</v>
      </c>
      <c r="S1306" s="416" t="s">
        <v>1316</v>
      </c>
      <c r="T1306" s="427" t="s">
        <v>1901</v>
      </c>
      <c r="U1306" s="425" t="s">
        <v>1900</v>
      </c>
      <c r="V1306" s="426" t="s">
        <v>1902</v>
      </c>
      <c r="W1306" s="425" t="s">
        <v>1899</v>
      </c>
      <c r="X1306" s="437" t="s">
        <v>1429</v>
      </c>
      <c r="Y1306" s="439" t="s">
        <v>1459</v>
      </c>
      <c r="Z1306" s="437" t="s">
        <v>564</v>
      </c>
      <c r="AA1306" s="439" t="s">
        <v>1460</v>
      </c>
      <c r="AD1306" s="516" t="s">
        <v>3</v>
      </c>
      <c r="AE1306" s="517"/>
      <c r="AF1306" s="446" t="s">
        <v>1994</v>
      </c>
      <c r="AG1306" s="447" t="s">
        <v>1983</v>
      </c>
      <c r="AH1306" s="452" t="s">
        <v>1540</v>
      </c>
      <c r="AI1306" s="453" t="s">
        <v>1541</v>
      </c>
      <c r="AJ1306" s="444" t="s">
        <v>1425</v>
      </c>
      <c r="AK1306" s="445" t="s">
        <v>198</v>
      </c>
      <c r="AL1306" s="444" t="s">
        <v>1533</v>
      </c>
      <c r="AM1306" s="445" t="s">
        <v>1513</v>
      </c>
      <c r="AN1306" s="436" t="s">
        <v>1560</v>
      </c>
      <c r="AO1306" s="435" t="s">
        <v>1561</v>
      </c>
      <c r="AP1306" s="436" t="s">
        <v>1578</v>
      </c>
      <c r="AQ1306" s="435" t="s">
        <v>1577</v>
      </c>
      <c r="AR1306" s="449" t="str">
        <f t="shared" si="30"/>
        <v>Abortion</v>
      </c>
    </row>
    <row r="1307" spans="1:44" hidden="1">
      <c r="A1307" s="400">
        <v>5</v>
      </c>
      <c r="B1307" s="2" t="s">
        <v>84</v>
      </c>
      <c r="C1307" s="2" t="s">
        <v>1097</v>
      </c>
      <c r="D1307" s="2" t="s">
        <v>995</v>
      </c>
      <c r="F1307" s="401" t="s">
        <v>1398</v>
      </c>
      <c r="G1307" s="416" t="s">
        <v>1397</v>
      </c>
      <c r="H1307" s="401" t="s">
        <v>1847</v>
      </c>
      <c r="I1307" s="416" t="s">
        <v>1846</v>
      </c>
      <c r="J1307" s="424" t="s">
        <v>2521</v>
      </c>
      <c r="K1307" s="425" t="s">
        <v>2522</v>
      </c>
      <c r="L1307" s="401" t="s">
        <v>1425</v>
      </c>
      <c r="M1307" s="416" t="s">
        <v>1426</v>
      </c>
      <c r="N1307" s="47" t="s">
        <v>3</v>
      </c>
      <c r="O1307" s="416"/>
      <c r="P1307" s="401" t="s">
        <v>1865</v>
      </c>
      <c r="Q1307" s="416" t="s">
        <v>1758</v>
      </c>
      <c r="R1307" s="401" t="s">
        <v>1759</v>
      </c>
      <c r="S1307" s="416" t="s">
        <v>1956</v>
      </c>
      <c r="T1307" s="424" t="s">
        <v>1903</v>
      </c>
      <c r="U1307" s="425" t="s">
        <v>1904</v>
      </c>
      <c r="V1307" s="426" t="s">
        <v>1889</v>
      </c>
      <c r="W1307" s="425" t="s">
        <v>1888</v>
      </c>
      <c r="X1307" s="437" t="s">
        <v>1490</v>
      </c>
      <c r="Y1307" s="439" t="s">
        <v>1496</v>
      </c>
      <c r="Z1307" s="437" t="s">
        <v>1428</v>
      </c>
      <c r="AA1307" s="439" t="s">
        <v>1497</v>
      </c>
      <c r="AD1307" s="516" t="s">
        <v>3</v>
      </c>
      <c r="AE1307" s="517"/>
      <c r="AF1307" s="446" t="s">
        <v>1995</v>
      </c>
      <c r="AG1307" s="447" t="s">
        <v>1984</v>
      </c>
      <c r="AH1307" s="452" t="s">
        <v>1542</v>
      </c>
      <c r="AI1307" s="453" t="s">
        <v>1543</v>
      </c>
      <c r="AJ1307" s="444" t="s">
        <v>1425</v>
      </c>
      <c r="AK1307" s="445" t="s">
        <v>1519</v>
      </c>
      <c r="AL1307" s="444" t="s">
        <v>1530</v>
      </c>
      <c r="AM1307" s="445" t="s">
        <v>1531</v>
      </c>
      <c r="AN1307" s="436" t="s">
        <v>1887</v>
      </c>
      <c r="AO1307" s="435" t="s">
        <v>1562</v>
      </c>
      <c r="AP1307" s="436" t="s">
        <v>1579</v>
      </c>
      <c r="AQ1307" s="435" t="s">
        <v>1447</v>
      </c>
      <c r="AR1307" s="449" t="str">
        <f t="shared" si="30"/>
        <v>Healthcare</v>
      </c>
    </row>
    <row r="1308" spans="1:44" hidden="1">
      <c r="A1308" s="400">
        <v>6</v>
      </c>
      <c r="B1308" s="2" t="s">
        <v>85</v>
      </c>
      <c r="C1308" s="2" t="s">
        <v>1098</v>
      </c>
      <c r="D1308" s="2" t="s">
        <v>996</v>
      </c>
      <c r="F1308" s="401" t="s">
        <v>1401</v>
      </c>
      <c r="G1308" s="416" t="s">
        <v>1402</v>
      </c>
      <c r="H1308" s="401" t="s">
        <v>1411</v>
      </c>
      <c r="I1308" s="416" t="s">
        <v>3166</v>
      </c>
      <c r="J1308" s="424" t="s">
        <v>2523</v>
      </c>
      <c r="K1308" s="425" t="s">
        <v>2524</v>
      </c>
      <c r="L1308" s="401" t="s">
        <v>1849</v>
      </c>
      <c r="M1308" s="416" t="s">
        <v>1850</v>
      </c>
      <c r="N1308" s="47" t="s">
        <v>3</v>
      </c>
      <c r="P1308" s="401" t="s">
        <v>1760</v>
      </c>
      <c r="Q1308" s="416" t="s">
        <v>1448</v>
      </c>
      <c r="R1308" s="401" t="s">
        <v>1880</v>
      </c>
      <c r="S1308" s="416" t="s">
        <v>1879</v>
      </c>
      <c r="T1308" s="424" t="s">
        <v>1882</v>
      </c>
      <c r="U1308" s="425" t="s">
        <v>1881</v>
      </c>
      <c r="V1308" s="426" t="s">
        <v>1878</v>
      </c>
      <c r="W1308" s="425" t="s">
        <v>1883</v>
      </c>
      <c r="X1308" s="437" t="s">
        <v>1488</v>
      </c>
      <c r="Y1308" s="439" t="s">
        <v>1487</v>
      </c>
      <c r="Z1308" s="437" t="s">
        <v>1489</v>
      </c>
      <c r="AA1308" s="439" t="s">
        <v>1486</v>
      </c>
      <c r="AD1308" s="516" t="s">
        <v>3</v>
      </c>
      <c r="AE1308" s="517"/>
      <c r="AF1308" s="446" t="s">
        <v>1996</v>
      </c>
      <c r="AG1308" s="447" t="s">
        <v>1985</v>
      </c>
      <c r="AH1308" s="452" t="s">
        <v>1544</v>
      </c>
      <c r="AI1308" s="453" t="s">
        <v>1877</v>
      </c>
      <c r="AJ1308" s="444" t="s">
        <v>579</v>
      </c>
      <c r="AK1308" s="445" t="s">
        <v>239</v>
      </c>
      <c r="AL1308" s="444" t="s">
        <v>563</v>
      </c>
      <c r="AM1308" s="445" t="s">
        <v>1890</v>
      </c>
      <c r="AN1308" s="436" t="s">
        <v>1565</v>
      </c>
      <c r="AO1308" s="435" t="s">
        <v>1947</v>
      </c>
      <c r="AP1308" s="436" t="s">
        <v>1972</v>
      </c>
      <c r="AQ1308" s="435" t="s">
        <v>1582</v>
      </c>
      <c r="AR1308" s="449" t="str">
        <f t="shared" si="30"/>
        <v>Criminal justice</v>
      </c>
    </row>
    <row r="1309" spans="1:44" hidden="1">
      <c r="A1309" s="400">
        <v>7</v>
      </c>
      <c r="B1309" s="2" t="s">
        <v>86</v>
      </c>
      <c r="C1309" s="2" t="s">
        <v>1099</v>
      </c>
      <c r="D1309" s="2" t="s">
        <v>1950</v>
      </c>
      <c r="F1309" s="401" t="s">
        <v>1804</v>
      </c>
      <c r="G1309" s="416" t="s">
        <v>1803</v>
      </c>
      <c r="H1309" s="401" t="s">
        <v>1801</v>
      </c>
      <c r="I1309" s="416" t="s">
        <v>1802</v>
      </c>
      <c r="J1309" s="424" t="s">
        <v>2525</v>
      </c>
      <c r="K1309" s="425" t="s">
        <v>2526</v>
      </c>
      <c r="L1309" s="401" t="s">
        <v>2460</v>
      </c>
      <c r="M1309" s="416" t="s">
        <v>2461</v>
      </c>
      <c r="N1309" s="47" t="s">
        <v>3</v>
      </c>
      <c r="P1309" s="401" t="s">
        <v>1449</v>
      </c>
      <c r="Q1309" s="416" t="s">
        <v>1450</v>
      </c>
      <c r="R1309" s="401" t="s">
        <v>1454</v>
      </c>
      <c r="S1309" s="416" t="s">
        <v>1455</v>
      </c>
      <c r="T1309" s="424" t="s">
        <v>1905</v>
      </c>
      <c r="U1309" s="425" t="s">
        <v>2591</v>
      </c>
      <c r="V1309" s="571" t="s">
        <v>1929</v>
      </c>
      <c r="W1309" s="572" t="s">
        <v>1906</v>
      </c>
      <c r="X1309" s="437" t="s">
        <v>1948</v>
      </c>
      <c r="Y1309" s="439" t="s">
        <v>2001</v>
      </c>
      <c r="Z1309" s="437" t="s">
        <v>1949</v>
      </c>
      <c r="AA1309" s="439" t="s">
        <v>1485</v>
      </c>
      <c r="AD1309" s="516" t="s">
        <v>3</v>
      </c>
      <c r="AE1309" s="517"/>
      <c r="AF1309" s="446" t="s">
        <v>1984</v>
      </c>
      <c r="AG1309" s="447" t="s">
        <v>1986</v>
      </c>
      <c r="AH1309" s="452" t="s">
        <v>1545</v>
      </c>
      <c r="AI1309" s="453" t="s">
        <v>1546</v>
      </c>
      <c r="AJ1309" s="444" t="s">
        <v>1520</v>
      </c>
      <c r="AK1309" s="445" t="s">
        <v>210</v>
      </c>
      <c r="AL1309" s="444" t="s">
        <v>569</v>
      </c>
      <c r="AM1309" s="445" t="s">
        <v>1522</v>
      </c>
      <c r="AN1309" s="436" t="s">
        <v>1566</v>
      </c>
      <c r="AO1309" s="435" t="s">
        <v>1564</v>
      </c>
      <c r="AP1309" s="436" t="s">
        <v>1973</v>
      </c>
      <c r="AQ1309" s="435" t="s">
        <v>1583</v>
      </c>
      <c r="AR1309" s="449" t="str">
        <f t="shared" si="30"/>
        <v>Economy</v>
      </c>
    </row>
    <row r="1310" spans="1:44" hidden="1">
      <c r="A1310" s="400">
        <v>8</v>
      </c>
      <c r="B1310" s="2" t="s">
        <v>1207</v>
      </c>
      <c r="C1310" s="2" t="s">
        <v>1100</v>
      </c>
      <c r="D1310" s="2" t="s">
        <v>998</v>
      </c>
      <c r="F1310" s="401" t="s">
        <v>1297</v>
      </c>
      <c r="G1310" s="416" t="s">
        <v>1386</v>
      </c>
      <c r="H1310" s="401" t="s">
        <v>1412</v>
      </c>
      <c r="I1310" s="416" t="s">
        <v>1416</v>
      </c>
      <c r="J1310" s="427" t="s">
        <v>2528</v>
      </c>
      <c r="K1310" s="425" t="s">
        <v>2527</v>
      </c>
      <c r="L1310" s="401" t="s">
        <v>1441</v>
      </c>
      <c r="M1310" s="416" t="s">
        <v>1965</v>
      </c>
      <c r="N1310" s="47" t="s">
        <v>3</v>
      </c>
      <c r="P1310" s="401" t="s">
        <v>1761</v>
      </c>
      <c r="Q1310" s="416" t="s">
        <v>1762</v>
      </c>
      <c r="R1310" s="401" t="s">
        <v>1433</v>
      </c>
      <c r="S1310" s="416" t="s">
        <v>1960</v>
      </c>
      <c r="T1310" s="427" t="s">
        <v>1908</v>
      </c>
      <c r="U1310" s="425" t="s">
        <v>1910</v>
      </c>
      <c r="V1310" s="426" t="s">
        <v>1907</v>
      </c>
      <c r="W1310" s="425" t="s">
        <v>1930</v>
      </c>
      <c r="X1310" s="437" t="s">
        <v>1483</v>
      </c>
      <c r="Y1310" s="439" t="s">
        <v>2002</v>
      </c>
      <c r="Z1310" s="437" t="s">
        <v>1484</v>
      </c>
      <c r="AA1310" s="439" t="s">
        <v>1481</v>
      </c>
      <c r="AD1310" s="516" t="s">
        <v>3</v>
      </c>
      <c r="AE1310" s="517" t="s">
        <v>1753</v>
      </c>
      <c r="AF1310" s="446" t="s">
        <v>1996</v>
      </c>
      <c r="AG1310" s="447" t="s">
        <v>1987</v>
      </c>
      <c r="AH1310" s="452" t="s">
        <v>1547</v>
      </c>
      <c r="AI1310" s="453" t="s">
        <v>1548</v>
      </c>
      <c r="AJ1310" s="444" t="s">
        <v>1521</v>
      </c>
      <c r="AK1310" s="445" t="s">
        <v>569</v>
      </c>
      <c r="AL1310" s="444" t="s">
        <v>569</v>
      </c>
      <c r="AM1310" s="445" t="s">
        <v>1524</v>
      </c>
      <c r="AN1310" s="436" t="s">
        <v>1567</v>
      </c>
      <c r="AO1310" s="435" t="s">
        <v>1568</v>
      </c>
      <c r="AP1310" s="436" t="s">
        <v>1974</v>
      </c>
      <c r="AQ1310" s="435" t="s">
        <v>1584</v>
      </c>
      <c r="AR1310" s="449" t="str">
        <f t="shared" si="30"/>
        <v>Racism</v>
      </c>
    </row>
    <row r="1311" spans="1:44" hidden="1">
      <c r="A1311" s="400">
        <v>9</v>
      </c>
      <c r="B1311" s="2" t="s">
        <v>1284</v>
      </c>
      <c r="C1311" s="2" t="s">
        <v>1287</v>
      </c>
      <c r="D1311" s="2" t="s">
        <v>1290</v>
      </c>
      <c r="F1311" s="401" t="s">
        <v>1318</v>
      </c>
      <c r="G1311" s="416" t="s">
        <v>1319</v>
      </c>
      <c r="H1311" s="401" t="s">
        <v>1413</v>
      </c>
      <c r="I1311" s="416" t="s">
        <v>1417</v>
      </c>
      <c r="J1311" s="424" t="s">
        <v>2529</v>
      </c>
      <c r="K1311" s="425" t="s">
        <v>2530</v>
      </c>
      <c r="L1311" s="401" t="s">
        <v>1966</v>
      </c>
      <c r="M1311" s="416" t="s">
        <v>1851</v>
      </c>
      <c r="N1311" s="47" t="s">
        <v>3</v>
      </c>
      <c r="P1311" s="401" t="s">
        <v>1320</v>
      </c>
      <c r="Q1311" s="416" t="s">
        <v>1852</v>
      </c>
      <c r="R1311" s="401" t="s">
        <v>1453</v>
      </c>
      <c r="S1311" s="416" t="s">
        <v>1959</v>
      </c>
      <c r="T1311" s="424" t="s">
        <v>1912</v>
      </c>
      <c r="U1311" s="425" t="s">
        <v>2592</v>
      </c>
      <c r="V1311" s="426" t="s">
        <v>1913</v>
      </c>
      <c r="W1311" s="425" t="s">
        <v>1914</v>
      </c>
      <c r="X1311" s="437" t="s">
        <v>1492</v>
      </c>
      <c r="Y1311" s="439" t="s">
        <v>1497</v>
      </c>
      <c r="Z1311" s="437" t="s">
        <v>1489</v>
      </c>
      <c r="AA1311" s="439" t="s">
        <v>1498</v>
      </c>
      <c r="AD1311" s="518" t="s">
        <v>1358</v>
      </c>
      <c r="AE1311" s="517"/>
      <c r="AF1311" s="446" t="s">
        <v>1997</v>
      </c>
      <c r="AG1311" s="447" t="s">
        <v>1988</v>
      </c>
      <c r="AH1311" s="452" t="s">
        <v>1549</v>
      </c>
      <c r="AI1311" s="453" t="s">
        <v>1550</v>
      </c>
      <c r="AJ1311" s="444" t="s">
        <v>1512</v>
      </c>
      <c r="AK1311" s="445" t="s">
        <v>239</v>
      </c>
      <c r="AL1311" s="444" t="s">
        <v>562</v>
      </c>
      <c r="AM1311" s="445" t="s">
        <v>1525</v>
      </c>
      <c r="AN1311" s="436" t="s">
        <v>1563</v>
      </c>
      <c r="AO1311" s="435" t="s">
        <v>1569</v>
      </c>
      <c r="AP1311" s="436" t="s">
        <v>1580</v>
      </c>
      <c r="AQ1311" s="435" t="s">
        <v>1585</v>
      </c>
      <c r="AR1311" s="449" t="str">
        <f t="shared" si="30"/>
        <v>Police brutality</v>
      </c>
    </row>
    <row r="1312" spans="1:44" hidden="1">
      <c r="A1312" s="400">
        <v>10</v>
      </c>
      <c r="B1312" s="2" t="s">
        <v>1285</v>
      </c>
      <c r="C1312" s="2" t="s">
        <v>1288</v>
      </c>
      <c r="D1312" s="2" t="s">
        <v>1291</v>
      </c>
      <c r="F1312" s="401" t="s">
        <v>1293</v>
      </c>
      <c r="G1312" s="416" t="s">
        <v>1294</v>
      </c>
      <c r="H1312" s="401" t="s">
        <v>1295</v>
      </c>
      <c r="I1312" s="416" t="s">
        <v>1296</v>
      </c>
      <c r="J1312" s="427" t="s">
        <v>2531</v>
      </c>
      <c r="K1312" s="425" t="s">
        <v>2532</v>
      </c>
      <c r="L1312" s="401" t="s">
        <v>1967</v>
      </c>
      <c r="M1312" s="416" t="s">
        <v>1968</v>
      </c>
      <c r="N1312" s="47" t="s">
        <v>3</v>
      </c>
      <c r="P1312" s="401" t="s">
        <v>1763</v>
      </c>
      <c r="Q1312" s="416" t="s">
        <v>1442</v>
      </c>
      <c r="R1312" s="497" t="s">
        <v>1764</v>
      </c>
      <c r="S1312" s="416" t="s">
        <v>1954</v>
      </c>
      <c r="T1312" s="427" t="s">
        <v>1919</v>
      </c>
      <c r="U1312" s="425" t="s">
        <v>1917</v>
      </c>
      <c r="V1312" s="428" t="s">
        <v>1916</v>
      </c>
      <c r="W1312" s="425" t="s">
        <v>1918</v>
      </c>
      <c r="X1312" s="437" t="s">
        <v>1479</v>
      </c>
      <c r="Y1312" s="439" t="s">
        <v>1480</v>
      </c>
      <c r="Z1312" s="437" t="s">
        <v>1491</v>
      </c>
      <c r="AA1312" s="439" t="s">
        <v>1491</v>
      </c>
      <c r="AD1312" s="516" t="s">
        <v>3</v>
      </c>
      <c r="AE1312" s="517" t="s">
        <v>1430</v>
      </c>
      <c r="AF1312" s="448" t="s">
        <v>1989</v>
      </c>
      <c r="AG1312" s="447" t="s">
        <v>1989</v>
      </c>
      <c r="AH1312" s="452" t="s">
        <v>1551</v>
      </c>
      <c r="AI1312" s="453" t="s">
        <v>1552</v>
      </c>
      <c r="AJ1312" s="444" t="s">
        <v>1425</v>
      </c>
      <c r="AK1312" s="445" t="s">
        <v>198</v>
      </c>
      <c r="AL1312" s="444" t="s">
        <v>1532</v>
      </c>
      <c r="AM1312" s="445" t="s">
        <v>1526</v>
      </c>
      <c r="AN1312" s="434" t="s">
        <v>1571</v>
      </c>
      <c r="AO1312" s="435" t="s">
        <v>1570</v>
      </c>
      <c r="AP1312" s="436" t="s">
        <v>1581</v>
      </c>
      <c r="AQ1312" s="435" t="s">
        <v>1586</v>
      </c>
      <c r="AR1312" s="449" t="str">
        <f t="shared" si="30"/>
        <v>Voting fairness</v>
      </c>
    </row>
    <row r="1313" spans="1:44" hidden="1">
      <c r="A1313" s="400">
        <v>11</v>
      </c>
      <c r="B1313" s="2" t="s">
        <v>1286</v>
      </c>
      <c r="C1313" s="2" t="s">
        <v>1289</v>
      </c>
      <c r="D1313" s="2" t="s">
        <v>1292</v>
      </c>
      <c r="F1313" s="401" t="s">
        <v>1798</v>
      </c>
      <c r="G1313" s="416" t="s">
        <v>1799</v>
      </c>
      <c r="H1313" s="401" t="s">
        <v>1800</v>
      </c>
      <c r="I1313" s="416" t="s">
        <v>1856</v>
      </c>
      <c r="J1313" s="427" t="s">
        <v>2533</v>
      </c>
      <c r="K1313" s="425" t="s">
        <v>2534</v>
      </c>
      <c r="L1313" s="401" t="s">
        <v>1853</v>
      </c>
      <c r="M1313" s="416" t="s">
        <v>1854</v>
      </c>
      <c r="N1313" s="47" t="s">
        <v>3</v>
      </c>
      <c r="P1313" s="401" t="s">
        <v>1451</v>
      </c>
      <c r="Q1313" s="416" t="s">
        <v>1857</v>
      </c>
      <c r="R1313" s="401" t="s">
        <v>1957</v>
      </c>
      <c r="S1313" s="416" t="s">
        <v>1317</v>
      </c>
      <c r="T1313" s="427" t="s">
        <v>1920</v>
      </c>
      <c r="U1313" s="425" t="s">
        <v>1922</v>
      </c>
      <c r="V1313" s="426" t="s">
        <v>1921</v>
      </c>
      <c r="W1313" s="425" t="s">
        <v>1931</v>
      </c>
      <c r="X1313" s="437" t="s">
        <v>1368</v>
      </c>
      <c r="Y1313" s="439" t="s">
        <v>1368</v>
      </c>
      <c r="Z1313" s="437" t="s">
        <v>1498</v>
      </c>
      <c r="AA1313" s="439" t="s">
        <v>1369</v>
      </c>
      <c r="AD1313" s="516" t="s">
        <v>3</v>
      </c>
      <c r="AE1313" s="517"/>
      <c r="AF1313" s="446" t="s">
        <v>1998</v>
      </c>
      <c r="AG1313" s="447" t="s">
        <v>1990</v>
      </c>
      <c r="AH1313" s="452" t="s">
        <v>1553</v>
      </c>
      <c r="AI1313" s="453" t="s">
        <v>1554</v>
      </c>
      <c r="AJ1313" s="444" t="s">
        <v>1523</v>
      </c>
      <c r="AK1313" s="445" t="s">
        <v>1527</v>
      </c>
      <c r="AL1313" s="444" t="s">
        <v>563</v>
      </c>
      <c r="AM1313" s="445" t="s">
        <v>1528</v>
      </c>
      <c r="AN1313" s="434" t="s">
        <v>1572</v>
      </c>
      <c r="AO1313" s="435" t="s">
        <v>1573</v>
      </c>
      <c r="AP1313" s="436" t="s">
        <v>1975</v>
      </c>
      <c r="AQ1313" s="435" t="s">
        <v>1587</v>
      </c>
      <c r="AR1313" s="449" t="str">
        <f t="shared" si="30"/>
        <v>Covid safety</v>
      </c>
    </row>
    <row r="1314" spans="1:44" hidden="1">
      <c r="A1314" s="400">
        <v>12</v>
      </c>
      <c r="B1314" s="2" t="s">
        <v>1859</v>
      </c>
      <c r="C1314" s="2" t="s">
        <v>1860</v>
      </c>
      <c r="D1314" s="2" t="s">
        <v>1858</v>
      </c>
      <c r="F1314" s="401" t="s">
        <v>1862</v>
      </c>
      <c r="G1314" s="416" t="s">
        <v>1392</v>
      </c>
      <c r="H1314" s="401" t="s">
        <v>1861</v>
      </c>
      <c r="I1314" s="416" t="s">
        <v>1393</v>
      </c>
      <c r="J1314" s="429" t="s">
        <v>2535</v>
      </c>
      <c r="K1314" s="430" t="s">
        <v>2536</v>
      </c>
      <c r="L1314" s="401" t="s">
        <v>1443</v>
      </c>
      <c r="M1314" s="416" t="s">
        <v>1444</v>
      </c>
      <c r="N1314" s="47" t="s">
        <v>3</v>
      </c>
      <c r="P1314" s="401" t="s">
        <v>1765</v>
      </c>
      <c r="Q1314" s="416" t="s">
        <v>1766</v>
      </c>
      <c r="R1314" s="401" t="s">
        <v>1952</v>
      </c>
      <c r="S1314" s="498" t="s">
        <v>1953</v>
      </c>
      <c r="T1314" s="429" t="s">
        <v>1923</v>
      </c>
      <c r="U1314" s="430" t="s">
        <v>1924</v>
      </c>
      <c r="V1314" s="431" t="s">
        <v>1926</v>
      </c>
      <c r="W1314" s="430" t="s">
        <v>1925</v>
      </c>
      <c r="X1314" s="437" t="s">
        <v>1368</v>
      </c>
      <c r="Y1314" s="439" t="s">
        <v>1494</v>
      </c>
      <c r="Z1314" s="437" t="s">
        <v>1495</v>
      </c>
      <c r="AA1314" s="439" t="s">
        <v>1493</v>
      </c>
      <c r="AD1314" s="519" t="s">
        <v>1420</v>
      </c>
      <c r="AE1314" s="520"/>
      <c r="AF1314" s="446" t="s">
        <v>1999</v>
      </c>
      <c r="AG1314" s="447" t="s">
        <v>1979</v>
      </c>
      <c r="AH1314" s="452" t="s">
        <v>1555</v>
      </c>
      <c r="AI1314" s="453" t="s">
        <v>1556</v>
      </c>
      <c r="AJ1314" s="444" t="s">
        <v>1425</v>
      </c>
      <c r="AK1314" s="445" t="s">
        <v>567</v>
      </c>
      <c r="AL1314" s="444" t="s">
        <v>567</v>
      </c>
      <c r="AM1314" s="445" t="s">
        <v>1529</v>
      </c>
      <c r="AN1314" s="434" t="s">
        <v>1574</v>
      </c>
      <c r="AO1314" s="435" t="s">
        <v>1977</v>
      </c>
      <c r="AP1314" s="436" t="s">
        <v>1971</v>
      </c>
      <c r="AQ1314" s="435" t="s">
        <v>1978</v>
      </c>
      <c r="AR1314" s="449" t="str">
        <f t="shared" si="30"/>
        <v>Public speech</v>
      </c>
    </row>
    <row r="1315" spans="1:44" hidden="1">
      <c r="A1315" s="400">
        <v>13</v>
      </c>
      <c r="D1315" s="575" t="s">
        <v>1933</v>
      </c>
      <c r="E1315" s="575"/>
    </row>
    <row r="1316" spans="1:44" hidden="1">
      <c r="A1316" s="400">
        <v>14</v>
      </c>
      <c r="D1316" s="575" t="s">
        <v>1909</v>
      </c>
      <c r="E1316" s="575"/>
      <c r="U1316" s="575" t="s">
        <v>1911</v>
      </c>
      <c r="X1316" s="437" t="s">
        <v>1482</v>
      </c>
    </row>
    <row r="1317" spans="1:44" hidden="1">
      <c r="A1317" s="400">
        <v>15</v>
      </c>
      <c r="D1317" s="575" t="s">
        <v>1932</v>
      </c>
      <c r="E1317" s="575"/>
    </row>
    <row r="1318" spans="1:44" hidden="1">
      <c r="A1318" s="400">
        <v>16</v>
      </c>
      <c r="D1318" s="575" t="s">
        <v>1934</v>
      </c>
      <c r="E1318" s="575"/>
    </row>
    <row r="1319" spans="1:44" hidden="1">
      <c r="A1319" s="400">
        <v>17</v>
      </c>
      <c r="D1319" s="575" t="s">
        <v>1935</v>
      </c>
      <c r="E1319" s="575"/>
    </row>
    <row r="1320" spans="1:44" hidden="1">
      <c r="A1320" s="400">
        <v>18</v>
      </c>
      <c r="D1320" s="575" t="s">
        <v>1936</v>
      </c>
      <c r="E1320" s="575"/>
    </row>
    <row r="1321" spans="1:44" hidden="1">
      <c r="A1321" s="400">
        <v>19</v>
      </c>
      <c r="D1321" s="575" t="s">
        <v>1937</v>
      </c>
      <c r="E1321" s="575"/>
    </row>
    <row r="1322" spans="1:44" hidden="1">
      <c r="A1322" s="400">
        <v>20</v>
      </c>
      <c r="D1322" s="575" t="s">
        <v>1938</v>
      </c>
      <c r="E1322" s="575"/>
    </row>
    <row r="1323" spans="1:44" hidden="1">
      <c r="A1323" s="400">
        <v>21</v>
      </c>
      <c r="D1323" s="575" t="s">
        <v>1939</v>
      </c>
      <c r="E1323" s="575"/>
    </row>
    <row r="1324" spans="1:44" hidden="1">
      <c r="A1324" s="400">
        <v>22</v>
      </c>
      <c r="D1324" s="575" t="s">
        <v>1940</v>
      </c>
      <c r="E1324" s="575"/>
    </row>
    <row r="1325" spans="1:44" hidden="1">
      <c r="A1325" s="400">
        <v>23</v>
      </c>
      <c r="D1325" s="575" t="s">
        <v>1941</v>
      </c>
      <c r="E1325" s="575"/>
    </row>
    <row r="1326" spans="1:44" hidden="1">
      <c r="A1326" s="400">
        <v>24</v>
      </c>
      <c r="D1326" s="575" t="s">
        <v>1942</v>
      </c>
      <c r="E1326" s="575"/>
    </row>
    <row r="1327" spans="1:44" hidden="1">
      <c r="D1327" s="575" t="s">
        <v>1944</v>
      </c>
      <c r="E1327" s="575"/>
      <c r="F1327" s="575" t="s">
        <v>1884</v>
      </c>
      <c r="G1327" s="575" t="s">
        <v>1885</v>
      </c>
    </row>
    <row r="1328" spans="1:44" hidden="1"/>
    <row r="1329" spans="2:31" hidden="1">
      <c r="T1329" s="575" t="s">
        <v>1884</v>
      </c>
      <c r="U1329" s="575" t="s">
        <v>1885</v>
      </c>
    </row>
    <row r="1330" spans="2:31" hidden="1">
      <c r="T1330" s="575" t="s">
        <v>1886</v>
      </c>
      <c r="U1330" s="575" t="s">
        <v>1945</v>
      </c>
    </row>
    <row r="1331" spans="2:31" hidden="1"/>
    <row r="1332" spans="2:31" hidden="1"/>
    <row r="1333" spans="2:31" ht="14.4" hidden="1">
      <c r="B1333" s="575" t="s">
        <v>1138</v>
      </c>
      <c r="C1333" s="575" t="s">
        <v>1355</v>
      </c>
      <c r="D1333" s="575" t="s">
        <v>1356</v>
      </c>
      <c r="E1333" s="575"/>
      <c r="F1333" s="575" t="s">
        <v>1323</v>
      </c>
      <c r="G1333" s="575" t="s">
        <v>1324</v>
      </c>
      <c r="H1333" s="575"/>
      <c r="I1333" s="575"/>
      <c r="J1333" s="575" t="s">
        <v>1321</v>
      </c>
      <c r="K1333" s="575" t="s">
        <v>1322</v>
      </c>
      <c r="L1333" s="575"/>
      <c r="M1333" s="575"/>
      <c r="P1333"/>
    </row>
    <row r="1334" spans="2:31" ht="14.4" hidden="1" thickBot="1">
      <c r="B1334" s="125" t="s">
        <v>2629</v>
      </c>
      <c r="U1334" s="597" t="str">
        <f>IF(AND(U1335&gt;W1335,U1335&lt;=X1335),Y1335,IF(AND(U1335&gt;W1336,U1335&lt;=X1336),Y1336,IF(AND(U1335&gt;W1337,U1335&lt;=X1337),Y1337,IF(AND(U1335&gt;W1338,U1335&lt;=X1338),Y1338,IF(AND(U1335&gt;W1339,U1335&lt;=X1339),Y1339,IF(AND(U1335&gt;W1340,U1335&lt;=X1340),Y1340,IF(AND(U1335&gt;W1341,U1335&lt;=X1341),Y1341,IF(AND(U1335&gt;W1342,U1335&lt;=X1342),Y1342,""))))))))</f>
        <v/>
      </c>
    </row>
    <row r="1335" spans="2:31" ht="14.4" hidden="1" thickBot="1">
      <c r="B1335" s="709" t="str">
        <f>IF(E551=B1336,B1336,IF(E551=B1337,B1337,IF(E551=B1338,B1338,IF(E551=B1339,B1249,IF(E551=1342,B1340,"")))))</f>
        <v/>
      </c>
      <c r="C1335" s="671"/>
      <c r="D1335" s="671"/>
      <c r="E1335" s="671"/>
      <c r="F1335" s="672"/>
      <c r="G1335" s="566" t="str">
        <f>IF(E551=B1336,-1,IF(E551=B1337,0,IF(E551=B1338,1,IF(E551=B1339,0,IF(E551=B1340,-1,"")))))</f>
        <v/>
      </c>
      <c r="H1335" s="2">
        <f>IF(G1335="",1,0)</f>
        <v>1</v>
      </c>
      <c r="U1335" s="597" t="str">
        <f>G1371</f>
        <v/>
      </c>
      <c r="W1335" s="2">
        <v>-1</v>
      </c>
      <c r="X1335" s="2">
        <f>W1335+0.25</f>
        <v>-0.75</v>
      </c>
      <c r="Y1335" s="711" t="s">
        <v>2661</v>
      </c>
      <c r="AE1335" s="711" t="s">
        <v>2654</v>
      </c>
    </row>
    <row r="1336" spans="2:31" hidden="1">
      <c r="B1336" s="194" t="s">
        <v>2624</v>
      </c>
      <c r="W1336" s="2">
        <f>X1335</f>
        <v>-0.75</v>
      </c>
      <c r="X1336" s="2">
        <f>W1336+0.25</f>
        <v>-0.5</v>
      </c>
      <c r="Y1336" s="711" t="s">
        <v>2659</v>
      </c>
      <c r="AE1336" s="711" t="s">
        <v>2659</v>
      </c>
    </row>
    <row r="1337" spans="2:31" hidden="1">
      <c r="B1337" s="194" t="s">
        <v>2625</v>
      </c>
      <c r="W1337" s="2">
        <f t="shared" ref="W1337:W1342" si="31">X1336</f>
        <v>-0.5</v>
      </c>
      <c r="X1337" s="2">
        <f t="shared" ref="X1337:X1342" si="32">W1337+0.25</f>
        <v>-0.25</v>
      </c>
      <c r="Y1337" s="711" t="s">
        <v>2662</v>
      </c>
      <c r="AE1337" s="711" t="s">
        <v>2660</v>
      </c>
    </row>
    <row r="1338" spans="2:31" hidden="1">
      <c r="B1338" s="194" t="s">
        <v>2626</v>
      </c>
      <c r="W1338" s="2">
        <f t="shared" si="31"/>
        <v>-0.25</v>
      </c>
      <c r="X1338" s="2">
        <f t="shared" si="32"/>
        <v>0</v>
      </c>
      <c r="Y1338" s="711" t="s">
        <v>2663</v>
      </c>
      <c r="AE1338" s="711" t="s">
        <v>2656</v>
      </c>
    </row>
    <row r="1339" spans="2:31" hidden="1">
      <c r="B1339" s="194" t="s">
        <v>2627</v>
      </c>
      <c r="W1339" s="2">
        <f t="shared" si="31"/>
        <v>0</v>
      </c>
      <c r="X1339" s="2">
        <f t="shared" si="32"/>
        <v>0.25</v>
      </c>
      <c r="Y1339" s="711" t="s">
        <v>2667</v>
      </c>
      <c r="AE1339" s="711" t="s">
        <v>2653</v>
      </c>
    </row>
    <row r="1340" spans="2:31" hidden="1">
      <c r="B1340" s="194" t="s">
        <v>2628</v>
      </c>
      <c r="W1340" s="2">
        <f t="shared" si="31"/>
        <v>0.25</v>
      </c>
      <c r="X1340" s="2">
        <f t="shared" si="32"/>
        <v>0.5</v>
      </c>
      <c r="Y1340" s="711" t="s">
        <v>2664</v>
      </c>
      <c r="AE1340" s="711" t="s">
        <v>2657</v>
      </c>
    </row>
    <row r="1341" spans="2:31" ht="14.4" hidden="1" thickBot="1">
      <c r="B1341" s="125" t="s">
        <v>2630</v>
      </c>
      <c r="W1341" s="2">
        <f t="shared" si="31"/>
        <v>0.5</v>
      </c>
      <c r="X1341" s="2">
        <f t="shared" si="32"/>
        <v>0.75</v>
      </c>
      <c r="Y1341" s="711" t="s">
        <v>2665</v>
      </c>
      <c r="AE1341" s="711" t="s">
        <v>2658</v>
      </c>
    </row>
    <row r="1342" spans="2:31" ht="14.4" hidden="1" thickBot="1">
      <c r="B1342" s="709" t="str">
        <f>IF(E553=B1343,B1343,IF(E553=B1344,B1344,IF(E553=B1345,B1345,IF(E553=B1346,B1346,IF(E553=B1347,B1347,"")))))</f>
        <v/>
      </c>
      <c r="C1342" s="671"/>
      <c r="D1342" s="671"/>
      <c r="E1342" s="671"/>
      <c r="F1342" s="672"/>
      <c r="G1342" s="566" t="str">
        <f>IF(E553=B1343,1,IF(E553=B1344,0.5,IF(E553=B1345,0,IF(E553=B1346,-0.5,IF(E553=B1347,-1,"")))))</f>
        <v/>
      </c>
      <c r="H1342" s="2">
        <f>IF(G1342="",1,0)</f>
        <v>1</v>
      </c>
      <c r="W1342" s="2">
        <f t="shared" si="31"/>
        <v>0.75</v>
      </c>
      <c r="X1342" s="2">
        <f t="shared" si="32"/>
        <v>1</v>
      </c>
      <c r="Y1342" s="711" t="s">
        <v>2666</v>
      </c>
      <c r="AE1342" s="711" t="s">
        <v>2655</v>
      </c>
    </row>
    <row r="1343" spans="2:31" hidden="1">
      <c r="B1343" s="194" t="s">
        <v>2623</v>
      </c>
    </row>
    <row r="1344" spans="2:31" hidden="1">
      <c r="B1344" s="194" t="s">
        <v>2639</v>
      </c>
    </row>
    <row r="1345" spans="2:33" hidden="1">
      <c r="B1345" s="194" t="s">
        <v>2640</v>
      </c>
    </row>
    <row r="1346" spans="2:33" hidden="1">
      <c r="B1346" s="194" t="s">
        <v>2641</v>
      </c>
    </row>
    <row r="1347" spans="2:33" hidden="1">
      <c r="B1347" s="194" t="s">
        <v>2642</v>
      </c>
    </row>
    <row r="1348" spans="2:33" ht="14.4" hidden="1" thickBot="1">
      <c r="B1348" s="125" t="s">
        <v>2631</v>
      </c>
    </row>
    <row r="1349" spans="2:33" ht="14.4" hidden="1" thickBot="1">
      <c r="B1349" s="709" t="str">
        <f>IF(E555=B1350,B1350,IF(E555=B1351,B1351,IF(E555=B1352,B1352,IF(E555=B1353,B1353,IF(E555=B1354,B1354,"")))))</f>
        <v/>
      </c>
      <c r="C1349" s="671"/>
      <c r="D1349" s="671"/>
      <c r="E1349" s="671"/>
      <c r="F1349" s="672"/>
      <c r="G1349" s="566" t="str">
        <f>IF(E555=B1350,-1,IF(E555=B1351,-0.5,IF(E555=B1352,0,IF(E555=B1353,0.5,IF(E555=B1354,1,"")))))</f>
        <v/>
      </c>
      <c r="H1349" s="2">
        <f>IF(G1349="",1,0)</f>
        <v>1</v>
      </c>
    </row>
    <row r="1350" spans="2:33" ht="14.4" hidden="1">
      <c r="B1350" s="194" t="s">
        <v>2643</v>
      </c>
      <c r="AF1350"/>
    </row>
    <row r="1351" spans="2:33" hidden="1">
      <c r="B1351" s="194" t="s">
        <v>2644</v>
      </c>
    </row>
    <row r="1352" spans="2:33" ht="14.4" hidden="1">
      <c r="B1352" s="194" t="s">
        <v>2645</v>
      </c>
      <c r="AG1352"/>
    </row>
    <row r="1353" spans="2:33" ht="14.4" hidden="1">
      <c r="B1353" s="194" t="s">
        <v>2646</v>
      </c>
      <c r="AG1353"/>
    </row>
    <row r="1354" spans="2:33" ht="14.4" hidden="1">
      <c r="B1354" s="194" t="s">
        <v>2647</v>
      </c>
      <c r="AG1354"/>
    </row>
    <row r="1355" spans="2:33" ht="15" hidden="1" thickBot="1">
      <c r="B1355" s="125" t="s">
        <v>2632</v>
      </c>
      <c r="Y1355"/>
    </row>
    <row r="1356" spans="2:33" ht="15" hidden="1" thickBot="1">
      <c r="B1356" s="709" t="str">
        <f>IF(E557=B1357,B1357,IF(E557=B1358,B1358,IF(E557=B1359,B1359,IF(E557=B1360,B1360,IF(E557=B1361,B1361,"")))))</f>
        <v/>
      </c>
      <c r="C1356" s="671"/>
      <c r="D1356" s="671"/>
      <c r="E1356" s="671"/>
      <c r="F1356" s="672"/>
      <c r="G1356" s="566" t="str">
        <f>IF(E557=B1357,-1,IF(E557=B1358,-0.5,IF(E557=B1359,0,IF(E557=B1360,0.5,IF(E557=B1361,1,"")))))</f>
        <v/>
      </c>
      <c r="H1356" s="2">
        <f>IF(G1356="",1,0)</f>
        <v>1</v>
      </c>
      <c r="AG1356"/>
    </row>
    <row r="1357" spans="2:33" hidden="1">
      <c r="B1357" s="194" t="s">
        <v>2648</v>
      </c>
    </row>
    <row r="1358" spans="2:33" hidden="1">
      <c r="B1358" s="194" t="s">
        <v>2649</v>
      </c>
    </row>
    <row r="1359" spans="2:33" hidden="1">
      <c r="B1359" s="194" t="s">
        <v>2650</v>
      </c>
    </row>
    <row r="1360" spans="2:33" hidden="1">
      <c r="B1360" s="194" t="s">
        <v>2651</v>
      </c>
    </row>
    <row r="1361" spans="2:8" hidden="1">
      <c r="B1361" s="194" t="s">
        <v>2652</v>
      </c>
    </row>
    <row r="1362" spans="2:8" ht="14.4" hidden="1" thickBot="1">
      <c r="B1362" s="125" t="s">
        <v>2633</v>
      </c>
    </row>
    <row r="1363" spans="2:8" ht="14.4" hidden="1" thickBot="1">
      <c r="B1363" s="709" t="str">
        <f>IF(E559=B1364,B1364,IF(E559=B1365,B1365,IF(E559=B1366,B1366,IF(E559=B1367,B1367,IF(E559=B1368,B1368,"")))))</f>
        <v/>
      </c>
      <c r="C1363" s="671"/>
      <c r="D1363" s="671"/>
      <c r="E1363" s="671"/>
      <c r="F1363" s="672"/>
      <c r="G1363" s="566" t="str">
        <f>IF(E559=B1364,-1,IF(E559=B1365,0,IF(E559=B1366,1,IF(E559=B1367,0,IF(E559=B1368,-1,"")))))</f>
        <v/>
      </c>
      <c r="H1363" s="2">
        <f>IF(G1363="",1,0)</f>
        <v>1</v>
      </c>
    </row>
    <row r="1364" spans="2:8" hidden="1">
      <c r="B1364" s="194" t="s">
        <v>2634</v>
      </c>
    </row>
    <row r="1365" spans="2:8" hidden="1">
      <c r="B1365" s="194" t="s">
        <v>2635</v>
      </c>
    </row>
    <row r="1366" spans="2:8" hidden="1">
      <c r="B1366" s="194" t="s">
        <v>2636</v>
      </c>
    </row>
    <row r="1367" spans="2:8" hidden="1">
      <c r="B1367" s="194" t="s">
        <v>2637</v>
      </c>
    </row>
    <row r="1368" spans="2:8" hidden="1">
      <c r="B1368" s="194" t="s">
        <v>2638</v>
      </c>
    </row>
    <row r="1369" spans="2:8" hidden="1"/>
    <row r="1370" spans="2:8" hidden="1">
      <c r="H1370" s="710">
        <f>AVERAGE(H1335+H1342+H1349+H1356+H1363)</f>
        <v>5</v>
      </c>
    </row>
    <row r="1371" spans="2:8" hidden="1">
      <c r="B1371" s="597" t="str">
        <f>G1335</f>
        <v/>
      </c>
      <c r="C1371" s="597" t="str">
        <f>G1342</f>
        <v/>
      </c>
      <c r="D1371" s="597" t="str">
        <f>G1349</f>
        <v/>
      </c>
      <c r="E1371" s="597" t="str">
        <f>G1356</f>
        <v/>
      </c>
      <c r="F1371" s="597" t="str">
        <f>G1363</f>
        <v/>
      </c>
      <c r="G1371" s="710" t="str">
        <f>IF(H1370&gt;0,"",AVERAGE(B1371:F1371))</f>
        <v/>
      </c>
    </row>
    <row r="1372" spans="2:8" hidden="1"/>
    <row r="1373" spans="2:8" hidden="1"/>
    <row r="1374" spans="2:8" hidden="1"/>
    <row r="1375" spans="2:8" hidden="1"/>
    <row r="1376" spans="2:8" hidden="1"/>
    <row r="1377" spans="1:75" hidden="1">
      <c r="H1377" s="403" t="str">
        <f t="shared" ref="H1377:M1377" si="33">IF($H$115=$B1380,H1380,IF($H$115=$B1381,H1381,IF($H$115=$B1382,H1382,IF($H$115=$B1383,H1383,IF($H$115=$B1384,H1384,IF($H$115=$B1385,H1385,IF($H$115=$B1386,H1386,IF($H$115=$B1387,H1387,IF($H$115=$B1388,H1388,IF($H$115=$B1389,H1389,IF($H$115=$B1390,H1390,IF($H$115=$B1391,H1391,""))))))))))))</f>
        <v/>
      </c>
      <c r="I1377" s="403" t="str">
        <f t="shared" si="33"/>
        <v/>
      </c>
      <c r="J1377" s="403" t="str">
        <f t="shared" si="33"/>
        <v/>
      </c>
      <c r="K1377" s="415" t="str">
        <f t="shared" si="33"/>
        <v/>
      </c>
      <c r="L1377" s="415" t="str">
        <f t="shared" si="33"/>
        <v/>
      </c>
      <c r="M1377" s="415" t="str">
        <f t="shared" si="33"/>
        <v/>
      </c>
      <c r="P1377" s="403" t="str">
        <f t="shared" ref="P1377:AA1377" si="34">IF($H$115=$B1380,P1380,IF($H$115=$B1381,P1381,IF($H$115=$B1382,P1382,IF($H$115=$B1383,P1383,IF($H$115=$B1384,P1384,IF($H$115=$B1385,P1385,IF($H$115=$B1386,P1386,IF($H$115=$B1387,P1387,IF($H$115=$B1388,P1388,IF($H$115=$B1389,P1389,IF($H$115=$B1390,P1390,IF($H$115=$B1391,P1391,""))))))))))))</f>
        <v/>
      </c>
      <c r="Q1377" s="403" t="str">
        <f t="shared" si="34"/>
        <v/>
      </c>
      <c r="R1377" s="403" t="str">
        <f t="shared" si="34"/>
        <v/>
      </c>
      <c r="S1377" s="415" t="str">
        <f t="shared" si="34"/>
        <v/>
      </c>
      <c r="T1377" s="415" t="str">
        <f t="shared" si="34"/>
        <v/>
      </c>
      <c r="U1377" s="415" t="str">
        <f t="shared" si="34"/>
        <v/>
      </c>
      <c r="V1377" s="403" t="str">
        <f t="shared" si="34"/>
        <v/>
      </c>
      <c r="W1377" s="403" t="str">
        <f t="shared" si="34"/>
        <v/>
      </c>
      <c r="X1377" s="403" t="str">
        <f t="shared" si="34"/>
        <v/>
      </c>
      <c r="Y1377" s="415" t="str">
        <f t="shared" si="34"/>
        <v/>
      </c>
      <c r="Z1377" s="415" t="str">
        <f t="shared" si="34"/>
        <v/>
      </c>
      <c r="AA1377" s="415" t="str">
        <f t="shared" si="34"/>
        <v/>
      </c>
      <c r="AD1377" s="403" t="str">
        <f t="shared" ref="AD1377:AI1377" si="35">IF($H$115=$B1380,AD1380,IF($H$115=$B1381,AD1381,IF($H$115=$B1382,AD1382,IF($H$115=$B1383,AD1383,IF($H$115=$B1384,AD1384,IF($H$115=$B1385,AD1385,IF($H$115=$B1386,AD1386,IF($H$115=$B1387,AD1387,IF($H$115=$B1388,AD1388,IF($H$115=$B1389,AD1389,IF($H$115=$B1390,AD1390,IF($H$115=$B1391,AD1391,""))))))))))))</f>
        <v/>
      </c>
      <c r="AE1377" s="403" t="str">
        <f t="shared" si="35"/>
        <v/>
      </c>
      <c r="AF1377" s="403" t="str">
        <f t="shared" si="35"/>
        <v/>
      </c>
      <c r="AG1377" s="415" t="str">
        <f t="shared" si="35"/>
        <v/>
      </c>
      <c r="AH1377" s="415" t="str">
        <f t="shared" si="35"/>
        <v/>
      </c>
      <c r="AI1377" s="415" t="str">
        <f t="shared" si="35"/>
        <v/>
      </c>
    </row>
    <row r="1378" spans="1:75" hidden="1">
      <c r="H1378" s="609" t="s">
        <v>187</v>
      </c>
      <c r="I1378" s="609"/>
      <c r="J1378" s="609"/>
      <c r="K1378" s="610" t="s">
        <v>189</v>
      </c>
      <c r="L1378" s="420"/>
      <c r="M1378" s="420"/>
      <c r="P1378" s="403" t="s">
        <v>187</v>
      </c>
      <c r="Q1378" s="403"/>
      <c r="R1378" s="403"/>
      <c r="S1378" s="415" t="s">
        <v>189</v>
      </c>
      <c r="T1378" s="37"/>
      <c r="U1378" s="37"/>
      <c r="V1378" s="609" t="s">
        <v>187</v>
      </c>
      <c r="W1378" s="609"/>
      <c r="X1378" s="609"/>
      <c r="Y1378" s="610" t="s">
        <v>189</v>
      </c>
      <c r="Z1378" s="420"/>
      <c r="AA1378" s="420"/>
      <c r="AD1378" s="403" t="s">
        <v>187</v>
      </c>
      <c r="AE1378" s="403"/>
      <c r="AF1378" s="403"/>
      <c r="AG1378" s="415" t="s">
        <v>189</v>
      </c>
      <c r="AH1378" s="37"/>
      <c r="AI1378" s="37"/>
      <c r="AJ1378" s="37"/>
      <c r="AK1378" s="37"/>
      <c r="AL1378" s="37"/>
      <c r="AM1378" s="37"/>
      <c r="AN1378" s="37"/>
      <c r="AO1378" s="37"/>
      <c r="AP1378" s="37"/>
      <c r="AQ1378" s="37"/>
      <c r="AR1378" s="37"/>
      <c r="AS1378" s="37"/>
      <c r="AT1378" s="37"/>
      <c r="AU1378" s="37"/>
      <c r="AV1378" s="37"/>
      <c r="AW1378" s="37"/>
      <c r="AX1378" s="37"/>
      <c r="AY1378" s="37"/>
      <c r="AZ1378" s="37"/>
      <c r="BA1378" s="37"/>
      <c r="BB1378" s="37"/>
      <c r="BC1378" s="37"/>
      <c r="BD1378" s="37"/>
      <c r="BE1378" s="37"/>
      <c r="BF1378" s="37"/>
      <c r="BG1378" s="37"/>
      <c r="BH1378" s="37"/>
      <c r="BI1378" s="37"/>
      <c r="BJ1378" s="37"/>
      <c r="BK1378" s="37"/>
      <c r="BL1378" s="37"/>
      <c r="BM1378" s="37"/>
      <c r="BN1378" s="37"/>
      <c r="BO1378" s="37"/>
      <c r="BP1378" s="37"/>
      <c r="BQ1378" s="37"/>
      <c r="BR1378" s="37"/>
      <c r="BS1378" s="37"/>
      <c r="BT1378" s="37"/>
      <c r="BU1378" s="37"/>
      <c r="BV1378" s="37"/>
      <c r="BW1378" s="37"/>
    </row>
    <row r="1379" spans="1:75" hidden="1">
      <c r="H1379" s="611" t="s">
        <v>2109</v>
      </c>
      <c r="I1379" s="611" t="s">
        <v>2110</v>
      </c>
      <c r="J1379" s="611" t="s">
        <v>2111</v>
      </c>
      <c r="K1379" s="612" t="s">
        <v>2109</v>
      </c>
      <c r="L1379" s="612" t="s">
        <v>2110</v>
      </c>
      <c r="M1379" s="612" t="s">
        <v>2111</v>
      </c>
      <c r="P1379" s="611" t="s">
        <v>2112</v>
      </c>
      <c r="Q1379" s="611" t="s">
        <v>2113</v>
      </c>
      <c r="R1379" s="611" t="s">
        <v>2114</v>
      </c>
      <c r="S1379" s="612" t="s">
        <v>2112</v>
      </c>
      <c r="T1379" s="612" t="s">
        <v>2113</v>
      </c>
      <c r="U1379" s="612" t="s">
        <v>2114</v>
      </c>
      <c r="V1379" s="611" t="s">
        <v>2109</v>
      </c>
      <c r="W1379" s="611" t="s">
        <v>2110</v>
      </c>
      <c r="X1379" s="611" t="s">
        <v>2111</v>
      </c>
      <c r="Y1379" s="612" t="s">
        <v>2109</v>
      </c>
      <c r="Z1379" s="612" t="s">
        <v>2110</v>
      </c>
      <c r="AA1379" s="612" t="s">
        <v>2111</v>
      </c>
      <c r="AD1379" s="611" t="s">
        <v>2112</v>
      </c>
      <c r="AE1379" s="611" t="s">
        <v>2113</v>
      </c>
      <c r="AF1379" s="611" t="s">
        <v>2114</v>
      </c>
      <c r="AG1379" s="612" t="s">
        <v>2112</v>
      </c>
      <c r="AH1379" s="612" t="s">
        <v>2113</v>
      </c>
      <c r="AI1379" s="612" t="s">
        <v>2114</v>
      </c>
      <c r="AJ1379" s="37"/>
      <c r="AK1379" s="37"/>
      <c r="AL1379" s="37"/>
      <c r="AM1379" s="37"/>
      <c r="AN1379" s="37"/>
      <c r="AO1379" s="37"/>
      <c r="AP1379" s="37"/>
      <c r="AQ1379" s="37"/>
      <c r="AR1379" s="37"/>
      <c r="AS1379" s="37"/>
      <c r="AT1379" s="37"/>
      <c r="AU1379" s="37"/>
      <c r="AV1379" s="37"/>
      <c r="AW1379" s="37"/>
      <c r="AX1379" s="37"/>
      <c r="AY1379" s="37"/>
      <c r="AZ1379" s="37"/>
      <c r="BA1379" s="37"/>
      <c r="BB1379" s="37"/>
      <c r="BC1379" s="37"/>
      <c r="BD1379" s="37"/>
      <c r="BE1379" s="37"/>
      <c r="BF1379" s="37"/>
      <c r="BG1379" s="37"/>
      <c r="BH1379" s="37"/>
      <c r="BI1379" s="37"/>
      <c r="BJ1379" s="37"/>
      <c r="BK1379" s="37"/>
      <c r="BL1379" s="37"/>
      <c r="BM1379" s="37"/>
      <c r="BN1379" s="37"/>
      <c r="BO1379" s="37"/>
      <c r="BP1379" s="37"/>
      <c r="BQ1379" s="37"/>
      <c r="BR1379" s="37"/>
      <c r="BS1379" s="37"/>
      <c r="BT1379" s="37"/>
      <c r="BU1379" s="37"/>
      <c r="BV1379" s="37"/>
      <c r="BW1379" s="37"/>
    </row>
    <row r="1380" spans="1:75" hidden="1">
      <c r="A1380" s="400">
        <f t="shared" ref="A1380:D1391" si="36">A1303</f>
        <v>1</v>
      </c>
      <c r="B1380" s="2" t="str">
        <f t="shared" si="36"/>
        <v>IMMIGRATION</v>
      </c>
      <c r="C1380" s="2" t="str">
        <f t="shared" si="36"/>
        <v>Immigration</v>
      </c>
      <c r="D1380" s="2" t="str">
        <f t="shared" si="36"/>
        <v>immigration</v>
      </c>
      <c r="H1380" s="2" t="s">
        <v>2118</v>
      </c>
      <c r="I1380" s="2" t="s">
        <v>2119</v>
      </c>
      <c r="J1380" s="2" t="s">
        <v>2120</v>
      </c>
      <c r="K1380" s="2" t="s">
        <v>2121</v>
      </c>
      <c r="L1380" s="2" t="s">
        <v>2122</v>
      </c>
      <c r="M1380" s="2" t="s">
        <v>2123</v>
      </c>
      <c r="P1380" s="2" t="s">
        <v>2115</v>
      </c>
      <c r="Q1380" s="2" t="s">
        <v>2116</v>
      </c>
      <c r="R1380" s="2" t="s">
        <v>2117</v>
      </c>
      <c r="S1380" s="2" t="s">
        <v>2147</v>
      </c>
      <c r="T1380" s="2" t="s">
        <v>2148</v>
      </c>
      <c r="U1380" s="2" t="s">
        <v>2149</v>
      </c>
      <c r="V1380" s="37" t="s">
        <v>2297</v>
      </c>
      <c r="W1380" s="37" t="s">
        <v>2298</v>
      </c>
      <c r="X1380" s="37" t="s">
        <v>2299</v>
      </c>
      <c r="Y1380" s="37" t="s">
        <v>2300</v>
      </c>
      <c r="Z1380" s="37" t="s">
        <v>2301</v>
      </c>
      <c r="AA1380" s="37" t="s">
        <v>2302</v>
      </c>
      <c r="AB1380" s="37"/>
      <c r="AC1380" s="37"/>
      <c r="AD1380" s="37" t="s">
        <v>2303</v>
      </c>
      <c r="AE1380" s="37" t="s">
        <v>2304</v>
      </c>
      <c r="AF1380" s="37" t="s">
        <v>2305</v>
      </c>
      <c r="AG1380" s="37" t="s">
        <v>2306</v>
      </c>
      <c r="AH1380" s="37" t="s">
        <v>2307</v>
      </c>
      <c r="AI1380" s="37" t="s">
        <v>2308</v>
      </c>
    </row>
    <row r="1381" spans="1:75" hidden="1">
      <c r="A1381" s="400">
        <f t="shared" si="36"/>
        <v>2</v>
      </c>
      <c r="B1381" s="2" t="str">
        <f t="shared" si="36"/>
        <v>CLIMATE CHANGE</v>
      </c>
      <c r="C1381" s="2" t="str">
        <f t="shared" si="36"/>
        <v>Climate change</v>
      </c>
      <c r="D1381" s="2" t="str">
        <f t="shared" si="36"/>
        <v>climate change</v>
      </c>
      <c r="H1381" s="2" t="s">
        <v>2135</v>
      </c>
      <c r="I1381" s="2" t="s">
        <v>2136</v>
      </c>
      <c r="J1381" s="2" t="s">
        <v>2137</v>
      </c>
      <c r="K1381" s="2" t="s">
        <v>2138</v>
      </c>
      <c r="L1381" s="2" t="s">
        <v>2139</v>
      </c>
      <c r="M1381" s="2" t="s">
        <v>2140</v>
      </c>
      <c r="P1381" s="2" t="s">
        <v>2141</v>
      </c>
      <c r="Q1381" s="2" t="s">
        <v>2142</v>
      </c>
      <c r="R1381" s="2" t="s">
        <v>2143</v>
      </c>
      <c r="S1381" s="2" t="s">
        <v>2144</v>
      </c>
      <c r="T1381" s="2" t="s">
        <v>2145</v>
      </c>
      <c r="U1381" s="2" t="s">
        <v>2146</v>
      </c>
      <c r="V1381" s="37" t="s">
        <v>2309</v>
      </c>
      <c r="W1381" s="37" t="s">
        <v>2310</v>
      </c>
      <c r="X1381" s="37" t="s">
        <v>2311</v>
      </c>
      <c r="Y1381" s="37" t="s">
        <v>2312</v>
      </c>
      <c r="Z1381" s="37" t="s">
        <v>2313</v>
      </c>
      <c r="AA1381" s="37" t="s">
        <v>2314</v>
      </c>
      <c r="AB1381" s="37"/>
      <c r="AC1381" s="37"/>
      <c r="AD1381" s="37" t="s">
        <v>2315</v>
      </c>
      <c r="AE1381" s="37" t="s">
        <v>2316</v>
      </c>
      <c r="AF1381" s="37" t="s">
        <v>2317</v>
      </c>
      <c r="AG1381" s="37" t="s">
        <v>2318</v>
      </c>
      <c r="AH1381" s="37" t="s">
        <v>2319</v>
      </c>
      <c r="AI1381" s="37" t="s">
        <v>2320</v>
      </c>
    </row>
    <row r="1382" spans="1:75" hidden="1">
      <c r="A1382" s="400">
        <f t="shared" si="36"/>
        <v>3</v>
      </c>
      <c r="B1382" s="2" t="str">
        <f t="shared" si="36"/>
        <v>GUN SAFETY</v>
      </c>
      <c r="C1382" s="2" t="str">
        <f t="shared" si="36"/>
        <v>Gun safety</v>
      </c>
      <c r="D1382" s="2" t="str">
        <f t="shared" si="36"/>
        <v>gun safety</v>
      </c>
      <c r="H1382" s="2" t="s">
        <v>2150</v>
      </c>
      <c r="I1382" s="2" t="s">
        <v>2151</v>
      </c>
      <c r="J1382" s="2" t="s">
        <v>2152</v>
      </c>
      <c r="K1382" s="2" t="s">
        <v>2153</v>
      </c>
      <c r="L1382" s="2" t="s">
        <v>2154</v>
      </c>
      <c r="M1382" s="2" t="s">
        <v>2155</v>
      </c>
      <c r="N1382" s="2" t="s">
        <v>2170</v>
      </c>
      <c r="P1382" s="2" t="s">
        <v>2156</v>
      </c>
      <c r="Q1382" s="2" t="s">
        <v>2157</v>
      </c>
      <c r="R1382" s="2" t="s">
        <v>2158</v>
      </c>
      <c r="S1382" s="2" t="s">
        <v>2159</v>
      </c>
      <c r="T1382" s="2" t="s">
        <v>2160</v>
      </c>
      <c r="U1382" s="2" t="s">
        <v>2161</v>
      </c>
      <c r="V1382" s="37" t="s">
        <v>2321</v>
      </c>
      <c r="W1382" s="37" t="s">
        <v>2322</v>
      </c>
      <c r="X1382" s="37" t="s">
        <v>2323</v>
      </c>
      <c r="Y1382" s="37" t="s">
        <v>2324</v>
      </c>
      <c r="Z1382" s="37" t="s">
        <v>2325</v>
      </c>
      <c r="AA1382" s="37" t="s">
        <v>2326</v>
      </c>
      <c r="AB1382" s="37"/>
      <c r="AC1382" s="37"/>
      <c r="AD1382" s="37" t="s">
        <v>2327</v>
      </c>
      <c r="AE1382" s="37" t="s">
        <v>2328</v>
      </c>
      <c r="AF1382" s="37" t="s">
        <v>2329</v>
      </c>
      <c r="AG1382" s="37" t="s">
        <v>2330</v>
      </c>
      <c r="AH1382" s="37" t="s">
        <v>2331</v>
      </c>
      <c r="AI1382" s="37" t="s">
        <v>2332</v>
      </c>
    </row>
    <row r="1383" spans="1:75" hidden="1">
      <c r="A1383" s="400">
        <f t="shared" si="36"/>
        <v>4</v>
      </c>
      <c r="B1383" s="2" t="str">
        <f t="shared" si="36"/>
        <v>ABORTION</v>
      </c>
      <c r="C1383" s="2" t="str">
        <f t="shared" si="36"/>
        <v>Abortion</v>
      </c>
      <c r="D1383" s="2" t="str">
        <f t="shared" si="36"/>
        <v>abortion</v>
      </c>
      <c r="H1383" s="2" t="s">
        <v>2171</v>
      </c>
      <c r="I1383" s="2" t="s">
        <v>2172</v>
      </c>
      <c r="J1383" s="2" t="s">
        <v>2173</v>
      </c>
      <c r="K1383" s="2" t="s">
        <v>2174</v>
      </c>
      <c r="L1383" s="2" t="s">
        <v>2175</v>
      </c>
      <c r="M1383" s="2" t="s">
        <v>2170</v>
      </c>
      <c r="P1383" s="2" t="s">
        <v>2176</v>
      </c>
      <c r="Q1383" s="2" t="s">
        <v>2177</v>
      </c>
      <c r="R1383" s="2" t="s">
        <v>2178</v>
      </c>
      <c r="S1383" s="2" t="s">
        <v>2179</v>
      </c>
      <c r="T1383" s="2" t="s">
        <v>2180</v>
      </c>
      <c r="U1383" s="2" t="s">
        <v>2181</v>
      </c>
      <c r="V1383" s="37" t="s">
        <v>2162</v>
      </c>
      <c r="W1383" s="37" t="s">
        <v>2163</v>
      </c>
      <c r="X1383" s="37" t="s">
        <v>2164</v>
      </c>
      <c r="Y1383" s="37" t="s">
        <v>2165</v>
      </c>
      <c r="Z1383" s="37" t="s">
        <v>2166</v>
      </c>
      <c r="AA1383" s="37" t="s">
        <v>2167</v>
      </c>
      <c r="AB1383" s="37"/>
      <c r="AC1383" s="37"/>
      <c r="AD1383" s="37" t="s">
        <v>2294</v>
      </c>
      <c r="AE1383" s="37" t="s">
        <v>2168</v>
      </c>
      <c r="AF1383" s="37" t="s">
        <v>2295</v>
      </c>
      <c r="AG1383" s="37" t="s">
        <v>2293</v>
      </c>
      <c r="AH1383" s="37" t="s">
        <v>2169</v>
      </c>
      <c r="AI1383" s="37" t="s">
        <v>2296</v>
      </c>
    </row>
    <row r="1384" spans="1:75" hidden="1">
      <c r="A1384" s="400">
        <f t="shared" si="36"/>
        <v>5</v>
      </c>
      <c r="B1384" s="2" t="str">
        <f t="shared" si="36"/>
        <v>HEALTHCARE</v>
      </c>
      <c r="C1384" s="2" t="str">
        <f t="shared" si="36"/>
        <v>Healthcare</v>
      </c>
      <c r="D1384" s="2" t="str">
        <f t="shared" si="36"/>
        <v>healthcare</v>
      </c>
      <c r="H1384" s="2" t="s">
        <v>2182</v>
      </c>
      <c r="I1384" s="2" t="s">
        <v>2183</v>
      </c>
      <c r="J1384" s="2" t="s">
        <v>2184</v>
      </c>
      <c r="K1384" s="2" t="s">
        <v>2185</v>
      </c>
      <c r="L1384" s="2" t="s">
        <v>2186</v>
      </c>
      <c r="M1384" s="2" t="s">
        <v>2187</v>
      </c>
      <c r="P1384" s="2" t="s">
        <v>2188</v>
      </c>
      <c r="Q1384" s="2" t="s">
        <v>2189</v>
      </c>
      <c r="R1384" s="2" t="s">
        <v>2190</v>
      </c>
      <c r="S1384" s="2" t="s">
        <v>2191</v>
      </c>
      <c r="T1384" s="2" t="s">
        <v>2192</v>
      </c>
      <c r="U1384" s="2" t="s">
        <v>2193</v>
      </c>
      <c r="V1384" s="37" t="s">
        <v>2333</v>
      </c>
      <c r="W1384" s="37" t="s">
        <v>2334</v>
      </c>
      <c r="X1384" s="37" t="s">
        <v>2335</v>
      </c>
      <c r="Y1384" s="37" t="s">
        <v>2336</v>
      </c>
      <c r="Z1384" s="37" t="s">
        <v>2337</v>
      </c>
      <c r="AA1384" s="37" t="s">
        <v>2338</v>
      </c>
      <c r="AB1384" s="37"/>
      <c r="AC1384" s="37"/>
      <c r="AD1384" s="37" t="s">
        <v>2339</v>
      </c>
      <c r="AE1384" s="37" t="s">
        <v>2340</v>
      </c>
      <c r="AF1384" s="37" t="s">
        <v>2341</v>
      </c>
      <c r="AG1384" s="37" t="s">
        <v>2342</v>
      </c>
      <c r="AH1384" s="37" t="s">
        <v>2343</v>
      </c>
      <c r="AI1384" s="37" t="s">
        <v>2344</v>
      </c>
    </row>
    <row r="1385" spans="1:75" hidden="1">
      <c r="A1385" s="400">
        <f t="shared" si="36"/>
        <v>6</v>
      </c>
      <c r="B1385" s="2" t="str">
        <f t="shared" si="36"/>
        <v>CRIMINAL JUSTICE</v>
      </c>
      <c r="C1385" s="2" t="str">
        <f t="shared" si="36"/>
        <v>Criminal justice</v>
      </c>
      <c r="D1385" s="2" t="str">
        <f t="shared" si="36"/>
        <v>criminal justice</v>
      </c>
      <c r="H1385" s="2" t="s">
        <v>2194</v>
      </c>
      <c r="I1385" s="2" t="s">
        <v>2195</v>
      </c>
      <c r="J1385" s="2" t="s">
        <v>2196</v>
      </c>
      <c r="K1385" s="2" t="s">
        <v>2197</v>
      </c>
      <c r="L1385" s="2" t="s">
        <v>2198</v>
      </c>
      <c r="M1385" s="2" t="s">
        <v>2199</v>
      </c>
      <c r="P1385" s="2" t="s">
        <v>2200</v>
      </c>
      <c r="Q1385" s="2" t="s">
        <v>2201</v>
      </c>
      <c r="R1385" s="2" t="s">
        <v>2202</v>
      </c>
      <c r="S1385" s="2" t="s">
        <v>2203</v>
      </c>
      <c r="T1385" s="2" t="s">
        <v>2204</v>
      </c>
      <c r="U1385" s="2" t="s">
        <v>2205</v>
      </c>
      <c r="V1385" s="37" t="s">
        <v>2345</v>
      </c>
      <c r="W1385" s="37" t="s">
        <v>2346</v>
      </c>
      <c r="X1385" s="37" t="s">
        <v>2347</v>
      </c>
      <c r="Y1385" s="37" t="s">
        <v>2348</v>
      </c>
      <c r="Z1385" s="37" t="s">
        <v>2349</v>
      </c>
      <c r="AA1385" s="37" t="s">
        <v>2350</v>
      </c>
      <c r="AB1385" s="37"/>
      <c r="AC1385" s="37"/>
      <c r="AD1385" s="37" t="s">
        <v>2351</v>
      </c>
      <c r="AE1385" s="37" t="s">
        <v>2352</v>
      </c>
      <c r="AF1385" s="37" t="s">
        <v>2353</v>
      </c>
      <c r="AG1385" s="37" t="s">
        <v>2354</v>
      </c>
      <c r="AH1385" s="37" t="s">
        <v>2355</v>
      </c>
      <c r="AI1385" s="37" t="s">
        <v>2356</v>
      </c>
    </row>
    <row r="1386" spans="1:75" hidden="1">
      <c r="A1386" s="400">
        <f t="shared" si="36"/>
        <v>7</v>
      </c>
      <c r="B1386" s="2" t="str">
        <f t="shared" si="36"/>
        <v>ECONOMY</v>
      </c>
      <c r="C1386" s="2" t="str">
        <f t="shared" si="36"/>
        <v>Economy</v>
      </c>
      <c r="D1386" s="2" t="str">
        <f t="shared" si="36"/>
        <v>economic policy</v>
      </c>
      <c r="H1386" s="2" t="s">
        <v>2206</v>
      </c>
      <c r="I1386" s="2" t="s">
        <v>2211</v>
      </c>
      <c r="J1386" s="2" t="s">
        <v>2212</v>
      </c>
      <c r="K1386" s="2" t="s">
        <v>2213</v>
      </c>
      <c r="L1386" s="2" t="s">
        <v>2214</v>
      </c>
      <c r="M1386" s="2" t="s">
        <v>2215</v>
      </c>
      <c r="P1386" s="2" t="s">
        <v>2216</v>
      </c>
      <c r="Q1386" s="2" t="s">
        <v>2217</v>
      </c>
      <c r="R1386" s="2" t="s">
        <v>2218</v>
      </c>
      <c r="S1386" s="2" t="s">
        <v>2219</v>
      </c>
      <c r="T1386" s="2" t="s">
        <v>2220</v>
      </c>
      <c r="U1386" s="2" t="s">
        <v>2221</v>
      </c>
      <c r="V1386" s="37" t="s">
        <v>2207</v>
      </c>
      <c r="W1386" s="37" t="s">
        <v>2208</v>
      </c>
      <c r="X1386" s="37" t="s">
        <v>2357</v>
      </c>
      <c r="Y1386" s="37" t="s">
        <v>2209</v>
      </c>
      <c r="Z1386" s="37" t="s">
        <v>2210</v>
      </c>
      <c r="AA1386" s="37" t="s">
        <v>2358</v>
      </c>
      <c r="AB1386" s="37"/>
      <c r="AC1386" s="37"/>
      <c r="AD1386" s="37" t="s">
        <v>2359</v>
      </c>
      <c r="AE1386" s="37" t="s">
        <v>2360</v>
      </c>
      <c r="AF1386" s="37" t="s">
        <v>2361</v>
      </c>
      <c r="AG1386" s="37" t="s">
        <v>2362</v>
      </c>
      <c r="AH1386" s="37" t="s">
        <v>2363</v>
      </c>
      <c r="AI1386" s="37" t="s">
        <v>2364</v>
      </c>
    </row>
    <row r="1387" spans="1:75" hidden="1">
      <c r="A1387" s="400">
        <f t="shared" si="36"/>
        <v>8</v>
      </c>
      <c r="B1387" s="2" t="str">
        <f t="shared" si="36"/>
        <v>RACISM</v>
      </c>
      <c r="C1387" s="2" t="str">
        <f t="shared" si="36"/>
        <v>Racism</v>
      </c>
      <c r="D1387" s="2" t="str">
        <f t="shared" si="36"/>
        <v>racism</v>
      </c>
      <c r="H1387" s="2" t="s">
        <v>2222</v>
      </c>
      <c r="I1387" s="2" t="s">
        <v>2223</v>
      </c>
      <c r="J1387" s="2" t="s">
        <v>2224</v>
      </c>
      <c r="K1387" s="2" t="s">
        <v>2225</v>
      </c>
      <c r="L1387" s="2" t="s">
        <v>2226</v>
      </c>
      <c r="M1387" s="2" t="s">
        <v>2227</v>
      </c>
      <c r="P1387" s="2" t="s">
        <v>2228</v>
      </c>
      <c r="Q1387" s="2" t="s">
        <v>2229</v>
      </c>
      <c r="R1387" s="2" t="s">
        <v>2230</v>
      </c>
      <c r="S1387" s="2" t="s">
        <v>2231</v>
      </c>
      <c r="T1387" s="2" t="s">
        <v>2232</v>
      </c>
      <c r="U1387" s="2" t="s">
        <v>2233</v>
      </c>
      <c r="V1387" s="37" t="s">
        <v>2365</v>
      </c>
      <c r="W1387" s="37" t="s">
        <v>2366</v>
      </c>
      <c r="X1387" s="37" t="s">
        <v>2367</v>
      </c>
      <c r="Y1387" s="37" t="s">
        <v>2368</v>
      </c>
      <c r="Z1387" s="37" t="s">
        <v>2369</v>
      </c>
      <c r="AA1387" s="37" t="s">
        <v>2370</v>
      </c>
      <c r="AB1387" s="37"/>
      <c r="AC1387" s="37"/>
      <c r="AD1387" s="37" t="s">
        <v>2371</v>
      </c>
      <c r="AE1387" s="37" t="s">
        <v>2372</v>
      </c>
      <c r="AF1387" s="37" t="s">
        <v>2373</v>
      </c>
      <c r="AG1387" s="37" t="s">
        <v>2374</v>
      </c>
      <c r="AH1387" s="37" t="s">
        <v>2375</v>
      </c>
      <c r="AI1387" s="37" t="s">
        <v>2376</v>
      </c>
    </row>
    <row r="1388" spans="1:75" hidden="1">
      <c r="A1388" s="400">
        <f t="shared" si="36"/>
        <v>9</v>
      </c>
      <c r="B1388" s="2" t="str">
        <f t="shared" si="36"/>
        <v>POLICE BRUTALITY</v>
      </c>
      <c r="C1388" s="2" t="str">
        <f t="shared" si="36"/>
        <v>Police brutality</v>
      </c>
      <c r="D1388" s="2" t="str">
        <f t="shared" si="36"/>
        <v>police brutality</v>
      </c>
      <c r="H1388" s="2" t="s">
        <v>2234</v>
      </c>
      <c r="I1388" s="2" t="s">
        <v>2235</v>
      </c>
      <c r="J1388" s="2" t="s">
        <v>2236</v>
      </c>
      <c r="K1388" s="2" t="s">
        <v>2237</v>
      </c>
      <c r="L1388" s="2" t="s">
        <v>2238</v>
      </c>
      <c r="M1388" s="2" t="s">
        <v>2239</v>
      </c>
      <c r="P1388" s="2" t="s">
        <v>2240</v>
      </c>
      <c r="Q1388" s="2" t="s">
        <v>2241</v>
      </c>
      <c r="R1388" s="2" t="s">
        <v>2242</v>
      </c>
      <c r="S1388" s="2" t="s">
        <v>2410</v>
      </c>
      <c r="T1388" s="2" t="s">
        <v>2243</v>
      </c>
      <c r="U1388" s="2" t="s">
        <v>2244</v>
      </c>
      <c r="V1388" s="37" t="s">
        <v>2377</v>
      </c>
      <c r="W1388" s="37" t="s">
        <v>2310</v>
      </c>
      <c r="X1388" s="37" t="s">
        <v>2378</v>
      </c>
      <c r="Y1388" s="37" t="s">
        <v>2379</v>
      </c>
      <c r="Z1388" s="37" t="s">
        <v>2380</v>
      </c>
      <c r="AA1388" s="37" t="s">
        <v>2381</v>
      </c>
      <c r="AB1388" s="37"/>
      <c r="AC1388" s="37"/>
      <c r="AD1388" s="37" t="s">
        <v>2382</v>
      </c>
      <c r="AE1388" s="37" t="s">
        <v>2383</v>
      </c>
      <c r="AF1388" s="37" t="s">
        <v>2384</v>
      </c>
      <c r="AG1388" s="37" t="s">
        <v>2385</v>
      </c>
      <c r="AH1388" s="37" t="s">
        <v>2386</v>
      </c>
      <c r="AI1388" s="37" t="s">
        <v>2387</v>
      </c>
    </row>
    <row r="1389" spans="1:75" hidden="1">
      <c r="A1389" s="400">
        <f t="shared" si="36"/>
        <v>10</v>
      </c>
      <c r="B1389" s="2" t="str">
        <f t="shared" si="36"/>
        <v>VOTING FAIRNESS</v>
      </c>
      <c r="C1389" s="2" t="str">
        <f t="shared" si="36"/>
        <v>Voting fairness</v>
      </c>
      <c r="D1389" s="2" t="str">
        <f t="shared" si="36"/>
        <v>voting fairness</v>
      </c>
      <c r="H1389" s="2" t="s">
        <v>2245</v>
      </c>
      <c r="I1389" s="2" t="s">
        <v>2246</v>
      </c>
      <c r="J1389" s="2" t="s">
        <v>2247</v>
      </c>
      <c r="K1389" s="2" t="s">
        <v>2248</v>
      </c>
      <c r="L1389" s="2" t="s">
        <v>2249</v>
      </c>
      <c r="M1389" s="2" t="s">
        <v>2250</v>
      </c>
      <c r="P1389" s="2" t="s">
        <v>2251</v>
      </c>
      <c r="Q1389" s="2" t="s">
        <v>2252</v>
      </c>
      <c r="R1389" s="2" t="s">
        <v>2253</v>
      </c>
      <c r="S1389" s="2" t="s">
        <v>2254</v>
      </c>
      <c r="T1389" s="2" t="s">
        <v>2255</v>
      </c>
      <c r="U1389" s="2" t="s">
        <v>2256</v>
      </c>
      <c r="V1389" s="37" t="s">
        <v>2388</v>
      </c>
      <c r="W1389" s="37" t="s">
        <v>2389</v>
      </c>
      <c r="X1389" s="37" t="s">
        <v>2390</v>
      </c>
      <c r="Y1389" s="37" t="s">
        <v>2391</v>
      </c>
      <c r="Z1389" s="37" t="s">
        <v>2392</v>
      </c>
      <c r="AA1389" s="37" t="s">
        <v>2390</v>
      </c>
      <c r="AB1389" s="37"/>
      <c r="AC1389" s="37"/>
      <c r="AD1389" s="37" t="s">
        <v>2393</v>
      </c>
      <c r="AE1389" s="37" t="s">
        <v>2394</v>
      </c>
      <c r="AF1389" s="37" t="s">
        <v>2395</v>
      </c>
      <c r="AG1389" s="37" t="s">
        <v>2396</v>
      </c>
      <c r="AH1389" s="37" t="s">
        <v>2397</v>
      </c>
      <c r="AI1389" s="37" t="s">
        <v>2398</v>
      </c>
    </row>
    <row r="1390" spans="1:75" hidden="1">
      <c r="A1390" s="400">
        <f t="shared" si="36"/>
        <v>11</v>
      </c>
      <c r="B1390" s="2" t="str">
        <f t="shared" si="36"/>
        <v>COVID SAFETY</v>
      </c>
      <c r="C1390" s="2" t="str">
        <f t="shared" si="36"/>
        <v>Covid safety</v>
      </c>
      <c r="D1390" s="2" t="str">
        <f t="shared" si="36"/>
        <v>covid safety</v>
      </c>
      <c r="H1390" s="2" t="s">
        <v>2257</v>
      </c>
      <c r="I1390" s="2" t="s">
        <v>2258</v>
      </c>
      <c r="J1390" s="2" t="s">
        <v>2259</v>
      </c>
      <c r="K1390" s="2" t="s">
        <v>2260</v>
      </c>
      <c r="L1390" s="2" t="s">
        <v>2261</v>
      </c>
      <c r="M1390" s="2" t="s">
        <v>2262</v>
      </c>
      <c r="P1390" s="2" t="s">
        <v>2263</v>
      </c>
      <c r="Q1390" s="2" t="s">
        <v>2264</v>
      </c>
      <c r="R1390" s="2" t="s">
        <v>2265</v>
      </c>
      <c r="S1390" s="2" t="s">
        <v>2266</v>
      </c>
      <c r="T1390" s="2" t="s">
        <v>2267</v>
      </c>
      <c r="U1390" s="2" t="s">
        <v>2268</v>
      </c>
      <c r="V1390" s="37" t="s">
        <v>2399</v>
      </c>
      <c r="W1390" s="37" t="s">
        <v>2400</v>
      </c>
      <c r="X1390" s="37" t="s">
        <v>2401</v>
      </c>
      <c r="Y1390" s="37" t="s">
        <v>2402</v>
      </c>
      <c r="Z1390" s="37" t="s">
        <v>2403</v>
      </c>
      <c r="AA1390" s="37" t="s">
        <v>2314</v>
      </c>
      <c r="AB1390" s="37"/>
      <c r="AC1390" s="37"/>
      <c r="AD1390" s="37" t="s">
        <v>2404</v>
      </c>
      <c r="AE1390" s="37" t="s">
        <v>2405</v>
      </c>
      <c r="AF1390" s="37" t="s">
        <v>2406</v>
      </c>
      <c r="AG1390" s="37" t="s">
        <v>2407</v>
      </c>
      <c r="AH1390" s="37" t="s">
        <v>2408</v>
      </c>
      <c r="AI1390" s="37" t="s">
        <v>2409</v>
      </c>
    </row>
    <row r="1391" spans="1:75" hidden="1">
      <c r="A1391" s="400">
        <f t="shared" si="36"/>
        <v>12</v>
      </c>
      <c r="B1391" s="2" t="str">
        <f t="shared" si="36"/>
        <v>PUBLIC SPEECH</v>
      </c>
      <c r="C1391" s="2" t="str">
        <f t="shared" si="36"/>
        <v>Public speech</v>
      </c>
      <c r="D1391" s="2" t="str">
        <f t="shared" si="36"/>
        <v>public speech</v>
      </c>
      <c r="H1391" s="2" t="s">
        <v>2269</v>
      </c>
      <c r="I1391" s="2" t="s">
        <v>2270</v>
      </c>
      <c r="J1391" s="2" t="s">
        <v>2271</v>
      </c>
      <c r="K1391" s="2" t="s">
        <v>2272</v>
      </c>
      <c r="L1391" s="2" t="s">
        <v>2273</v>
      </c>
      <c r="M1391" s="2" t="s">
        <v>2274</v>
      </c>
      <c r="P1391" s="2" t="s">
        <v>2275</v>
      </c>
      <c r="Q1391" s="2" t="s">
        <v>2276</v>
      </c>
      <c r="R1391" s="2" t="s">
        <v>2277</v>
      </c>
      <c r="S1391" s="2" t="s">
        <v>2278</v>
      </c>
      <c r="T1391" s="2" t="s">
        <v>2279</v>
      </c>
      <c r="U1391" s="2" t="s">
        <v>2280</v>
      </c>
      <c r="V1391" s="37" t="s">
        <v>2281</v>
      </c>
      <c r="W1391" s="37" t="s">
        <v>2282</v>
      </c>
      <c r="X1391" s="37" t="s">
        <v>2283</v>
      </c>
      <c r="Y1391" s="37" t="s">
        <v>2284</v>
      </c>
      <c r="Z1391" s="37" t="s">
        <v>2285</v>
      </c>
      <c r="AA1391" s="37" t="s">
        <v>2286</v>
      </c>
      <c r="AB1391" s="37"/>
      <c r="AC1391" s="37"/>
      <c r="AD1391" s="37" t="s">
        <v>2287</v>
      </c>
      <c r="AE1391" s="37" t="s">
        <v>2288</v>
      </c>
      <c r="AF1391" s="37" t="s">
        <v>2289</v>
      </c>
      <c r="AG1391" s="37" t="s">
        <v>2290</v>
      </c>
      <c r="AH1391" s="37" t="s">
        <v>2291</v>
      </c>
      <c r="AI1391" s="37" t="s">
        <v>2292</v>
      </c>
    </row>
    <row r="1392" spans="1:75" hidden="1">
      <c r="V1392" s="47"/>
    </row>
    <row r="1393" spans="22:22" hidden="1">
      <c r="V1393" s="47"/>
    </row>
    <row r="1394" spans="22:22" hidden="1"/>
    <row r="1395" spans="22:22" hidden="1"/>
    <row r="1396" spans="22:22" hidden="1"/>
    <row r="1397" spans="22:22" hidden="1"/>
    <row r="1398" spans="22:22" hidden="1"/>
    <row r="1399" spans="22:22" hidden="1"/>
  </sheetData>
  <mergeCells count="292">
    <mergeCell ref="B1030:M1033"/>
    <mergeCell ref="I1013:M1013"/>
    <mergeCell ref="G1006:H1006"/>
    <mergeCell ref="B1015:M1017"/>
    <mergeCell ref="B1018:M1020"/>
    <mergeCell ref="B1021:M1023"/>
    <mergeCell ref="B1025:M1026"/>
    <mergeCell ref="B1028:M1029"/>
    <mergeCell ref="B959:L961"/>
    <mergeCell ref="B962:J964"/>
    <mergeCell ref="K962:L962"/>
    <mergeCell ref="B1003:M1005"/>
    <mergeCell ref="D983:J984"/>
    <mergeCell ref="D986:J987"/>
    <mergeCell ref="D989:J990"/>
    <mergeCell ref="D992:J993"/>
    <mergeCell ref="K989:M989"/>
    <mergeCell ref="K992:M992"/>
    <mergeCell ref="K995:M995"/>
    <mergeCell ref="D995:J996"/>
    <mergeCell ref="B909:M910"/>
    <mergeCell ref="B913:M914"/>
    <mergeCell ref="B917:M918"/>
    <mergeCell ref="B921:M922"/>
    <mergeCell ref="B925:M926"/>
    <mergeCell ref="H906:L906"/>
    <mergeCell ref="K952:L952"/>
    <mergeCell ref="K953:L953"/>
    <mergeCell ref="C944:F944"/>
    <mergeCell ref="C945:F945"/>
    <mergeCell ref="C946:F946"/>
    <mergeCell ref="C947:F947"/>
    <mergeCell ref="C948:F948"/>
    <mergeCell ref="C950:F950"/>
    <mergeCell ref="C951:F951"/>
    <mergeCell ref="L937:M937"/>
    <mergeCell ref="L938:M938"/>
    <mergeCell ref="D937:E937"/>
    <mergeCell ref="K944:L944"/>
    <mergeCell ref="K945:L945"/>
    <mergeCell ref="K946:L946"/>
    <mergeCell ref="K947:L947"/>
    <mergeCell ref="K948:L948"/>
    <mergeCell ref="B280:M284"/>
    <mergeCell ref="D230:K236"/>
    <mergeCell ref="B359:G362"/>
    <mergeCell ref="B357:M357"/>
    <mergeCell ref="B364:M364"/>
    <mergeCell ref="D900:F900"/>
    <mergeCell ref="K974:M974"/>
    <mergeCell ref="K977:M977"/>
    <mergeCell ref="B260:M264"/>
    <mergeCell ref="B251:D256"/>
    <mergeCell ref="B294:M298"/>
    <mergeCell ref="B390:M395"/>
    <mergeCell ref="B380:M384"/>
    <mergeCell ref="B317:M323"/>
    <mergeCell ref="B332:M337"/>
    <mergeCell ref="B340:M347"/>
    <mergeCell ref="B244:M249"/>
    <mergeCell ref="H373:M377"/>
    <mergeCell ref="B487:G487"/>
    <mergeCell ref="F629:G629"/>
    <mergeCell ref="H629:I629"/>
    <mergeCell ref="J629:K629"/>
    <mergeCell ref="B398:M403"/>
    <mergeCell ref="K950:L950"/>
    <mergeCell ref="K980:M980"/>
    <mergeCell ref="H904:L904"/>
    <mergeCell ref="H902:L902"/>
    <mergeCell ref="I901:K901"/>
    <mergeCell ref="I903:K903"/>
    <mergeCell ref="I905:K905"/>
    <mergeCell ref="D938:E938"/>
    <mergeCell ref="H937:I937"/>
    <mergeCell ref="H938:I938"/>
    <mergeCell ref="G943:H943"/>
    <mergeCell ref="I943:J943"/>
    <mergeCell ref="F938:G938"/>
    <mergeCell ref="B943:F943"/>
    <mergeCell ref="C952:F952"/>
    <mergeCell ref="C953:F953"/>
    <mergeCell ref="K943:L943"/>
    <mergeCell ref="K949:L949"/>
    <mergeCell ref="K951:L951"/>
    <mergeCell ref="K955:L955"/>
    <mergeCell ref="K956:L956"/>
    <mergeCell ref="K957:L957"/>
    <mergeCell ref="P90:AA90"/>
    <mergeCell ref="B126:M126"/>
    <mergeCell ref="B127:M127"/>
    <mergeCell ref="P312:AA312"/>
    <mergeCell ref="B133:M135"/>
    <mergeCell ref="B481:G481"/>
    <mergeCell ref="H481:M481"/>
    <mergeCell ref="B230:B235"/>
    <mergeCell ref="M230:M235"/>
    <mergeCell ref="B353:M355"/>
    <mergeCell ref="B286:M286"/>
    <mergeCell ref="D412:G416"/>
    <mergeCell ref="H412:K416"/>
    <mergeCell ref="H287:M291"/>
    <mergeCell ref="B325:E328"/>
    <mergeCell ref="J325:M328"/>
    <mergeCell ref="B300:E303"/>
    <mergeCell ref="J300:M303"/>
    <mergeCell ref="B305:E308"/>
    <mergeCell ref="J305:M308"/>
    <mergeCell ref="H153:M157"/>
    <mergeCell ref="B160:M163"/>
    <mergeCell ref="B418:M420"/>
    <mergeCell ref="E266:J266"/>
    <mergeCell ref="H113:M113"/>
    <mergeCell ref="H115:M115"/>
    <mergeCell ref="I118:M118"/>
    <mergeCell ref="P1044:V1044"/>
    <mergeCell ref="B1011:M1011"/>
    <mergeCell ref="H487:M487"/>
    <mergeCell ref="B484:G484"/>
    <mergeCell ref="H484:M484"/>
    <mergeCell ref="B483:G483"/>
    <mergeCell ref="H483:M483"/>
    <mergeCell ref="B485:G485"/>
    <mergeCell ref="H485:M485"/>
    <mergeCell ref="L633:M633"/>
    <mergeCell ref="B634:E634"/>
    <mergeCell ref="F634:G634"/>
    <mergeCell ref="L629:M629"/>
    <mergeCell ref="B631:E631"/>
    <mergeCell ref="F631:G631"/>
    <mergeCell ref="H631:I631"/>
    <mergeCell ref="J631:K631"/>
    <mergeCell ref="L631:M631"/>
    <mergeCell ref="B632:E632"/>
    <mergeCell ref="B266:D266"/>
    <mergeCell ref="B267:M273"/>
    <mergeCell ref="B1072:L1072"/>
    <mergeCell ref="B1073:L1073"/>
    <mergeCell ref="B480:G480"/>
    <mergeCell ref="H480:M480"/>
    <mergeCell ref="B170:M173"/>
    <mergeCell ref="E551:M551"/>
    <mergeCell ref="E553:M553"/>
    <mergeCell ref="E559:M559"/>
    <mergeCell ref="E555:M555"/>
    <mergeCell ref="E557:M557"/>
    <mergeCell ref="B561:M563"/>
    <mergeCell ref="H634:I634"/>
    <mergeCell ref="J634:K634"/>
    <mergeCell ref="K266:M266"/>
    <mergeCell ref="K251:M256"/>
    <mergeCell ref="B287:G291"/>
    <mergeCell ref="B197:M200"/>
    <mergeCell ref="B175:E177"/>
    <mergeCell ref="B178:E180"/>
    <mergeCell ref="J175:M177"/>
    <mergeCell ref="J178:M180"/>
    <mergeCell ref="B189:D191"/>
    <mergeCell ref="K189:M191"/>
    <mergeCell ref="K192:M194"/>
    <mergeCell ref="B146:G149"/>
    <mergeCell ref="H146:M149"/>
    <mergeCell ref="B151:M151"/>
    <mergeCell ref="B152:G152"/>
    <mergeCell ref="H152:M152"/>
    <mergeCell ref="B153:G157"/>
    <mergeCell ref="B192:D194"/>
    <mergeCell ref="B184:M187"/>
    <mergeCell ref="I123:M123"/>
    <mergeCell ref="I124:M124"/>
    <mergeCell ref="I125:M125"/>
    <mergeCell ref="B137:M137"/>
    <mergeCell ref="B138:G138"/>
    <mergeCell ref="H138:M138"/>
    <mergeCell ref="B139:G142"/>
    <mergeCell ref="H139:M142"/>
    <mergeCell ref="B144:M144"/>
    <mergeCell ref="B207:M212"/>
    <mergeCell ref="B223:M227"/>
    <mergeCell ref="C214:F219"/>
    <mergeCell ref="P1:V1"/>
    <mergeCell ref="P3:V3"/>
    <mergeCell ref="P5:V5"/>
    <mergeCell ref="P7:V7"/>
    <mergeCell ref="P10:V10"/>
    <mergeCell ref="P12:V12"/>
    <mergeCell ref="P55:V55"/>
    <mergeCell ref="C49:H49"/>
    <mergeCell ref="C50:H50"/>
    <mergeCell ref="B20:M20"/>
    <mergeCell ref="B21:M21"/>
    <mergeCell ref="I120:M120"/>
    <mergeCell ref="I121:M121"/>
    <mergeCell ref="I122:M122"/>
    <mergeCell ref="I119:M119"/>
    <mergeCell ref="C51:H51"/>
    <mergeCell ref="C52:H52"/>
    <mergeCell ref="C43:H43"/>
    <mergeCell ref="C44:H44"/>
    <mergeCell ref="B145:G145"/>
    <mergeCell ref="H145:M145"/>
    <mergeCell ref="F632:G632"/>
    <mergeCell ref="H632:I632"/>
    <mergeCell ref="J632:K632"/>
    <mergeCell ref="L632:M632"/>
    <mergeCell ref="AK629:AL629"/>
    <mergeCell ref="B630:E630"/>
    <mergeCell ref="F630:G630"/>
    <mergeCell ref="H630:I630"/>
    <mergeCell ref="J630:K630"/>
    <mergeCell ref="L630:M630"/>
    <mergeCell ref="D674:E674"/>
    <mergeCell ref="D665:E665"/>
    <mergeCell ref="D657:E657"/>
    <mergeCell ref="D644:E644"/>
    <mergeCell ref="D650:E650"/>
    <mergeCell ref="B636:G636"/>
    <mergeCell ref="B633:E633"/>
    <mergeCell ref="F633:G633"/>
    <mergeCell ref="H633:I633"/>
    <mergeCell ref="J633:K633"/>
    <mergeCell ref="L634:M634"/>
    <mergeCell ref="P1026:U1026"/>
    <mergeCell ref="B831:M831"/>
    <mergeCell ref="B835:M835"/>
    <mergeCell ref="B839:M839"/>
    <mergeCell ref="B832:M833"/>
    <mergeCell ref="B836:M837"/>
    <mergeCell ref="B840:M841"/>
    <mergeCell ref="L908:M908"/>
    <mergeCell ref="L912:M912"/>
    <mergeCell ref="L916:M916"/>
    <mergeCell ref="L920:M920"/>
    <mergeCell ref="L924:M924"/>
    <mergeCell ref="J908:K908"/>
    <mergeCell ref="J912:K912"/>
    <mergeCell ref="J916:K916"/>
    <mergeCell ref="J920:K920"/>
    <mergeCell ref="J924:K924"/>
    <mergeCell ref="K998:M998"/>
    <mergeCell ref="D974:J975"/>
    <mergeCell ref="D998:J999"/>
    <mergeCell ref="D977:J978"/>
    <mergeCell ref="D980:J981"/>
    <mergeCell ref="K983:M983"/>
    <mergeCell ref="K986:M986"/>
    <mergeCell ref="C45:H45"/>
    <mergeCell ref="C46:H46"/>
    <mergeCell ref="B816:M817"/>
    <mergeCell ref="C814:D814"/>
    <mergeCell ref="G814:M814"/>
    <mergeCell ref="D737:G737"/>
    <mergeCell ref="D738:G738"/>
    <mergeCell ref="J737:M737"/>
    <mergeCell ref="J738:M738"/>
    <mergeCell ref="B740:M743"/>
    <mergeCell ref="B744:M747"/>
    <mergeCell ref="B781:I781"/>
    <mergeCell ref="J781:M781"/>
    <mergeCell ref="B371:M371"/>
    <mergeCell ref="B358:G358"/>
    <mergeCell ref="H358:M358"/>
    <mergeCell ref="B365:G365"/>
    <mergeCell ref="H365:M365"/>
    <mergeCell ref="B372:G372"/>
    <mergeCell ref="H372:M372"/>
    <mergeCell ref="H359:M362"/>
    <mergeCell ref="B366:G369"/>
    <mergeCell ref="H366:M369"/>
    <mergeCell ref="B373:G377"/>
    <mergeCell ref="I214:L219"/>
    <mergeCell ref="C34:J34"/>
    <mergeCell ref="C24:K24"/>
    <mergeCell ref="B90:I90"/>
    <mergeCell ref="C27:J27"/>
    <mergeCell ref="C33:J33"/>
    <mergeCell ref="C28:J28"/>
    <mergeCell ref="C26:J26"/>
    <mergeCell ref="C29:J29"/>
    <mergeCell ref="C30:J30"/>
    <mergeCell ref="C31:J31"/>
    <mergeCell ref="C32:J32"/>
    <mergeCell ref="C48:H48"/>
    <mergeCell ref="C47:H47"/>
    <mergeCell ref="C41:H41"/>
    <mergeCell ref="C35:H35"/>
    <mergeCell ref="C42:H42"/>
    <mergeCell ref="C36:H36"/>
    <mergeCell ref="C38:H38"/>
    <mergeCell ref="C37:H37"/>
    <mergeCell ref="C39:H39"/>
    <mergeCell ref="C40:H40"/>
  </mergeCells>
  <phoneticPr fontId="144" type="noConversion"/>
  <conditionalFormatting sqref="L976:M976 M979 L988:M988 M991 L994:M994 L997:M997 K974">
    <cfRule type="containsText" dxfId="59" priority="73" operator="containsText" text="pro">
      <formula>NOT(ISERROR(SEARCH("pro",K974)))</formula>
    </cfRule>
    <cfRule type="containsText" dxfId="58" priority="74" operator="containsText" text="non">
      <formula>NOT(ISERROR(SEARCH("non",K974)))</formula>
    </cfRule>
    <cfRule type="containsText" dxfId="57" priority="75" operator="containsText" text="anti">
      <formula>NOT(ISERROR(SEARCH("anti",K974)))</formula>
    </cfRule>
  </conditionalFormatting>
  <conditionalFormatting sqref="K977">
    <cfRule type="containsText" dxfId="56" priority="70" operator="containsText" text="pro">
      <formula>NOT(ISERROR(SEARCH("pro",K977)))</formula>
    </cfRule>
    <cfRule type="containsText" dxfId="55" priority="71" operator="containsText" text="non">
      <formula>NOT(ISERROR(SEARCH("non",K977)))</formula>
    </cfRule>
    <cfRule type="containsText" dxfId="54" priority="72" operator="containsText" text="anti">
      <formula>NOT(ISERROR(SEARCH("anti",K977)))</formula>
    </cfRule>
  </conditionalFormatting>
  <conditionalFormatting sqref="K980">
    <cfRule type="containsText" dxfId="53" priority="67" operator="containsText" text="pro">
      <formula>NOT(ISERROR(SEARCH("pro",K980)))</formula>
    </cfRule>
    <cfRule type="containsText" dxfId="52" priority="68" operator="containsText" text="non">
      <formula>NOT(ISERROR(SEARCH("non",K980)))</formula>
    </cfRule>
    <cfRule type="containsText" dxfId="51" priority="69" operator="containsText" text="anti">
      <formula>NOT(ISERROR(SEARCH("anti",K980)))</formula>
    </cfRule>
  </conditionalFormatting>
  <conditionalFormatting sqref="K983">
    <cfRule type="containsText" dxfId="50" priority="64" operator="containsText" text="pro">
      <formula>NOT(ISERROR(SEARCH("pro",K983)))</formula>
    </cfRule>
    <cfRule type="containsText" dxfId="49" priority="65" operator="containsText" text="non">
      <formula>NOT(ISERROR(SEARCH("non",K983)))</formula>
    </cfRule>
    <cfRule type="containsText" dxfId="48" priority="66" operator="containsText" text="anti">
      <formula>NOT(ISERROR(SEARCH("anti",K983)))</formula>
    </cfRule>
  </conditionalFormatting>
  <conditionalFormatting sqref="K986">
    <cfRule type="containsText" dxfId="47" priority="61" operator="containsText" text="pro">
      <formula>NOT(ISERROR(SEARCH("pro",K986)))</formula>
    </cfRule>
    <cfRule type="containsText" dxfId="46" priority="62" operator="containsText" text="non">
      <formula>NOT(ISERROR(SEARCH("non",K986)))</formula>
    </cfRule>
    <cfRule type="containsText" dxfId="45" priority="63" operator="containsText" text="anti">
      <formula>NOT(ISERROR(SEARCH("anti",K986)))</formula>
    </cfRule>
  </conditionalFormatting>
  <conditionalFormatting sqref="K989">
    <cfRule type="containsText" dxfId="44" priority="58" operator="containsText" text="pro">
      <formula>NOT(ISERROR(SEARCH("pro",K989)))</formula>
    </cfRule>
    <cfRule type="containsText" dxfId="43" priority="59" operator="containsText" text="non">
      <formula>NOT(ISERROR(SEARCH("non",K989)))</formula>
    </cfRule>
    <cfRule type="containsText" dxfId="42" priority="60" operator="containsText" text="anti">
      <formula>NOT(ISERROR(SEARCH("anti",K989)))</formula>
    </cfRule>
  </conditionalFormatting>
  <conditionalFormatting sqref="K992">
    <cfRule type="containsText" dxfId="41" priority="55" operator="containsText" text="pro">
      <formula>NOT(ISERROR(SEARCH("pro",K992)))</formula>
    </cfRule>
    <cfRule type="containsText" dxfId="40" priority="56" operator="containsText" text="non">
      <formula>NOT(ISERROR(SEARCH("non",K992)))</formula>
    </cfRule>
    <cfRule type="containsText" dxfId="39" priority="57" operator="containsText" text="anti">
      <formula>NOT(ISERROR(SEARCH("anti",K992)))</formula>
    </cfRule>
  </conditionalFormatting>
  <conditionalFormatting sqref="K995">
    <cfRule type="containsText" dxfId="38" priority="52" operator="containsText" text="pro">
      <formula>NOT(ISERROR(SEARCH("pro",K995)))</formula>
    </cfRule>
    <cfRule type="containsText" dxfId="37" priority="53" operator="containsText" text="non">
      <formula>NOT(ISERROR(SEARCH("non",K995)))</formula>
    </cfRule>
    <cfRule type="containsText" dxfId="36" priority="54" operator="containsText" text="anti">
      <formula>NOT(ISERROR(SEARCH("anti",K995)))</formula>
    </cfRule>
  </conditionalFormatting>
  <conditionalFormatting sqref="K998">
    <cfRule type="containsText" dxfId="35" priority="49" operator="containsText" text="pro">
      <formula>NOT(ISERROR(SEARCH("pro",K998)))</formula>
    </cfRule>
    <cfRule type="containsText" dxfId="34" priority="50" operator="containsText" text="non">
      <formula>NOT(ISERROR(SEARCH("non",K998)))</formula>
    </cfRule>
    <cfRule type="containsText" dxfId="33" priority="51" operator="containsText" text="anti">
      <formula>NOT(ISERROR(SEARCH("anti",K998)))</formula>
    </cfRule>
  </conditionalFormatting>
  <conditionalFormatting sqref="B630">
    <cfRule type="containsText" dxfId="32" priority="48" operator="containsText" text="Name">
      <formula>NOT(ISERROR(SEARCH("Name",B630)))</formula>
    </cfRule>
  </conditionalFormatting>
  <conditionalFormatting sqref="B634">
    <cfRule type="containsText" dxfId="31" priority="44" operator="containsText" text="Name">
      <formula>NOT(ISERROR(SEARCH("Name",B634)))</formula>
    </cfRule>
  </conditionalFormatting>
  <conditionalFormatting sqref="B631">
    <cfRule type="containsText" dxfId="30" priority="47" operator="containsText" text="Name">
      <formula>NOT(ISERROR(SEARCH("Name",B631)))</formula>
    </cfRule>
  </conditionalFormatting>
  <conditionalFormatting sqref="B632">
    <cfRule type="containsText" dxfId="29" priority="46" operator="containsText" text="Name">
      <formula>NOT(ISERROR(SEARCH("Name",B632)))</formula>
    </cfRule>
  </conditionalFormatting>
  <conditionalFormatting sqref="B633">
    <cfRule type="containsText" dxfId="28" priority="45" operator="containsText" text="Name">
      <formula>NOT(ISERROR(SEARCH("Name",B633)))</formula>
    </cfRule>
  </conditionalFormatting>
  <conditionalFormatting sqref="A630:A634">
    <cfRule type="containsText" dxfId="27" priority="41" operator="containsText" text="s">
      <formula>NOT(ISERROR(SEARCH("s",A630)))</formula>
    </cfRule>
    <cfRule type="containsText" dxfId="26" priority="42" operator="containsText" text="q">
      <formula>NOT(ISERROR(SEARCH("q",A630)))</formula>
    </cfRule>
    <cfRule type="containsText" dxfId="25" priority="43" operator="containsText" text="u">
      <formula>NOT(ISERROR(SEARCH("u",A630)))</formula>
    </cfRule>
  </conditionalFormatting>
  <conditionalFormatting sqref="B739:M739 H737:H738 B740 B737:B738">
    <cfRule type="containsText" dxfId="24" priority="34" operator="containsText" text="white fields">
      <formula>NOT(ISERROR(SEARCH("white fields",B737)))</formula>
    </cfRule>
  </conditionalFormatting>
  <conditionalFormatting sqref="D738">
    <cfRule type="containsText" dxfId="23" priority="33" operator="containsText" text="Select an option from the white field above to see a sample progress update here. ">
      <formula>NOT(ISERROR(SEARCH("Select an option from the white field above to see a sample progress update here. ",D738)))</formula>
    </cfRule>
  </conditionalFormatting>
  <conditionalFormatting sqref="J738">
    <cfRule type="containsText" dxfId="22" priority="31" operator="containsText" text="Select an option from the white field above to see a sample progress update here. ">
      <formula>NOT(ISERROR(SEARCH("Select an option from the white field above to see a sample progress update here. ",J738)))</formula>
    </cfRule>
  </conditionalFormatting>
  <conditionalFormatting sqref="D737">
    <cfRule type="containsText" dxfId="21" priority="29" operator="containsText" text="Select an option from the white field above to see a sample progress update here. ">
      <formula>NOT(ISERROR(SEARCH("Select an option from the white field above to see a sample progress update here. ",D737)))</formula>
    </cfRule>
  </conditionalFormatting>
  <conditionalFormatting sqref="B740:M743">
    <cfRule type="containsText" dxfId="20" priority="28" operator="containsText" text="This week,">
      <formula>NOT(ISERROR(SEARCH("This week,",B740)))</formula>
    </cfRule>
  </conditionalFormatting>
  <conditionalFormatting sqref="B744:M747">
    <cfRule type="containsText" dxfId="19" priority="26" operator="containsText" text="Beck">
      <formula>NOT(ISERROR(SEARCH("Beck",B744)))</formula>
    </cfRule>
    <cfRule type="containsText" dxfId="18" priority="27" operator="containsText" text="As for anxiety,">
      <formula>NOT(ISERROR(SEARCH("As for anxiety,",B744)))</formula>
    </cfRule>
  </conditionalFormatting>
  <conditionalFormatting sqref="J737">
    <cfRule type="containsText" dxfId="17" priority="25" operator="containsText" text="Select an option from the white field above to see a sample progress update here. ">
      <formula>NOT(ISERROR(SEARCH("Select an option from the white field above to see a sample progress update here. ",J737)))</formula>
    </cfRule>
  </conditionalFormatting>
  <conditionalFormatting sqref="B816:M817">
    <cfRule type="containsText" dxfId="16" priority="24" operator="containsText" text="white field">
      <formula>NOT(ISERROR(SEARCH("white field",B816)))</formula>
    </cfRule>
  </conditionalFormatting>
  <conditionalFormatting sqref="K644">
    <cfRule type="cellIs" dxfId="15" priority="15" operator="greaterThan">
      <formula>0</formula>
    </cfRule>
    <cfRule type="cellIs" dxfId="14" priority="23" operator="equal">
      <formula>0</formula>
    </cfRule>
  </conditionalFormatting>
  <conditionalFormatting sqref="K650">
    <cfRule type="cellIs" dxfId="13" priority="13" operator="greaterThan">
      <formula>0</formula>
    </cfRule>
    <cfRule type="cellIs" dxfId="12" priority="14" operator="equal">
      <formula>0</formula>
    </cfRule>
  </conditionalFormatting>
  <conditionalFormatting sqref="K656">
    <cfRule type="cellIs" dxfId="11" priority="11" operator="greaterThan">
      <formula>0</formula>
    </cfRule>
    <cfRule type="cellIs" dxfId="10" priority="12" operator="equal">
      <formula>0</formula>
    </cfRule>
  </conditionalFormatting>
  <conditionalFormatting sqref="K663">
    <cfRule type="cellIs" dxfId="9" priority="9" operator="greaterThan">
      <formula>0</formula>
    </cfRule>
    <cfRule type="cellIs" dxfId="8" priority="10" operator="equal">
      <formula>0</formula>
    </cfRule>
  </conditionalFormatting>
  <conditionalFormatting sqref="K671">
    <cfRule type="cellIs" dxfId="7" priority="7" operator="greaterThan">
      <formula>0</formula>
    </cfRule>
    <cfRule type="cellIs" dxfId="6" priority="8" operator="equal">
      <formula>0</formula>
    </cfRule>
  </conditionalFormatting>
  <conditionalFormatting sqref="H937:I937">
    <cfRule type="cellIs" dxfId="5" priority="6" operator="equal">
      <formula>$AJ$937</formula>
    </cfRule>
  </conditionalFormatting>
  <dataValidations count="57">
    <dataValidation type="list" errorStyle="information" allowBlank="1" showInputMessage="1" showErrorMessage="1" sqref="I125:M125" xr:uid="{7D45E136-3A10-4CE6-B131-E575B83DB9FA}">
      <formula1>$AK$124:$AK$125</formula1>
    </dataValidation>
    <dataValidation type="list" errorStyle="information" allowBlank="1" showInputMessage="1" showErrorMessage="1" sqref="I124:M124" xr:uid="{BC966B38-0588-4394-AABC-CDD01E8DADAD}">
      <formula1>$AK$122:$AK$123</formula1>
    </dataValidation>
    <dataValidation type="list" errorStyle="information" allowBlank="1" showInputMessage="1" showErrorMessage="1" sqref="I123:M123" xr:uid="{C12DD3CB-EDD2-4478-B035-FB0A34C38870}">
      <formula1>$AK$120:$AK$121</formula1>
    </dataValidation>
    <dataValidation type="list" errorStyle="information" allowBlank="1" showInputMessage="1" showErrorMessage="1" sqref="I122:M122" xr:uid="{92927930-50B4-4AAB-A36C-F8B533B01A72}">
      <formula1>$AK$118:$AK$119</formula1>
    </dataValidation>
    <dataValidation type="list" errorStyle="information" allowBlank="1" showInputMessage="1" showErrorMessage="1" sqref="I121:M121" xr:uid="{9B28B0E3-DCE5-446A-B4E7-237C3EE0AC88}">
      <formula1>$AK$116:$AK$117</formula1>
    </dataValidation>
    <dataValidation type="list" errorStyle="information" allowBlank="1" showInputMessage="1" showErrorMessage="1" sqref="I120:M120" xr:uid="{744908EE-D458-4FEA-B5E2-CDFE7472F612}">
      <formula1>$AK$114:$AK$115</formula1>
    </dataValidation>
    <dataValidation type="list" errorStyle="information" allowBlank="1" showInputMessage="1" showErrorMessage="1" sqref="I119:M119" xr:uid="{841098D3-824B-4423-85C0-8947DB7916A8}">
      <formula1>$AK$112:$AK$113</formula1>
    </dataValidation>
    <dataValidation type="list" errorStyle="information" allowBlank="1" showInputMessage="1" showErrorMessage="1" sqref="I118:M118" xr:uid="{36B282D0-E6B5-4A82-B4F5-3F00CCCFDDA0}">
      <formula1>$AK$110:$AK$111</formula1>
    </dataValidation>
    <dataValidation type="list" errorStyle="warning" allowBlank="1" showInputMessage="1" showErrorMessage="1" sqref="G556:M556" xr:uid="{5F668BCB-1016-44DE-B94B-F1EA024E8A7A}">
      <formula1>$B$1350:$B$1352</formula1>
    </dataValidation>
    <dataValidation type="list" errorStyle="warning" allowBlank="1" showInputMessage="1" showErrorMessage="1" sqref="E553:M553" xr:uid="{F16D5BE7-C2F6-47C0-848F-0ADD1A5E1DB9}">
      <formula1>$B$1343:$B$1347</formula1>
    </dataValidation>
    <dataValidation type="list" errorStyle="warning" allowBlank="1" showInputMessage="1" showErrorMessage="1" sqref="H115:M115" xr:uid="{E3C8EB81-11D3-4AC8-A6BE-F98E291B3A47}">
      <formula1>$B$1303:$B$1314</formula1>
    </dataValidation>
    <dataValidation type="list" errorStyle="warning" allowBlank="1" showInputMessage="1" showErrorMessage="1" sqref="H113:M113" xr:uid="{AEE10971-9283-44AB-AC8D-15EB4354BA6F}">
      <formula1>$B$1276:$B$1293</formula1>
    </dataValidation>
    <dataValidation type="list" errorStyle="information" allowBlank="1" showInputMessage="1" showErrorMessage="1" sqref="E551:M551" xr:uid="{A0713843-F7FF-480F-8E13-69F890FD2E2A}">
      <formula1>$B$1336:$B$1340</formula1>
    </dataValidation>
    <dataValidation type="list" errorStyle="information" allowBlank="1" showInputMessage="1" showErrorMessage="1" sqref="E559:M559" xr:uid="{65178033-B784-4A77-BF39-6D121835DACD}">
      <formula1>$B$1364:$B$1368</formula1>
    </dataValidation>
    <dataValidation type="list" errorStyle="warning" allowBlank="1" showInputMessage="1" showErrorMessage="1" sqref="E555:M555" xr:uid="{56779B2A-3B5E-4A6C-A10E-D72B77D6339D}">
      <formula1>$B$1350:$B$1354</formula1>
    </dataValidation>
    <dataValidation type="list" errorStyle="warning" allowBlank="1" showInputMessage="1" showErrorMessage="1" sqref="E557:M557" xr:uid="{1C292B3C-9EA0-4CD9-8A98-0D00C340E0CF}">
      <formula1>$B$1357:$B$1361</formula1>
    </dataValidation>
    <dataValidation type="list" errorStyle="information" allowBlank="1" showInputMessage="1" showErrorMessage="1" sqref="D974:J975" xr:uid="{A4E04335-D386-4586-83F9-192117D48EF4}">
      <formula1>$AK$974:$AK$976</formula1>
    </dataValidation>
    <dataValidation type="list" errorStyle="information" allowBlank="1" showInputMessage="1" showErrorMessage="1" sqref="D977:J978" xr:uid="{255ECD18-2000-402B-9157-1AD7CA6222A6}">
      <formula1>$AK$977:$AK$979</formula1>
    </dataValidation>
    <dataValidation type="list" errorStyle="information" allowBlank="1" showInputMessage="1" showErrorMessage="1" sqref="D980:J981" xr:uid="{EED5A4B8-45C5-41D1-944E-D5AA190486CB}">
      <formula1>$AK$980:$AK$982</formula1>
    </dataValidation>
    <dataValidation type="list" errorStyle="information" allowBlank="1" showInputMessage="1" showErrorMessage="1" sqref="D983:J984" xr:uid="{7DEC4956-37F1-4C10-A2FA-4B4A2D0BEA39}">
      <formula1>$AK$983:$AK$985</formula1>
    </dataValidation>
    <dataValidation type="list" errorStyle="information" allowBlank="1" showInputMessage="1" showErrorMessage="1" sqref="D986:J987" xr:uid="{F17B1278-0F3F-4126-AFC0-87ABC9F13BC7}">
      <formula1>$AK$986:$AK$988</formula1>
    </dataValidation>
    <dataValidation type="list" errorStyle="information" allowBlank="1" showInputMessage="1" showErrorMessage="1" sqref="D989:J990" xr:uid="{C759A6C3-A707-4BB2-8EF5-CB3C8DB37811}">
      <formula1>$AK$989:$AK$991</formula1>
    </dataValidation>
    <dataValidation type="list" errorStyle="information" allowBlank="1" showInputMessage="1" showErrorMessage="1" sqref="D992:J993" xr:uid="{6080B3DB-5953-4BDF-89EF-6E9996C68D89}">
      <formula1>$AK$992:$AK$994</formula1>
    </dataValidation>
    <dataValidation type="list" errorStyle="information" allowBlank="1" showInputMessage="1" showErrorMessage="1" sqref="D995:J996" xr:uid="{D8DAC3BD-2235-4C93-A0F4-2249ED3504F2}">
      <formula1>$AK$995:$AK$997</formula1>
    </dataValidation>
    <dataValidation type="list" errorStyle="information" allowBlank="1" showInputMessage="1" showErrorMessage="1" sqref="D998:J999" xr:uid="{F0E5CE05-1A8B-4E3E-9076-63C176F06DF4}">
      <formula1>$AK$998:$AK$1000</formula1>
    </dataValidation>
    <dataValidation type="list" errorStyle="information" allowBlank="1" showInputMessage="1" showErrorMessage="1" sqref="B781:I781" xr:uid="{5FDC7731-51F5-4345-B02A-03D3A740D642}">
      <formula1>$AI$762:$AI$775</formula1>
    </dataValidation>
    <dataValidation type="list" errorStyle="information" allowBlank="1" showInputMessage="1" showErrorMessage="1" sqref="D737:G737" xr:uid="{CF0F0B4F-E6B3-4929-A944-B96AE7DDA2B0}">
      <formula1>$AM$719:$AM$730</formula1>
    </dataValidation>
    <dataValidation type="list" errorStyle="information" allowBlank="1" showInputMessage="1" showErrorMessage="1" sqref="D738:G738" xr:uid="{FA33E407-3DFB-408C-9B2A-BD2844C83644}">
      <formula1>$AO$719:$AO$737</formula1>
    </dataValidation>
    <dataValidation type="list" errorStyle="information" allowBlank="1" showInputMessage="1" showErrorMessage="1" sqref="J737:M737" xr:uid="{BF3B20D2-A64E-4DA6-9035-5CB518F694B8}">
      <formula1>$AK$719:$AK$730</formula1>
    </dataValidation>
    <dataValidation type="list" errorStyle="information" allowBlank="1" showInputMessage="1" showErrorMessage="1" sqref="J738:M738" xr:uid="{7C309036-C146-482A-8C2C-D2167CBCA51A}">
      <formula1>$AQ$719:$AQ$727</formula1>
    </dataValidation>
    <dataValidation type="list" errorStyle="information" allowBlank="1" showInputMessage="1" showErrorMessage="1" sqref="C814:D814" xr:uid="{5D0A306E-4635-49F3-8FB0-D7910D217F92}">
      <formula1>$AK$798:$AK$800</formula1>
    </dataValidation>
    <dataValidation type="list" errorStyle="information" allowBlank="1" showInputMessage="1" showErrorMessage="1" sqref="G814:M814" xr:uid="{7E401003-7BA5-42E5-86EB-2EEEECAC18C8}">
      <formula1>$AI$790:$AI$796</formula1>
    </dataValidation>
    <dataValidation type="list" errorStyle="information" allowBlank="1" showInputMessage="1" showErrorMessage="1" sqref="B839:M839" xr:uid="{76E4E83F-63C1-4B10-B7D8-E454DD0715F5}">
      <formula1>$AQ$823:$AQ$837</formula1>
    </dataValidation>
    <dataValidation type="list" errorStyle="information" allowBlank="1" showInputMessage="1" showErrorMessage="1" sqref="B831:M831" xr:uid="{75326B2C-EE3C-48C5-955D-D3F4463EC4A2}">
      <formula1>$AO$823:$AO$842</formula1>
    </dataValidation>
    <dataValidation type="list" errorStyle="information" allowBlank="1" showInputMessage="1" showErrorMessage="1" sqref="B835:M835" xr:uid="{8B7C7B4F-F177-47CF-B0AF-DAFB16D707B6}">
      <formula1>$AP$823:$AP$836</formula1>
    </dataValidation>
    <dataValidation type="list" errorStyle="information" allowBlank="1" showInputMessage="1" showErrorMessage="1" sqref="F630:G634" xr:uid="{4B9FB852-9B1F-4DAE-BF58-DB0AB22771C4}">
      <formula1>$AK$630:$AK$632</formula1>
    </dataValidation>
    <dataValidation type="list" errorStyle="information" allowBlank="1" showInputMessage="1" showErrorMessage="1" sqref="H630:I634" xr:uid="{D147564F-3B6B-42AA-B972-0F983CC994CD}">
      <formula1>$AM$630:$AM$632</formula1>
    </dataValidation>
    <dataValidation type="list" errorStyle="information" allowBlank="1" showInputMessage="1" showErrorMessage="1" sqref="J630:K634" xr:uid="{7D72BD2C-476B-4BC8-99F4-2178B75DD771}">
      <formula1>$AO$630:$AO$632</formula1>
    </dataValidation>
    <dataValidation type="list" errorStyle="information" allowBlank="1" showInputMessage="1" showErrorMessage="1" sqref="L630:M634" xr:uid="{217CD12A-E273-4C18-A5E5-28E637E9748C}">
      <formula1>$AQ$630:$AQ$633</formula1>
    </dataValidation>
    <dataValidation type="list" errorStyle="information" allowBlank="1" showInputMessage="1" showErrorMessage="1" sqref="D900:F900" xr:uid="{0A70D446-245B-4D1F-97F6-D3DCBA8A64E6}">
      <formula1>$AO$901:$AO$905</formula1>
    </dataValidation>
    <dataValidation type="date" allowBlank="1" showInputMessage="1" showErrorMessage="1" sqref="D937:E938" xr:uid="{4FC13D49-05A5-4AA1-ACDE-3C24A321DA23}">
      <formula1>1</formula1>
      <formula2>54789</formula2>
    </dataValidation>
    <dataValidation type="list" errorStyle="warning" allowBlank="1" showInputMessage="1" showErrorMessage="1" sqref="H938:I938" xr:uid="{7A25D0E6-A287-4074-B7D0-181A03F13476}">
      <formula1>$AP$935:$AP$939</formula1>
    </dataValidation>
    <dataValidation type="list" errorStyle="warning" allowBlank="1" showInputMessage="1" showErrorMessage="1" sqref="AD961" xr:uid="{AF84CF19-20C1-4C44-A63C-AD669C5988EA}">
      <formula1>$K$963:$K$964</formula1>
    </dataValidation>
    <dataValidation type="list" errorStyle="warning" allowBlank="1" showInputMessage="1" showErrorMessage="1" sqref="I1013" xr:uid="{E5F805E1-DD20-4778-97EC-CA23DE4400FE}">
      <formula1>$AI$1011:$AI$1013</formula1>
    </dataValidation>
    <dataValidation type="list" errorStyle="information" allowBlank="1" showInputMessage="1" showErrorMessage="1" sqref="B286:M286" xr:uid="{8551B778-3760-4C0A-80F1-A0B424B6DE9F}">
      <formula1>$AK$287:$AK$291</formula1>
    </dataValidation>
    <dataValidation type="list" errorStyle="warning" allowBlank="1" showInputMessage="1" showErrorMessage="1" sqref="K962:L962" xr:uid="{C6025F44-FB55-4931-B7EB-165FB9E7D6BC}">
      <formula1>$AJ$960:$AJ$961</formula1>
    </dataValidation>
    <dataValidation type="list" errorStyle="warning" allowBlank="1" showInputMessage="1" showErrorMessage="1" sqref="C950:F950" xr:uid="{67D28F0F-9CB5-4770-9CD8-95ACA23D941F}">
      <formula1>$AQ$950:$AQ$953</formula1>
    </dataValidation>
    <dataValidation type="list" errorStyle="warning" allowBlank="1" showInputMessage="1" showErrorMessage="1" sqref="C951:F951" xr:uid="{1B02ED60-6BD2-4B8A-A4D4-874F4B15FF15}">
      <formula1>$AS$950:$AS$953</formula1>
    </dataValidation>
    <dataValidation type="list" errorStyle="warning" allowBlank="1" showInputMessage="1" showErrorMessage="1" sqref="C952:F952" xr:uid="{63DA8EC7-C9EB-4E2A-8D73-BFC07AADDC83}">
      <formula1>$AU$950:$AU$955</formula1>
    </dataValidation>
    <dataValidation type="list" errorStyle="warning" allowBlank="1" showInputMessage="1" showErrorMessage="1" sqref="C953:F953" xr:uid="{67615CEE-AC10-4948-B665-FE375ADC9FAC}">
      <formula1>$AW$950:$AW$953</formula1>
    </dataValidation>
    <dataValidation type="list" errorStyle="warning" allowBlank="1" showInputMessage="1" showErrorMessage="1" sqref="C944:F944" xr:uid="{5E951D2B-074A-417D-B969-1464099DCC08}">
      <formula1>$AO$943:$AO$947</formula1>
    </dataValidation>
    <dataValidation type="list" errorStyle="warning" allowBlank="1" showInputMessage="1" showErrorMessage="1" sqref="C945:F945" xr:uid="{4FF4BD97-9D19-4F69-AA67-C57108D6B612}">
      <formula1>$AQ$943:$AQ$947</formula1>
    </dataValidation>
    <dataValidation type="list" errorStyle="warning" allowBlank="1" showInputMessage="1" showErrorMessage="1" sqref="C946:F946" xr:uid="{8CB6A9A8-4261-41CC-8719-3D77E7324DD0}">
      <formula1>$AS$943:$AS$948</formula1>
    </dataValidation>
    <dataValidation type="list" errorStyle="warning" allowBlank="1" showInputMessage="1" showErrorMessage="1" sqref="C948:F948" xr:uid="{29FD5FC7-E4B1-426C-A1B3-EE4901468EF6}">
      <formula1>$AW$943:$AW$947</formula1>
    </dataValidation>
    <dataValidation type="list" errorStyle="warning" allowBlank="1" showInputMessage="1" showErrorMessage="1" sqref="C947:F947" xr:uid="{82A9FCE1-B0F4-4BF8-9F90-9AC1ADFB7A67}">
      <formula1>$AU$943:$AU$947</formula1>
    </dataValidation>
    <dataValidation type="list" errorStyle="warning" allowBlank="1" showInputMessage="1" showErrorMessage="1" sqref="B943" xr:uid="{CED055A7-F607-4B7A-9D33-C9B5CBF669F1}">
      <formula1>$AM$943:$AM$948</formula1>
    </dataValidation>
    <dataValidation type="list" errorStyle="information" allowBlank="1" showInputMessage="1" showErrorMessage="1" sqref="E266" xr:uid="{D2F87DE4-4937-47BA-A55E-3EC55AFEA773}">
      <formula1>$AJ$262:$AJ$273</formula1>
    </dataValidation>
  </dataValidations>
  <hyperlinks>
    <hyperlink ref="A90" location="advocacy!A55:N56" tooltip="previous page header" display="#" xr:uid="{FC8C7CCA-895D-4358-A041-B609690078E8}"/>
    <hyperlink ref="AB90" location="campaign!A72:AB113" tooltip="next page" display="$" xr:uid="{78F3C530-9B7E-4010-B12B-C2C8894EB382}"/>
    <hyperlink ref="A165" location="advocacy!A129:N129" tooltip="previous page header" display="#" xr:uid="{04D76BB8-F2C4-46D9-AFEA-9087EFF78906}"/>
    <hyperlink ref="A493" location="advocacy!A462:N462" tooltip="to previous page header" display="#" xr:uid="{5C98EEC7-7A13-4E49-B683-45D167B58513}"/>
    <hyperlink ref="AB1044" location="campaign!A277:AB277" tooltip="next page" display="$" xr:uid="{F5CD5538-5C38-4C6E-8DC0-5E25F91D7BB7}"/>
    <hyperlink ref="AB462" location="campaign!A196:AB235" tooltip="next page" display="$" xr:uid="{DED5C76D-2D20-4581-8793-791247FD30FC}"/>
    <hyperlink ref="A462" location="clients!A163:N163" tooltip="to previous page header" display="#" xr:uid="{4FED910D-2785-4885-8F45-DEA93A800123}"/>
    <hyperlink ref="AB165" location="campaign!A114:AB154" display="$" xr:uid="{95B80D76-2CB6-4663-A6AD-5C823F881140}"/>
    <hyperlink ref="AB493" location="campaign!A236:AB276" tooltip="next page" display="$" xr:uid="{A2F70E2D-05DE-4F06-B4A9-0811ADF0721E}"/>
    <hyperlink ref="A530" location="advocacy!A493:N493" tooltip="to previous page header" display="#" xr:uid="{7C985581-73A1-4F91-BFA1-52586931ABC1}"/>
    <hyperlink ref="A714" location="advocacy!A676:N676" tooltip="to previous page header" display="#" xr:uid="{06900BA6-ABE7-48E5-B333-4499B093378E}"/>
    <hyperlink ref="A819" location="advocacy!A783:N783" tooltip="to previous page header" display="#" xr:uid="{9A0D3C54-5F92-4F7E-B67D-4FFF3D25A230}"/>
    <hyperlink ref="A893" location="advocacy!A854:N854" tooltip="to previous page header" display="#" xr:uid="{F5B27B97-D29C-4F00-B040-74215529ABDF}"/>
    <hyperlink ref="A966" location="advocacy!A931:N931" tooltip="to previous page header" display="#" xr:uid="{70EAE1A2-DE9A-4D05-9930-0954E1D0B26B}"/>
    <hyperlink ref="A931" location="advocacy!A893:N893" tooltip="to previous page header" display="#" xr:uid="{4E3B958C-7B9D-42D7-9D46-4F7EACD30B1B}"/>
    <hyperlink ref="A783" location="advocacy!A749:N749" tooltip="to previous page header" display="#" xr:uid="{5190B49B-FEAC-437D-9A42-2E0261BB45DD}"/>
    <hyperlink ref="A854" location="advocacy!A819:N819" tooltip="to previous page header" display="#" xr:uid="{CC5C9458-B40F-4929-8787-9D913F706420}"/>
    <hyperlink ref="A749" location="advocacy!A714:N714" tooltip="to previous page header" display="#" xr:uid="{9C8C933E-9E6A-4D53-8EB0-C384A035B428}"/>
    <hyperlink ref="A1009" location="advocacy!A966:N966" tooltip="to previous page header" display="#" xr:uid="{23BAA019-379D-4981-859A-F987E1905B9C}"/>
    <hyperlink ref="AB530" location="campaign!A236:AB276" tooltip="next page" display="$" xr:uid="{6A52BE93-4E48-4A2C-B0D5-724F303BB793}"/>
    <hyperlink ref="AB749" location="campaign!A236:AB276" tooltip="next page" display="$" xr:uid="{727812C8-5950-42DB-BA57-27C8D1464EF6}"/>
    <hyperlink ref="AB714" location="campaign!A236:AB276" tooltip="next page" display="$" xr:uid="{CB3120C6-E576-4C63-A39F-047B6CD55FAA}"/>
    <hyperlink ref="AB783" location="campaign!A236:AB276" tooltip="next page" display="$" xr:uid="{DC911FC3-BBC4-4AE6-9A00-3124FEBDE153}"/>
    <hyperlink ref="AB819" location="campaign!A236:AB276" tooltip="next page" display="$" xr:uid="{FAF914D0-70DC-406B-BC3E-610809665EB8}"/>
    <hyperlink ref="AB854" location="campaign!A236:AB276" tooltip="next page" display="$" xr:uid="{A440E153-5574-453D-A393-E33EA7E6826E}"/>
    <hyperlink ref="AB893" location="campaign!A236:AB276" tooltip="next page" display="$" xr:uid="{107E8813-04DD-4875-AABB-E23A661E324B}"/>
    <hyperlink ref="AB966" location="campaign!A236:AB276" tooltip="next page" display="$" xr:uid="{489D2949-0886-4D81-8302-DB14CEE4D3B8}"/>
    <hyperlink ref="AB1009" location="campaign!A236:AB276" tooltip="next page" display="$" xr:uid="{1000AE84-C529-46C6-A3CF-D4C8BCAD9E1C}"/>
    <hyperlink ref="AB931" location="campaign!A236:AB276" tooltip="next page" display="$" xr:uid="{8B28DDCF-D9C6-49C0-8C21-4B756B1A1B42}"/>
    <hyperlink ref="AB55" location="campaign!A72:AB113" tooltip="next page" display="$" xr:uid="{E04A985E-8717-42C4-826F-20C0A841B443}"/>
    <hyperlink ref="B165" location="clients!B36:M36" tooltip="back to contents listing" display="Moving therapy beyond popular politics" xr:uid="{6334E1D6-BB43-4BA9-885A-557B8A2DDDB9}"/>
    <hyperlink ref="B462:M462" location="advocacy!A36:N36" tooltip="return to menu listing" display="What is the impact parity model?" xr:uid="{722AD79E-2ED4-4D3E-AD65-ACF8E86EA229}"/>
    <hyperlink ref="C37:K37" location="clients!A240:N240" tooltip="to page 8 header" display="clients!A240:N240" xr:uid="{B369A04A-CCBF-49B0-9709-6A1BEB6F0E8A}"/>
    <hyperlink ref="C36:K36" location="advocacy!A203:N203" tooltip="to page 7 header" display="advocacy!A203:N203" xr:uid="{036E868A-EA93-4427-AF1B-789615CD8046}"/>
    <hyperlink ref="K26" location="advocacy!H113" tooltip="go to dropdown list to select a political issue" display="Your input" xr:uid="{584C84FA-C577-4DC0-B0EE-A66CD9D41ECB}"/>
    <hyperlink ref="C25" location="advocacy!A54:N54" tooltip="go to page 3 header" display="Aims" xr:uid="{B584E831-729F-48AA-A233-86CDCBC51368}"/>
    <hyperlink ref="L25" location="advocacy!A55:N89" tooltip="to page 3" display="advocacy!A55:N89" xr:uid="{9BA45628-5842-4033-AB86-E5775CDB120E}"/>
    <hyperlink ref="C26:G26" location="clients!A89:N89" tooltip="to page 4 header" display="clients!A89:N89" xr:uid="{CE6AECF2-37BC-4836-9E3B-866B76339997}"/>
    <hyperlink ref="L24" location="advocacy!A23:N53" tooltip="to contents (this page)" display="advocacy!A23:N53" xr:uid="{C6CB78AA-1F0B-4EEE-9B0D-CB7E32D25054}"/>
    <hyperlink ref="C38:K38" location="clients!A277:N277" tooltip="to page 9 header" display="clients!A277:N277" xr:uid="{57354348-944C-4E34-8E81-C696703ACDF8}"/>
    <hyperlink ref="C43:K43" location="clients!A352:N352" tooltip="to page 11 header" display="clients!A352:N352" xr:uid="{9A2833A0-5726-463F-9055-CD93FCE1F305}"/>
    <hyperlink ref="C44:K44" location="clients!A386:N386" tooltip="to page 12 header" display="clients!A386:N386" xr:uid="{96CCBF1D-3C81-48E8-98A9-BD394B67C0CF}"/>
    <hyperlink ref="C45:K45" location="clients!A425:N425" tooltip="to page 13 header" display="clients!A425:N425" xr:uid="{7CB8E2C8-8A07-486B-8329-3CB122BE8B46}"/>
    <hyperlink ref="C46:K46" location="clients!A461:N461" tooltip="to page 14 header" display="clients!A461:N461" xr:uid="{F75C39A0-5106-4523-B4D7-3FFD3CAF36E4}"/>
    <hyperlink ref="C49:H49" location="advocacy!A931:N931" tooltip="to page header" display="advocacy!A931:N931" xr:uid="{CA25ABB0-EF50-47D6-AD4B-B2F69C081C5D}"/>
    <hyperlink ref="C51:H51" location="advocacy!A1009:N1009" tooltip="to page header" display="advocacy!A1009:N1009" xr:uid="{C7CD3FE9-C337-4F09-BFF7-1F70B631097E}"/>
    <hyperlink ref="C52:H52" location="advocacy!A1044:N1044" tooltip="to last page header" display="advocacy!A1044:N1044" xr:uid="{FF3F3062-7034-4352-BFE0-1398AF6ABE1F}"/>
    <hyperlink ref="B749:E749" location="clients!B42:K42" tooltip="back to contents menu above" display="De-generalizing" xr:uid="{0E4A1C05-883E-4FC7-AF05-2F4651FC9DAA}"/>
    <hyperlink ref="B714:K714" location="clients!B43:K43" tooltip="back to contents menu above" display="2. Expressing affected needs - &quot;dealienate&quot;" xr:uid="{E644BFE9-ED76-4A66-8424-F13720360D8B}"/>
    <hyperlink ref="B783:D783" location="clients!B44:K44" tooltip="back to contents menu above" display="De-alienating" xr:uid="{09AB5540-1942-40B4-955A-B5FF599F3732}"/>
    <hyperlink ref="B819:K819" location="clients!B45:K45" tooltip="back to contents menu above" display="3. Addressing affected needs - &quot;depolarize&quot;" xr:uid="{EC0730E4-4AD3-4086-B217-8B4C09FC67D6}"/>
    <hyperlink ref="B854" location="clients!B46:K46" tooltip="back to contents menu above" display="De-polarizing" xr:uid="{C1440043-26BD-4D11-BE6A-E9FADC654F76}"/>
    <hyperlink ref="B893:E893" location="clients!B47:K47" tooltip="back to the contents menu above" display="TAKEAWAY" xr:uid="{BA5CEE8C-F9A4-4614-A227-2798EB9989A4}"/>
    <hyperlink ref="B931:I931" location="clients!B50:K52" tooltip="back to contents menu above" display="Competitive responsiveness" xr:uid="{36894283-41FD-46C0-907C-09928A144D8D}"/>
    <hyperlink ref="A1044" location="advocacy!A1009:N1009" tooltip="to previous page header" display="#" xr:uid="{1E253DA7-B4B8-490C-A6CD-93CC2357D5DF}"/>
    <hyperlink ref="N90" location="advocacy!A129:N129" tooltip="next page header" display="$" xr:uid="{AD1D5A18-DD79-41CD-80E3-6696E90F4752}"/>
    <hyperlink ref="N165" location="advocacy!A202:N202" tooltip="next page header" display="$" xr:uid="{5B83409F-5E2F-4E89-AEBC-AA2817CD20CA}"/>
    <hyperlink ref="N462" location="advocacy!A493:N493" tooltip="to next page header" display="$" xr:uid="{1FCF6155-9D4C-4311-95B4-CF7D181CB849}"/>
    <hyperlink ref="N493" location="advocacy!A530:N530" tooltip="to next page header" display="$" xr:uid="{A94B976D-3139-4734-B634-6441465E9B18}"/>
    <hyperlink ref="N530" location="advocacy!A568:N568" tooltip="to next page header" display="$" xr:uid="{ABE2F175-A7AD-4393-8B1B-64A2D0B57681}"/>
    <hyperlink ref="N749" location="advocacy!A783:N783" tooltip="to next page header" display="$" xr:uid="{0CAA3646-B3B4-4B20-9054-BB6F1044D907}"/>
    <hyperlink ref="N714" location="advocacy!A749:N749" tooltip="to next page header" display="$" xr:uid="{58DEAEB7-D141-402D-9D1D-365EF0DF3A23}"/>
    <hyperlink ref="N783" location="advocacy!A819:N819" tooltip="to next page header" display="$" xr:uid="{8858FB42-E9EA-4A23-A258-D7DA9299768B}"/>
    <hyperlink ref="N819" location="advocacy!A854:N854" tooltip="to next page header" display="$" xr:uid="{52B1072C-70F0-4089-A630-91BD0E2EDA38}"/>
    <hyperlink ref="N854" location="advocacy!A893:N893" tooltip="to next page header" display="$" xr:uid="{2EF1FF9F-F8D3-4154-90CF-81A0241C30FB}"/>
    <hyperlink ref="N893" location="advocacy!A931:N931" tooltip="to next page header" display="$" xr:uid="{A3951CB7-577E-4428-8C9D-A31BCFA5C2EF}"/>
    <hyperlink ref="N966" location="advocacy!A1009:N1009" tooltip="to next page header" display="$" xr:uid="{AF6145F6-20BC-42AC-8D36-F2F848D30517}"/>
    <hyperlink ref="N1009" location="advocacy!A1044:N1044" tooltip="to next page header" display="$" xr:uid="{25EC5FA6-79DA-48DA-A9E1-46CCBE1952F5}"/>
    <hyperlink ref="N931" location="advocacy!A966:N966" tooltip="to next page header" display="$" xr:uid="{5CAE6A90-BAF6-4B30-A2B4-5D615DA4B127}"/>
    <hyperlink ref="N1044" location="advocacy!A1075:N1078" tooltip="end of the line" display="$" xr:uid="{C9CB74CD-7DCE-4657-ACA8-1E64CBB53F19}"/>
    <hyperlink ref="C26:H26" location="advocacy!A89:N89" tooltip="to page 4 header" display="advocacy!A89:N89" xr:uid="{5EC6F545-B09B-4BDA-B436-5C6BB97F2F41}"/>
    <hyperlink ref="B165:M165" location="advocacy!B28:M28" tooltip="return to menu listing" display="advocacy!B28:M28" xr:uid="{92DADDBA-B547-41CF-BAFB-ECAAD2AF2D97}"/>
    <hyperlink ref="A202" location="advocacy!A165:N165" tooltip="previous page header" display="#" xr:uid="{9296B8DF-E3CF-4F79-AD81-4FCA933623E6}"/>
    <hyperlink ref="AB202" location="campaign!A114:AB154" display="$" xr:uid="{6A84B1F9-8AD8-4079-8963-6EBDFC0EF859}"/>
    <hyperlink ref="B202" location="clients!B36:M36" tooltip="back to contents listing" display="Moving therapy beyond popular politics" xr:uid="{35748058-869E-497E-BCC6-D101B625F6A4}"/>
    <hyperlink ref="N202" location="advocacy!A239:N239" tooltip="next page header" display="$" xr:uid="{023D2FF7-61C4-4BE5-8B99-6B231AEF4A50}"/>
    <hyperlink ref="B202:M202" location="advocacy!B29:M29" tooltip="return to menu listing" display="Slipping into needless battle" xr:uid="{8439FC9C-68CB-46DB-951E-FDA871F37C4E}"/>
    <hyperlink ref="AB422" location="campaign!A155:AB195" tooltip="next page" display="$" xr:uid="{8E71F124-C00A-4079-AB8F-E5474E7648B9}"/>
    <hyperlink ref="A422" location="advocacy!A385:N385" tooltip="previous page header" display="#" xr:uid="{ADB97853-67B0-4F7A-8092-031F44818A59}"/>
    <hyperlink ref="B422:M422" location="advocacy!B35:M35" tooltip="return to menu listing" display="Welcome to proactive advocacy" xr:uid="{CF08683D-7FC1-44B1-9C2B-3AB0CDA7B7F6}"/>
    <hyperlink ref="N422" location="advocacy!A462:N462" tooltip="to next page header" display="$" xr:uid="{EF969059-E782-4891-BB76-68D876FCC9A8}"/>
    <hyperlink ref="A275" location="advocacy!A239:N239" tooltip="previous page header" display="#" xr:uid="{BC13D237-53D2-4AF6-ABFD-E5330FCBB733}"/>
    <hyperlink ref="AB275" location="campaign!A114:AB154" display="$" xr:uid="{23B31ECF-BD78-4EC4-AFB4-439A7E2D26EC}"/>
    <hyperlink ref="B275" location="clients!B36:M36" tooltip="back to contents listing" display="Moving therapy beyond popular politics" xr:uid="{1A660A39-DDED-42E7-BB07-548CE7735865}"/>
    <hyperlink ref="N275" location="advocacy!A312:N312" tooltip="next page header" display="$" xr:uid="{2FA70C66-132B-46D4-B47F-1250F531F98C}"/>
    <hyperlink ref="B275:M275" location="advocacy!B31:M31" tooltip="return to menu listing" display="Liberated by love" xr:uid="{B232B968-4799-4F4F-98EE-52A5D14F56CD}"/>
    <hyperlink ref="A385" location="advocacy!A349:N349" tooltip="previous page header" display="#" xr:uid="{C60F004A-95DB-4C1F-B249-7BA5F765CF88}"/>
    <hyperlink ref="AB385" location="campaign!A114:AB154" display="$" xr:uid="{6C5836BF-2C3C-4879-BCE6-E1E09F8BAC0E}"/>
    <hyperlink ref="N385" location="advocacy!A422:N422" tooltip="next page header" display="$" xr:uid="{A1547CE2-5CAB-4521-8883-C90677DB351E}"/>
    <hyperlink ref="A349" location="advocacy!A312:N312" tooltip="previous page header" display="#" xr:uid="{AD81A853-4FDF-476E-AFCC-B2D859D54B42}"/>
    <hyperlink ref="AB349" location="campaign!A114:AB154" display="$" xr:uid="{2EC4CAE0-5AA2-4166-B217-CE5F175CDF11}"/>
    <hyperlink ref="B349" location="clients!B36:M36" tooltip="back to contents listing" display="Moving therapy beyond popular politics" xr:uid="{B336EC5E-93C1-4072-A5FD-E83D73A7AD64}"/>
    <hyperlink ref="N349" location="advocacy!A385:N385" tooltip="next page header" display="$" xr:uid="{42C6EEDE-0C6E-4576-A9E4-83424D254FD7}"/>
    <hyperlink ref="B349:M349" location="advocacy!B33:M33" tooltip="return to menu listing" display="advocacy!B33:M33" xr:uid="{B42F2155-D5B9-4317-9BFD-3EA720CD6FF3}"/>
    <hyperlink ref="A636" location="advocacy!A602:N602" tooltip="to previous page header" display="#" xr:uid="{613CB48C-D2C6-4BB8-9C86-4CBC00B3ED23}"/>
    <hyperlink ref="AB636" location="campaign!A236:AB276" tooltip="next page" display="$" xr:uid="{47FEEB60-B71B-4E38-B654-853A8A77DF4F}"/>
    <hyperlink ref="B636:E636" location="clients!B42:K42" tooltip="back to contents menu above" display="De-generalizing" xr:uid="{0447113E-28B6-4ED9-9BB6-AE7861B4BF8B}"/>
    <hyperlink ref="N636" location="advocacy!A676:N676" tooltip="to next page header" display="$" xr:uid="{1E88F4B4-195E-4478-A069-9A0EEDA04C59}"/>
    <hyperlink ref="AB312" location="campaign!A155:AB195" tooltip="next page" display="$" xr:uid="{8F5837B3-9F4C-4A6C-857C-558D597EEF21}"/>
    <hyperlink ref="A312" location="advocacy!A275:N275" tooltip="previous page header" display="#" xr:uid="{392A696B-8126-45F1-8F38-21D56A3002A5}"/>
    <hyperlink ref="B312:M312" location="advocacy!B32:M32" tooltip="return to menu listing" display="advocacy!B32:M32" xr:uid="{233C1807-B479-4E96-9553-680F421F5000}"/>
    <hyperlink ref="N312" location="advocacy!A349:N349" tooltip="next page header" display="$" xr:uid="{2D8398EC-EEE4-4B65-BD6C-366943B9FC17}"/>
    <hyperlink ref="A568" location="advocacy!A530:N530" tooltip="to previous page header" display="#" xr:uid="{6E45ACC9-78AC-4DA3-B07C-B9D3F438703C}"/>
    <hyperlink ref="AB568" location="campaign!A236:AB276" tooltip="next page" display="$" xr:uid="{3637C510-8B64-4FCE-B5D5-E4C32DD7020D}"/>
    <hyperlink ref="N568" location="advocacy!A602:N602" tooltip="to next page header" display="$" xr:uid="{8A6ADE0A-A4D6-4D24-A0E4-B5632621B6D6}"/>
    <hyperlink ref="A676" location="advocacy!A636:N636" tooltip="to previous page header" display="#" xr:uid="{20A9739F-88E3-4AFE-90AD-33C7E71C25C0}"/>
    <hyperlink ref="AB676" location="campaign!A236:AB276" tooltip="next page" display="$" xr:uid="{A5983C42-D562-4252-8E17-C3DBF2273364}"/>
    <hyperlink ref="N676" location="advocacy!A714:N714" tooltip="to next page header" display="$" xr:uid="{360C1233-DC61-4C36-B067-A35A84902744}"/>
    <hyperlink ref="A602" location="advocacy!A568:N568" tooltip="to previous page header" display="#" xr:uid="{F230996F-4518-496E-9ED8-EBE3C408CBB8}"/>
    <hyperlink ref="AB602" location="campaign!A236:AB276" tooltip="next page" display="$" xr:uid="{73E327A6-00EC-46F3-8F77-5FB28BC73114}"/>
    <hyperlink ref="N602" location="advocacy!A636:N636" tooltip="to next page header" display="$" xr:uid="{A8C43300-29FC-4083-A12B-72F92AD32ACE}"/>
    <hyperlink ref="A129" location="advocacy!A90:N90" tooltip="previous page header" display="#" xr:uid="{D6703EF2-C161-4480-AC26-994AB1E04E29}"/>
    <hyperlink ref="AB129" location="campaign!A114:AB154" display="$" xr:uid="{61D05388-2643-417C-B2C5-A7DE45D1BB18}"/>
    <hyperlink ref="B129" location="clients!B36:M36" tooltip="back to contents listing" display="Moving therapy beyond popular politics" xr:uid="{B206A6D2-CAD6-44F8-980F-A04B65A53797}"/>
    <hyperlink ref="N129" location="advocacy!A165:N165" tooltip="next page header" display="$" xr:uid="{3569F181-0A6B-4D11-8068-9CEDC1B3C6FD}"/>
    <hyperlink ref="A239" location="advocacy!A202:N202" tooltip="previous page header" display="#" xr:uid="{55441B8E-F5A5-4933-8D72-D077F198552F}"/>
    <hyperlink ref="AB239" location="campaign!A114:AB154" display="$" xr:uid="{D7D26C76-B080-4F08-A270-9C1CD08321EC}"/>
    <hyperlink ref="B239" location="clients!B36:M36" tooltip="back to contents listing" display="Moving therapy beyond popular politics" xr:uid="{E8E410A6-BA1A-42F5-96CB-73CC84B0893B}"/>
    <hyperlink ref="N239" location="advocacy!A275:N275" tooltip="next page header" display="$" xr:uid="{612A46BF-84F2-4162-8A1C-4737762B4500}"/>
    <hyperlink ref="B239:M239" location="advocacy!B30:M30" tooltip="return to menu listing" display="Stuck in needless battle" xr:uid="{8461671F-36BD-40DD-9DA1-DE181DD2D942}"/>
    <hyperlink ref="B418:M420" location="HP!A1:N2" tooltip="click to go to HP tab" display="HP!A1:N2" xr:uid="{0EA763E5-5D7D-4620-A800-45F68DCE4DC3}"/>
    <hyperlink ref="P90:AA90" location="advocacy!B35:K35" tooltip="to contents menu above" display="Welcome to responsive advocacy" xr:uid="{D6C58899-1C86-4AE8-85D8-B5626CF6ACE6}"/>
    <hyperlink ref="C50:H50" location="advocacy!A966:N966" tooltip="to page header" display="advocacy!A966:N966" xr:uid="{6E7828F9-0006-4154-AB1A-557C4339E06D}"/>
    <hyperlink ref="K30" location="advocacy!E266" tooltip="go to dropdown list to select complementary sides" display="Your input" xr:uid="{F92ACD3E-F3EB-4527-8362-D9F2642FB6BD}"/>
    <hyperlink ref="K31" location="advocacy!B286" tooltip="go to dropdown list illustrating different responses to needs" display="Your input" xr:uid="{125A260B-1751-42E7-83AB-E5ABD1B87949}"/>
    <hyperlink ref="P1026:U1026" r:id="rId1" display="impact parity model" xr:uid="{79DD9D82-7B03-4E0B-AC81-BD409C581143}"/>
    <hyperlink ref="E860" location="advocacy!E679" tooltip="click to return to form above, to change values" display="advocacy!E679" xr:uid="{3B861901-9E3B-4684-BFCB-9B3E38C52AFE}"/>
    <hyperlink ref="F641" location="advocacy!E860:E863" tooltip="Click to see accumalitive weekly totals below" display="$" xr:uid="{38117FC2-D440-4131-A10F-2B93B98BA3AA}"/>
    <hyperlink ref="M859" location="advocacy!A674:N674" display="CC" xr:uid="{8C510264-FB73-481A-81F9-73A344DA8472}"/>
    <hyperlink ref="M869" location="advocacy!A674:N674" display="CC" xr:uid="{C74F0C79-E9AD-4B0D-912D-DCF96456881C}"/>
    <hyperlink ref="A55" location="advocacy!A23:N54" tooltip="previous page" display="#" xr:uid="{41F52136-16D7-4F8D-9526-76F51A64BD47}"/>
    <hyperlink ref="N55" location="advocacy!A90:N90" tooltip="next page header" display="$" xr:uid="{4D157B14-F857-4A9A-A59C-32113B8F278E}"/>
    <hyperlink ref="B1044" location="campaign!A1:AB1" tooltip="back to the top" display="Value Relating consulting services" xr:uid="{971124EB-A233-43F2-B1FF-6C1565B154E9}"/>
    <hyperlink ref="B55:C55" location="advocacy!C25" tooltip="back to contents menu above" display="Aims" xr:uid="{0BC84C66-1A56-46CF-A811-A0F1D50E8D9A}"/>
    <hyperlink ref="B90" location="advocacy!B26:M26" tooltip="return to menu listing" display="Parallel political differences" xr:uid="{58610749-FA2D-4F9E-8CFC-60339D063DDD}"/>
    <hyperlink ref="C26:I26" location="advocacy!A90:N90" tooltip="to page 4 header" display="advocacy!A90:N90" xr:uid="{648A325B-E2AC-498A-B56E-B14799F4DBE6}"/>
    <hyperlink ref="B129:L129" location="advocacy!B27:M27" tooltip="return to menu listing" display="advocacy!B27:M27" xr:uid="{B5143593-025C-454B-B58E-903E155936EA}"/>
    <hyperlink ref="C29:J29" location="advocacy!A202:N202" tooltip="to page header" display="advocacy!A202:N202" xr:uid="{A695576D-B9B0-4889-B132-1076980CBBAC}"/>
    <hyperlink ref="C28:J28" location="advocacy!A165:N165" tooltip="to page header" display="advocacy!A165:N165" xr:uid="{252AC84A-C4FF-4473-A794-63839F03D239}"/>
    <hyperlink ref="C27:J27" location="advocacy!A129:N129" tooltip="to page header" display="advocacy!A129:N129" xr:uid="{77E2857E-357D-4390-A552-C71352C873FB}"/>
    <hyperlink ref="C30:J30" location="advocacy!A239:N239" tooltip="to page header" display="advocacy!A239:N239" xr:uid="{202045A5-CDC9-40F1-8805-4CE8DEC24FD3}"/>
    <hyperlink ref="C31:J31" location="advocacy!A275:N275" tooltip="to page header" display="advocacy!A275:N275" xr:uid="{2C322507-DE8E-4E0B-A4C1-25CC72B96154}"/>
    <hyperlink ref="C32:J32" location="advocacy!A312:N312" tooltip="to page header" display="advocacy!A312:N312" xr:uid="{3AA7E5F6-37DF-4A38-9564-CEFD44943616}"/>
    <hyperlink ref="C33:J33" location="advocacy!A349:N349" tooltip="to page header" display="advocacy!A349:N349" xr:uid="{6F960202-3B71-4950-9D38-FB9244EFD2DC}"/>
    <hyperlink ref="B385:M385" location="advocacy!B34:M34" tooltip="return to menu listing" display="Respecting all political differences" xr:uid="{A1985A8F-C444-47D4-A817-2EC739AEC41A}"/>
    <hyperlink ref="C34:J34" location="advocacy!A385:N385" tooltip="to page header" display="advocacy!A385:N385" xr:uid="{374E176E-903E-4D7C-8ACF-AB8F7A129DE0}"/>
    <hyperlink ref="C35:H35" location="advocacy!A422:N422" tooltip="to page header" display="advocacy!A422:N422" xr:uid="{419EC7AC-DE2E-4755-9CEB-349F9CBB2137}"/>
    <hyperlink ref="C36:H36" location="advocacy!A462:N462" tooltip="to page header" display="advocacy!A462:N462" xr:uid="{59D8A0A1-9FDD-489F-9492-649690983E87}"/>
    <hyperlink ref="B493:M493" location="advocacy!B37:M37" tooltip="return to menu listing" display="Because they need you" xr:uid="{E9C7CAF6-D0CB-4FD2-A545-F64F9B0CE103}"/>
    <hyperlink ref="C37:H37" location="advocacy!A493:N493" tooltip="to page header" display="advocacy!A493:N493" xr:uid="{563060AC-19F5-4A99-AC09-E9256760E484}"/>
    <hyperlink ref="P893" location="clients!B47:K47" tooltip="back to the contents menu above" display="TAKEAWAY" xr:uid="{139DC371-3EAB-42B9-ABD9-07378EE891ED}"/>
    <hyperlink ref="B530" location="advocacy!B38:N38" tooltip="return to menu listing" display="FIT 1: Your personal readiness" xr:uid="{4BD767AD-115C-4701-A151-10F868EF2848}"/>
    <hyperlink ref="C38:H38" location="advocacy!A530:N530" tooltip="to page header" display="advocacy!A530:N530" xr:uid="{42CCF3EA-945F-4827-B0FD-E7A049C3CF73}"/>
    <hyperlink ref="B530:M530" location="advocacy!B38:N38" tooltip="return to menu listing" display="FIT 1: Your personal readiness" xr:uid="{A7AA9571-EA6C-4FD6-BBFE-4CF2DDB7BD19}"/>
    <hyperlink ref="B568:M568" location="advocacy!B39:M39" tooltip="return to menu listing" display="FIT 2: Your support potential" xr:uid="{4E10AD4F-3F67-44BF-B588-F1FC4AC89826}"/>
    <hyperlink ref="C39:H39" location="advocacy!A568:N568" tooltip="to page header" display="advocacy!A568:N568" xr:uid="{4F1BF7D5-DF6C-4E77-84C5-B18704F810C3}"/>
    <hyperlink ref="C40:H40" location="advocacy!A602:N602" tooltip="to page header" display="advocacy!A602:N602" xr:uid="{085AEF6C-200B-4414-8225-470601955B2F}"/>
    <hyperlink ref="B602:M602" location="advocacy!B40:M40" tooltip="return to menu listing" display="FIT 3: Your responsive impactors" xr:uid="{54E1045B-093F-42BA-A7CC-1C253D0E45CA}"/>
    <hyperlink ref="P636" location="clients!B42:K42" tooltip="back to contents menu above" display="De-generalizing" xr:uid="{6F5BE3BC-C0CB-40BB-87B2-64EF56453BB4}"/>
    <hyperlink ref="B636" location="advocacy!B41:M41" tooltip="return to menu listing" display="CAMPAIGN PHASES" xr:uid="{3C6C33BB-BCF1-47CA-A8B0-478F1029F463}"/>
    <hyperlink ref="C41:H41" location="advocacy!A636:N636" tooltip="to page header" display="advocacy!A636:N636" xr:uid="{2F461FC2-B659-41A9-A8CF-67FA65E80629}"/>
    <hyperlink ref="B676:G676" location="advocacy!B42:M42" tooltip="return to menu listing" display="1: PREP phase" xr:uid="{8C6E80B4-A847-4EFC-B742-A7E402ED6C77}"/>
    <hyperlink ref="C42:H42" location="advocacy!A676:N676" tooltip="to page header" display="advocacy!A676:N676" xr:uid="{307E327A-09FF-4C43-B006-26991A36B6CB}"/>
    <hyperlink ref="B714:G714" location="advocacy!B43:M43" tooltip="return to menu listing" display="2: BASE phase" xr:uid="{E70DA966-CBF1-480A-81B4-63618FE08BFD}"/>
    <hyperlink ref="C43:H43" location="advocacy!A714:N714" tooltip="to page header" display="advocacy!A714:N714" xr:uid="{EA2F6088-5377-4488-91E3-D4BF18DC1DBF}"/>
    <hyperlink ref="B749:G749" location="advocacy!B44:M44" tooltip="return to menu listing" display="3: LAUNCH phase" xr:uid="{01286E07-6A13-4203-89C5-D0E75134BC48}"/>
    <hyperlink ref="B783:G783" location="advocacy!B45:M45" tooltip="return to menu listing" display="4. GROWTH phase" xr:uid="{63B36A4B-C0F1-40E9-8605-AE67B18F8843}"/>
    <hyperlink ref="C45:H45" location="advocacy!A783:N783" tooltip="to page header" display="advocacy!A783:N783" xr:uid="{73809DC5-0ABA-4924-9E1F-9EB27593ABA4}"/>
    <hyperlink ref="C44:H44" location="advocacy!A749:N749" tooltip="to page header" display="advocacy!A749:N749" xr:uid="{3000594A-4993-4DF4-ACFC-1077FDE1FB45}"/>
    <hyperlink ref="B819:G819" location="advocacy!B46:M46" tooltip="return to menu listing" display="5. CAUSE phase" xr:uid="{933D934F-7646-422B-8892-0DE9CEE3227D}"/>
    <hyperlink ref="C46:H46" location="advocacy!A819:N819" tooltip="to page header" display="advocacy!A819:N819" xr:uid="{ED21A432-A15E-44F2-AC6D-4C3B7F3DD074}"/>
    <hyperlink ref="B854:M854" location="advocacy!B47:M47" tooltip="return to menu listing" display="Overview with revenue potential" xr:uid="{95C98F4A-9A9D-42B9-9625-B186281BD896}"/>
    <hyperlink ref="C47:H47" location="advocacy!A854:N854" tooltip="to page header" display="advocacy!A854:N854" xr:uid="{A09036DA-7D22-4884-95F9-AB4C73A23CBF}"/>
    <hyperlink ref="B893:M893" location="advocacy!B48:M48" tooltip="return to menu listing" display="Your Relating Terms" xr:uid="{D9F0F883-F4F9-4A9C-8C87-172813E049EB}"/>
    <hyperlink ref="C48:H48" location="advocacy!A893:N893" tooltip="to page header" display="advocacy!A893:N893" xr:uid="{770CF831-AE4A-4739-811F-306AE088BA19}"/>
    <hyperlink ref="B931:M931" location="advocacy!B49:M49" tooltip="return to menu listing" display="Exaction Invoice" xr:uid="{927EA52F-2EEF-40F7-B72E-35FD6614774C}"/>
    <hyperlink ref="B966" location="advocacy!B50:M50" tooltip="return to menu listing" display="Legitimacy Quality" xr:uid="{045D54C1-E70B-470A-A6AA-A142DC468573}"/>
    <hyperlink ref="B966:G966" location="advocacy!B50:M50" tooltip="return to menu listing" display="Legitimacy Quality" xr:uid="{8C1A6D38-118A-4864-B537-EF6F5A4F3292}"/>
    <hyperlink ref="B1009" location="advocacy!B51:M51" tooltip="return to menu listing" display="Invitations" xr:uid="{89363052-9B07-47D2-B612-A460E330A28B}"/>
    <hyperlink ref="B1009:G1009" location="advocacy!B51:M51" tooltip="return to menu listing" display="Invitations" xr:uid="{E5A9E9F6-A9CD-473B-8A20-3A4361E55249}"/>
    <hyperlink ref="B1044:L1044" location="advocacy!B52:N52" tooltip="return to menu listing" display="Getting started" xr:uid="{04189F20-84D4-453C-BDD0-1BFC4CCC92A8}"/>
    <hyperlink ref="K38" location="advocacy!E551" tooltip="Urgency of needs" display="Your input" xr:uid="{A6496D03-86C3-4186-93BF-710BECED088B}"/>
    <hyperlink ref="K40" location="advocacy!B630" tooltip="Rating powerholders" display="Your input" xr:uid="{3D9BC886-0ED4-4A48-8CFD-13C6DD0BBD63}"/>
    <hyperlink ref="K41" location="advocacy!E641" tooltip="Invested amounts" display="Your input" xr:uid="{BD96658C-E2C2-43EE-8CD8-BD86DE4CF0FE}"/>
    <hyperlink ref="K43" location="advocacy!D737" tooltip="Inputs for sample progress update" display="Your input" xr:uid="{5AEB9F9C-918D-4A0C-9786-E3B22948F648}"/>
    <hyperlink ref="K44" location="advocacy!B781" tooltip="Launch failure risks" display="Your input" xr:uid="{DEECE879-5975-431D-B908-383000011A9F}"/>
    <hyperlink ref="K45" location="advocacy!C814" tooltip="Impactor type" display="Your input" xr:uid="{FAE066D8-9495-42C5-90A9-1DD6B4B4E7CB}"/>
    <hyperlink ref="K46" location="advocacy!B831" tooltip="Avoidant options" display="Your input" xr:uid="{6735ABC4-9F58-49D5-B018-13BBB594F9EB}"/>
    <hyperlink ref="K47" location="advocacy!C860" tooltip="Launch date" display="Your input" xr:uid="{BC7BEDE5-880B-42EE-814F-9C1938772593}"/>
    <hyperlink ref="K48" location="advocacy!D900" tooltip="Relating Terms by phase" display="Your input" xr:uid="{B0431D32-A0CB-43AD-B5C9-BC13D188EF30}"/>
    <hyperlink ref="K49" location="advocacy!D937" tooltip="Date of impact" display="Your input" xr:uid="{DE7DEFFE-A181-4624-94C1-2C479DD02788}"/>
    <hyperlink ref="K50" location="advocacy!D974" tooltip="Quality level of scientific legitimacy" display="Your input" xr:uid="{58BF81DF-3108-412A-9A66-9CFD65264689}"/>
    <hyperlink ref="K51" location="advocacy!I1013" tooltip="Recipient of invitation to campaign" display="Your input" xr:uid="{15CE54D7-D415-44AE-8817-21174B7CCB40}"/>
    <hyperlink ref="L26" location="advocacy!A90:N128" tooltip="to page 4" display="advocacy!A90:N128" xr:uid="{F1B1DE19-D142-4FE6-8779-F0BB5246DFB1}"/>
    <hyperlink ref="L27" location="advocacy!A129:N164" tooltip="to page 5" display="advocacy!A129:N164" xr:uid="{540449C6-28A4-41E1-93C9-D73DF8D6A5F5}"/>
    <hyperlink ref="L28" location="advocacy!A165:N201" tooltip="to page 6" display="advocacy!A165:N201" xr:uid="{A56AF873-B4F0-462A-9007-250B7C871BFD}"/>
    <hyperlink ref="L29" location="advocacy!A202:N238" tooltip="to page 7" display="advocacy!A202:N238" xr:uid="{A70E805C-CB67-4BDC-8D3D-472451C3E406}"/>
    <hyperlink ref="L30" location="advocacy!A239:N274" tooltip="to page 8" display="advocacy!A239:N274" xr:uid="{E816E482-3165-481D-A121-5CE700E5ECE1}"/>
    <hyperlink ref="L31" location="advocacy!A275:N311" tooltip="to page 9" display="advocacy!A275:N311" xr:uid="{2B2134AA-C1F2-4950-AFF4-D55397E20F2D}"/>
    <hyperlink ref="L32" location="advocacy!A312:N348" tooltip="to page 10" display="advocacy!A312:N348" xr:uid="{91186114-26CD-4DB8-B384-57D6451A838E}"/>
    <hyperlink ref="L33" location="advocacy!A349:N384" tooltip="to page 11" display="advocacy!A349:N384" xr:uid="{8CC68792-B3F8-4779-8CD7-F22DDA14898E}"/>
    <hyperlink ref="L34" location="advocacy!A385:N421" tooltip="to page 12" display="advocacy!A385:N421" xr:uid="{40508C5F-A656-4AFB-A09C-128DFF07A162}"/>
    <hyperlink ref="L35" location="advocacy!A422:N461" tooltip="to page 13" display="advocacy!A422:N461" xr:uid="{CFEF58FE-A33C-49E6-B82E-FDD2455BF988}"/>
    <hyperlink ref="L36" location="advocacy!A462:N492" tooltip="to page 14" display="advocacy!A462:N492" xr:uid="{E4B332D3-D20C-4B1A-9B07-8E35AA461678}"/>
    <hyperlink ref="L37" location="advocacy!A493:N529" tooltip="to page 15" display="advocacy!A493:N529" xr:uid="{2CC5F5F0-970B-44F5-89E8-9AC66D9C5909}"/>
    <hyperlink ref="L38" location="advocacy!A530:N567" tooltip="to page 16" display="advocacy!A530:N567" xr:uid="{ED584060-57D0-43B2-9076-B396EB7DCABD}"/>
    <hyperlink ref="L39" location="advocacy!A568:N601" tooltip="to page 17" display="advocacy!A568:N601" xr:uid="{3A0ED5C7-28F9-47D5-B370-006867027B5C}"/>
    <hyperlink ref="L40" location="advocacy!A602:N635" tooltip="to page 18" display="advocacy!A602:N635" xr:uid="{80D26614-35F3-4B69-A9CC-722B21880B1D}"/>
    <hyperlink ref="L41" location="advocacy!A636:N675" tooltip="to page 19" display="advocacy!A636:N675" xr:uid="{B3D1394B-F789-4B84-94D8-F373CDAE27C2}"/>
    <hyperlink ref="L42" location="advocacy!A676:N713" tooltip="to page 20" display="advocacy!A676:N713" xr:uid="{B702660F-6845-4A50-A4FD-727338962CB4}"/>
    <hyperlink ref="L43" location="advocacy!A714:N748" tooltip="to page 21" display="advocacy!A714:N748" xr:uid="{B515A85E-7EDE-496D-B9CB-C91808365F4E}"/>
    <hyperlink ref="L44" location="advocacy!A749:N782" tooltip="to page 22" display="advocacy!A749:N782" xr:uid="{FE68BD2F-B994-4A10-9DD9-0EE2FEC06DE4}"/>
    <hyperlink ref="L45" location="advocacy!A783:N818" tooltip="to page 23" display="advocacy!A783:N818" xr:uid="{BA676347-7CA7-431E-AB2D-54532F095522}"/>
    <hyperlink ref="L46" location="advocacy!A819:N853" tooltip="to page 24" display="advocacy!A819:N853" xr:uid="{9B65E15C-75AB-4093-BAC1-34681BBD92D5}"/>
    <hyperlink ref="L47" location="advocacy!A854:N892" tooltip="to page 25" display="advocacy!A854:N892" xr:uid="{7CC7236B-BC25-4149-9070-12DA5717469C}"/>
    <hyperlink ref="L48" location="advocacy!A893:N930" tooltip="to page 26" display="advocacy!A893:N930" xr:uid="{47A56611-F556-42D4-B284-98089CFB07D6}"/>
    <hyperlink ref="L49" location="advocacy!A931:N965" tooltip="to page 27" display="advocacy!A931:N965" xr:uid="{8B73DD33-035D-468B-91AB-A7C6C5627CCF}"/>
    <hyperlink ref="L50" location="advocacy!A966:N1008" tooltip="to page 28" display="advocacy!A966:N1008" xr:uid="{16D25665-317F-4D40-A70B-CB01911E0848}"/>
    <hyperlink ref="L51" location="advocacy!A1009:N1043" tooltip="to page 29" display="advocacy!A1009:N1043" xr:uid="{C7B59FE3-94BA-4ECC-90CC-8A6ECEB6AD80}"/>
    <hyperlink ref="L52" location="advocacy!A1044:N1078" tooltip="to page 30" display="advocacy!A1044:N1078" xr:uid="{9DD5B13E-4768-4585-9209-0D9FC12D0A38}"/>
  </hyperlinks>
  <printOptions horizontalCentered="1"/>
  <pageMargins left="0.65" right="0.65" top="0.75" bottom="0.75" header="0.3" footer="0.3"/>
  <pageSetup pageOrder="overThenDown" orientation="portrait" r:id="rId2"/>
  <headerFooter>
    <oddHeader>&amp;C&amp;"Arial Black,Regular"&amp;16&amp;K00B050Value&amp;K01+000 &amp;K7030A0Relating&amp;Rver. 01</oddHeader>
    <oddFooter>&amp;L&amp;D&amp;C&amp;P&amp;R&amp;F; &amp;A</oddFooter>
  </headerFooter>
  <drawing r:id="rId3"/>
  <legacyDrawing r:id="rId4"/>
  <extLst>
    <ext xmlns:x14="http://schemas.microsoft.com/office/spreadsheetml/2009/9/main" uri="{78C0D931-6437-407d-A8EE-F0AAD7539E65}">
      <x14:conditionalFormattings>
        <x14:conditionalFormatting xmlns:xm="http://schemas.microsoft.com/office/excel/2006/main">
          <x14:cfRule type="containsText" priority="30" operator="containsText" id="{FB0730B2-5C5A-456F-9A4D-9BE0D544901A}">
            <xm:f>NOT(ISERROR(SEARCH($AK$742,AK742)))</xm:f>
            <xm:f>$AK$742</xm:f>
            <x14:dxf>
              <font>
                <color theme="1" tint="0.499984740745262"/>
              </font>
            </x14:dxf>
          </x14:cfRule>
          <xm:sqref>AK742</xm:sqref>
        </x14:conditionalFormatting>
        <x14:conditionalFormatting xmlns:xm="http://schemas.microsoft.com/office/excel/2006/main">
          <x14:cfRule type="containsText" priority="5" operator="containsText" id="{41D6A352-7D54-4B86-8992-5499888B5C75}">
            <xm:f>NOT(ISERROR(SEARCH($AJ$1003,J1002)))</xm:f>
            <xm:f>$AJ$1003</xm:f>
            <x14:dxf>
              <font>
                <color theme="1" tint="0.499984740745262"/>
              </font>
            </x14:dxf>
          </x14:cfRule>
          <xm:sqref>J1002</xm:sqref>
        </x14:conditionalFormatting>
        <x14:conditionalFormatting xmlns:xm="http://schemas.microsoft.com/office/excel/2006/main">
          <x14:cfRule type="containsText" priority="4" operator="containsText" id="{04BFC754-4DC0-4309-B8D1-E351881966C3}">
            <xm:f>NOT(ISERROR(SEARCH($AJ$1002,I1002)))</xm:f>
            <xm:f>$AJ$1002</xm:f>
            <x14:dxf>
              <font>
                <color theme="1" tint="0.499984740745262"/>
              </font>
            </x14:dxf>
          </x14:cfRule>
          <xm:sqref>I1002</xm:sqref>
        </x14:conditionalFormatting>
        <x14:conditionalFormatting xmlns:xm="http://schemas.microsoft.com/office/excel/2006/main">
          <x14:cfRule type="containsText" priority="3" operator="containsText" id="{F22D7349-980F-4C40-B18A-2BBB4F05DA10}">
            <xm:f>NOT(ISERROR(SEARCH($AJ$1004,B1003)))</xm:f>
            <xm:f>$AJ$1004</xm:f>
            <x14:dxf>
              <font>
                <color theme="1" tint="0.499984740745262"/>
              </font>
            </x14:dxf>
          </x14:cfRule>
          <xm:sqref>B1003:M1005</xm:sqref>
        </x14:conditionalFormatting>
        <x14:conditionalFormatting xmlns:xm="http://schemas.microsoft.com/office/excel/2006/main">
          <x14:cfRule type="containsText" priority="1" operator="containsText" id="{A625BEB3-6E8A-4FE7-96BB-A6AE012D55CF}">
            <xm:f>NOT(ISERROR(SEARCH($AK$1006,G1006)))</xm:f>
            <xm:f>$AK$1006</xm:f>
            <x14:dxf>
              <font>
                <color rgb="FF780091"/>
              </font>
              <fill>
                <gradientFill degree="90">
                  <stop position="0">
                    <color rgb="FFFFE1FF"/>
                  </stop>
                  <stop position="1">
                    <color rgb="FFFFCCFF"/>
                  </stop>
                </gradientFill>
              </fill>
              <border>
                <vertical/>
                <horizontal/>
              </border>
            </x14:dxf>
          </x14:cfRule>
          <xm:sqref>G1006:H1006</xm:sqref>
        </x14:conditionalFormatting>
      </x14:conditionalFormattings>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3</vt:i4>
      </vt:variant>
    </vt:vector>
  </HeadingPairs>
  <TitlesOfParts>
    <vt:vector size="6" baseType="lpstr">
      <vt:lpstr>HP</vt:lpstr>
      <vt:lpstr>counselor</vt:lpstr>
      <vt:lpstr>advocacy</vt:lpstr>
      <vt:lpstr>advocacy!Print_Area</vt:lpstr>
      <vt:lpstr>counselor!Print_Area</vt:lpstr>
      <vt:lpstr>HP!Print_Area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Steph</dc:creator>
  <cp:lastModifiedBy>Steph</cp:lastModifiedBy>
  <cp:lastPrinted>2021-01-17T21:40:25Z</cp:lastPrinted>
  <dcterms:created xsi:type="dcterms:W3CDTF">2020-01-07T05:19:24Z</dcterms:created>
  <dcterms:modified xsi:type="dcterms:W3CDTF">2021-01-17T21:50:37Z</dcterms:modified>
</cp:coreProperties>
</file>